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HHSAData\HHSA-Mental Health\FYE Processing\MHSA Rev and Exp\FY 21-22\"/>
    </mc:Choice>
  </mc:AlternateContent>
  <xr:revisionPtr revIDLastSave="0" documentId="13_ncr:1_{2324E06C-022F-49EA-80FD-968F14109F86}" xr6:coauthVersionLast="47" xr6:coauthVersionMax="47" xr10:uidLastSave="{00000000-0000-0000-0000-000000000000}"/>
  <bookViews>
    <workbookView xWindow="-120" yWindow="-120" windowWidth="29040" windowHeight="15840" tabRatio="584" firstSheet="11" activeTab="1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Comments'!$B$1:$G$27</definedName>
    <definedName name="_xlnm.Print_Area" localSheetId="3">'2. Component Summary'!$B$1:$I$46</definedName>
    <definedName name="_xlnm.Print_Area" localSheetId="5">'3. CSS'!$B$1:$L$58</definedName>
    <definedName name="_xlnm.Print_Area" localSheetId="7">'4. PEI'!$B$1:$Q$62</definedName>
    <definedName name="_xlnm.Print_Area" localSheetId="9">'5. INN'!$B$1:$Q$52</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(FFP)'!$B$1:$I$29</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<sst xmlns="http://schemas.openxmlformats.org/spreadsheetml/2006/main" count="1524" uniqueCount="834">
  <si>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</si>
  <si>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</si>
  <si>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</si>
  <si>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</si>
  <si>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</si>
  <si>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</si>
  <si>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</si>
  <si>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</si>
  <si>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</si>
  <si>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</si>
  <si>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</si>
  <si>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</si>
  <si>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</si>
  <si>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</si>
  <si>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</si>
  <si>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</si>
  <si>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</si>
  <si>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</si>
  <si>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</si>
  <si>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</si>
  <si>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</si>
  <si>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</si>
  <si>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</si>
  <si>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</si>
  <si>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</si>
  <si>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</si>
  <si>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</si>
  <si>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</si>
  <si>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</si>
  <si>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</si>
  <si>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</si>
  <si>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</si>
  <si>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</si>
  <si>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</si>
  <si>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</si>
  <si>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</si>
  <si>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</si>
  <si>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</si>
  <si>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</si>
  <si>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</si>
  <si>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</si>
  <si>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</si>
  <si>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</si>
  <si>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</si>
  <si>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</si>
  <si>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</si>
  <si>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</si>
  <si>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</si>
  <si>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</si>
  <si>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</si>
  <si>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</si>
  <si>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</si>
  <si>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</si>
  <si>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</si>
  <si>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</si>
  <si>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</si>
  <si>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</si>
  <si>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</si>
  <si>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</si>
  <si>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</si>
  <si>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</si>
  <si>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</si>
  <si>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</si>
  <si>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</si>
  <si>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</si>
  <si>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</si>
  <si>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</si>
  <si>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</si>
  <si>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</si>
  <si>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</si>
  <si>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</si>
  <si>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</si>
  <si>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</si>
  <si>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</si>
  <si>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</si>
  <si>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</si>
  <si>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</si>
  <si>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</si>
  <si>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</si>
  <si>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</si>
  <si>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</si>
  <si>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</si>
  <si>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</si>
  <si>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</si>
  <si>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</si>
  <si>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</si>
  <si>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</si>
  <si>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</si>
  <si>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</si>
  <si>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</si>
  <si>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</si>
  <si>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</si>
  <si>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</si>
  <si>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</si>
  <si>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</si>
  <si>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</si>
  <si>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</si>
  <si>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</si>
  <si>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</si>
  <si>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</si>
  <si>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</si>
  <si>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</si>
  <si>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</si>
  <si>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</si>
  <si>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</si>
  <si>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</si>
  <si>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</si>
  <si>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</si>
  <si>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</si>
  <si>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</si>
  <si>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</si>
  <si>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</si>
  <si>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</si>
  <si>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</si>
  <si>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</si>
  <si>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</si>
  <si>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</si>
  <si>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</si>
  <si>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</si>
  <si>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</si>
  <si>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</si>
  <si>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</si>
  <si>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</si>
  <si>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</si>
  <si>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</si>
  <si>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</si>
  <si>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</si>
  <si>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</si>
  <si>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</si>
  <si>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</si>
  <si>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</si>
  <si>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</si>
  <si>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</si>
  <si>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</si>
  <si>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</si>
  <si>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</si>
  <si>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</si>
  <si>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</si>
  <si>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</si>
  <si>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</si>
  <si>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</si>
  <si>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</si>
  <si>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</si>
  <si>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</si>
  <si>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</si>
  <si>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</si>
  <si>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</si>
  <si>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</si>
  <si>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</si>
  <si>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</si>
  <si>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</si>
  <si>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</si>
  <si>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</si>
  <si>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</si>
  <si>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</si>
  <si>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</si>
  <si>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</si>
  <si>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</si>
  <si>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</si>
  <si>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</si>
  <si>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</si>
  <si>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</si>
  <si>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</si>
  <si>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</si>
  <si>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</si>
  <si>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</si>
  <si>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</si>
  <si>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</si>
  <si>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</si>
  <si>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</si>
  <si>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</si>
  <si>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</si>
  <si>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</si>
  <si>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</si>
  <si>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</si>
  <si>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</si>
  <si>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</si>
  <si>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</si>
  <si>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</si>
  <si>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</si>
  <si>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</si>
  <si>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</si>
  <si>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</si>
  <si>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</si>
  <si>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</si>
  <si>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</si>
  <si>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</si>
  <si>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</si>
  <si>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</si>
  <si>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</si>
  <si>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</si>
  <si>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</si>
  <si>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</si>
  <si>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</si>
  <si>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</si>
  <si>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</si>
  <si>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</si>
  <si>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</si>
  <si>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</si>
  <si>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</si>
  <si>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</si>
  <si>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</si>
  <si>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</si>
  <si>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</si>
  <si>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</si>
  <si>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</si>
  <si>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</si>
  <si>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</si>
  <si>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</si>
  <si>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</si>
  <si>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</si>
  <si>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</si>
  <si>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</si>
  <si>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</si>
  <si>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</si>
  <si>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</si>
  <si>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</si>
  <si>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</si>
  <si>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</si>
  <si>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</si>
  <si>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</si>
  <si>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</si>
  <si>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</si>
  <si>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</si>
  <si>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</si>
  <si>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</si>
  <si>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</si>
  <si>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</si>
  <si>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</si>
  <si>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</si>
  <si>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</si>
  <si>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</si>
  <si>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</si>
  <si>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</si>
  <si>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</si>
  <si>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</si>
  <si>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</si>
  <si>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</si>
  <si>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</si>
  <si>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</si>
  <si>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</si>
  <si>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</si>
  <si>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</si>
  <si>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</si>
  <si>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</si>
  <si>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</si>
  <si>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</si>
  <si>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</si>
  <si>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</si>
  <si>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</si>
  <si>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</si>
  <si>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</si>
  <si>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</si>
  <si>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</si>
  <si>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</si>
  <si>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</si>
  <si>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</si>
  <si>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</si>
  <si>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</si>
  <si>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</si>
  <si>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</si>
  <si>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</si>
  <si>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</si>
  <si>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</si>
  <si>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</si>
  <si>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</si>
  <si>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</si>
  <si>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</si>
  <si>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</si>
  <si>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</si>
  <si>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</si>
  <si>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</si>
  <si>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</si>
  <si>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</si>
  <si>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</si>
  <si>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</si>
  <si>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</si>
  <si>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</si>
  <si>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</si>
  <si>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</si>
  <si>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</si>
  <si>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</si>
  <si>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</si>
  <si>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</si>
  <si>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</si>
  <si>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</si>
  <si>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</si>
  <si>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</si>
  <si>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</si>
  <si>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</si>
  <si>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</si>
  <si>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</si>
  <si>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</si>
  <si>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</si>
  <si>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</si>
  <si>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</si>
  <si>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</si>
  <si>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</si>
  <si>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</si>
  <si>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</si>
  <si>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</si>
  <si>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</si>
  <si>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</si>
  <si>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</si>
  <si>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</si>
  <si>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</si>
  <si>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</si>
  <si>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</si>
  <si>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</si>
  <si>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</si>
  <si>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</si>
  <si>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</si>
  <si>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</si>
  <si>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</si>
  <si>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</si>
  <si>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</si>
  <si>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</si>
  <si>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</si>
  <si>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</si>
  <si>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</si>
  <si>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</si>
  <si>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</si>
  <si>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</si>
  <si>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</si>
  <si>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</si>
  <si>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</si>
  <si>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</si>
  <si>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</si>
  <si>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</si>
  <si>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</si>
  <si>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</si>
  <si>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</si>
  <si>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</si>
  <si>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</si>
  <si>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</si>
  <si>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</si>
  <si>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</si>
  <si>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</si>
  <si>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</si>
  <si>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</si>
  <si>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</si>
  <si>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</si>
  <si>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</si>
  <si>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</si>
  <si>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</si>
  <si>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</si>
  <si>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</si>
  <si>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</si>
  <si>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</si>
  <si>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</si>
  <si>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</si>
  <si>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</si>
  <si>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</si>
  <si>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</si>
  <si>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</si>
  <si>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</si>
  <si>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</si>
  <si>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</si>
  <si>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</si>
  <si>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</si>
  <si>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</si>
  <si>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</si>
  <si>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</si>
  <si>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</si>
  <si>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</si>
  <si>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</si>
  <si>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</si>
  <si>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</si>
  <si>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</si>
  <si>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</si>
  <si>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</si>
  <si>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</si>
  <si>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</si>
  <si>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</si>
  <si>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</si>
  <si>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</si>
  <si>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</si>
  <si>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</si>
  <si>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</si>
  <si>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</si>
  <si>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</si>
  <si>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</si>
  <si>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</si>
  <si>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</si>
  <si>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</si>
  <si>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</si>
  <si>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</si>
  <si>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</si>
  <si>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</si>
  <si>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</si>
  <si>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</si>
  <si>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</si>
  <si>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</si>
  <si>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</si>
  <si>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</si>
  <si>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</si>
  <si>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</si>
  <si>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</si>
  <si>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</si>
  <si>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</si>
  <si>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</si>
  <si>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</si>
  <si>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</si>
  <si>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</si>
  <si>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</si>
  <si>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</si>
  <si>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</si>
  <si>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</si>
  <si>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</si>
  <si>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</si>
  <si>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</si>
  <si>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</si>
  <si>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</si>
  <si>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</si>
  <si>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</si>
  <si>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</si>
  <si>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</si>
  <si>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</si>
  <si>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</si>
  <si>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</si>
  <si>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</si>
  <si>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</si>
  <si>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</si>
  <si>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</si>
  <si>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</si>
  <si>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</si>
  <si>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</si>
  <si>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</si>
  <si>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</si>
  <si>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</si>
  <si>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</si>
  <si>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</si>
  <si>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</si>
  <si>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</si>
  <si>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</si>
  <si>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</si>
  <si>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</si>
  <si>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</si>
  <si>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</si>
  <si>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</si>
  <si>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</si>
  <si>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</si>
  <si>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</si>
  <si>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</si>
  <si>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</si>
  <si>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</si>
  <si>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</si>
  <si>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</si>
  <si>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</si>
  <si>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</si>
  <si>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</si>
  <si>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</si>
  <si>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</si>
  <si>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</si>
  <si>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</si>
  <si>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</si>
  <si>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</si>
  <si>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</si>
  <si>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</si>
  <si>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</si>
  <si>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</si>
  <si>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</si>
  <si>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</si>
  <si>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</si>
  <si>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</si>
  <si>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</si>
  <si>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</si>
  <si>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</si>
  <si>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</si>
  <si>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</si>
  <si>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</si>
  <si>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</si>
  <si>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</si>
  <si>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</si>
  <si>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</si>
  <si>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</si>
  <si>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</si>
  <si>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</si>
  <si>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</si>
  <si>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</si>
  <si>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</si>
  <si>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</si>
  <si>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</si>
  <si>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</si>
  <si>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</si>
  <si>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</si>
  <si>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</si>
  <si>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</si>
  <si>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</si>
  <si>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</si>
  <si>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</si>
  <si>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</si>
  <si>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</si>
  <si>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</si>
  <si>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</si>
  <si>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</si>
  <si>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</si>
  <si>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</si>
  <si>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</si>
  <si>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</si>
  <si>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</si>
  <si>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</si>
  <si>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</si>
  <si>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</si>
  <si>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</si>
  <si>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</si>
  <si>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</si>
  <si>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</si>
  <si>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</si>
  <si>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</si>
  <si>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</si>
  <si>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</si>
  <si>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</si>
  <si>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</si>
  <si>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</si>
  <si>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</si>
  <si>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</si>
  <si>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</si>
  <si>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</si>
  <si>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</si>
  <si>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</si>
  <si>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</si>
  <si>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</si>
  <si>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</si>
  <si>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</si>
  <si>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</si>
  <si>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</si>
  <si>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</si>
  <si>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</si>
  <si>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</si>
  <si>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</si>
  <si>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</si>
  <si>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</si>
  <si>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</si>
  <si>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</si>
  <si>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</si>
  <si>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</si>
  <si>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</si>
  <si>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</si>
  <si>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</si>
  <si>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</si>
  <si>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</si>
  <si>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</si>
  <si>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</si>
  <si>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</si>
  <si>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</si>
  <si>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</si>
  <si>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</si>
  <si>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</si>
  <si>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</si>
  <si>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</si>
  <si>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</si>
  <si>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</si>
  <si>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</si>
  <si>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</si>
  <si>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</si>
  <si>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</si>
  <si>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</si>
  <si>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</si>
  <si>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</si>
  <si>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</si>
  <si>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</si>
  <si>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</si>
  <si>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</si>
  <si>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</si>
  <si>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</si>
  <si>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</si>
  <si>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</si>
  <si>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</si>
  <si>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</si>
  <si>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</si>
  <si>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</si>
  <si>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</si>
  <si>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</si>
  <si>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</si>
  <si>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</si>
  <si>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</si>
  <si>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</si>
  <si>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</si>
  <si>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</si>
  <si>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</si>
  <si>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</si>
  <si>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</si>
  <si>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</si>
  <si>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</si>
  <si>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</si>
  <si>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</si>
  <si>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</si>
  <si>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</si>
  <si>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</si>
  <si>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</si>
  <si>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</si>
  <si>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</si>
  <si>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</si>
  <si>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</si>
  <si>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</si>
  <si>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</si>
  <si>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</si>
  <si>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</si>
  <si>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</si>
  <si>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</si>
  <si>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</si>
  <si>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</si>
  <si>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</si>
  <si>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</si>
  <si>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</si>
  <si>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</si>
  <si>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</si>
  <si>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</si>
  <si>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</si>
  <si>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</si>
  <si>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</si>
  <si>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</si>
  <si>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</si>
  <si>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</si>
  <si>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</si>
  <si>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</si>
  <si>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</si>
  <si>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</si>
  <si>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</si>
  <si>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</si>
  <si>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</si>
  <si>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</si>
  <si>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</si>
  <si>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</si>
  <si>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</si>
  <si>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</si>
  <si>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</si>
  <si>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</si>
  <si>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</si>
  <si>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</si>
  <si>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</si>
  <si>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</si>
  <si>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</si>
  <si>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</si>
  <si>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</si>
  <si>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</si>
  <si>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</si>
  <si>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</si>
  <si>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</si>
  <si>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</si>
  <si>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</si>
  <si>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</si>
  <si>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</si>
  <si>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</si>
  <si>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</si>
  <si>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</si>
  <si>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</si>
  <si>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</si>
  <si>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</si>
  <si>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</si>
  <si>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</si>
  <si>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</si>
  <si>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</si>
  <si>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</si>
  <si>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</si>
  <si>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</si>
  <si>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</si>
  <si>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</si>
  <si>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</si>
  <si>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</si>
  <si>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</si>
  <si>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</si>
  <si>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</si>
  <si>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</si>
  <si>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</si>
  <si>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</si>
  <si>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</si>
  <si>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</si>
  <si>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</si>
  <si>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</si>
  <si>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</si>
  <si>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</si>
  <si>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</si>
  <si>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</si>
  <si>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</si>
  <si>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</si>
  <si>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</si>
  <si>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</si>
  <si>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</si>
  <si>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</si>
  <si>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</si>
  <si>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</si>
  <si>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</si>
  <si>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</si>
  <si>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</si>
  <si>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</si>
  <si>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</si>
  <si>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</si>
  <si>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</si>
  <si>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</si>
  <si>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</si>
  <si>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</si>
  <si>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</si>
  <si>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</si>
  <si>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</si>
  <si>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</si>
  <si>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</si>
  <si>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</si>
  <si>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</si>
  <si>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</si>
  <si>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</si>
  <si>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</si>
  <si>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</si>
  <si>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</si>
  <si>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</si>
  <si>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</si>
  <si>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</si>
  <si>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</si>
  <si>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</si>
  <si>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</si>
  <si>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</si>
  <si>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</si>
  <si>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</si>
  <si>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</si>
  <si>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</si>
  <si>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</si>
  <si>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</si>
  <si>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</si>
  <si>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</si>
  <si>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</si>
  <si>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</si>
  <si>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</si>
  <si>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</si>
  <si>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</si>
  <si>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</si>
  <si>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</si>
  <si>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</si>
  <si>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</si>
  <si>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</si>
  <si>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</si>
  <si>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</si>
  <si>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</si>
  <si>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</si>
  <si>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</si>
  <si>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</si>
  <si>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</si>
  <si>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</si>
  <si>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</si>
  <si>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</si>
  <si>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</si>
  <si>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</si>
  <si>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</si>
  <si>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</si>
  <si>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</si>
  <si>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</si>
  <si>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</si>
  <si>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</si>
  <si>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</si>
  <si>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</si>
  <si>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</si>
  <si>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</si>
  <si>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</si>
  <si>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</si>
  <si>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</si>
  <si>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</si>
  <si>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</si>
  <si>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</si>
  <si>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</si>
  <si>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</si>
  <si>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</si>
  <si>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</si>
  <si>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</si>
  <si>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</si>
  <si>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</si>
  <si>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</si>
  <si>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</si>
  <si>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</si>
  <si>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</si>
  <si>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</si>
  <si>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</si>
  <si>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</si>
  <si>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</si>
  <si>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</si>
  <si>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</si>
  <si>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</si>
  <si>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</si>
  <si>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</si>
  <si>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</si>
  <si>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</si>
  <si>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</si>
  <si>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</si>
  <si>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</si>
  <si>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3057 Briw Road</t>
  </si>
  <si>
    <t>Placerville</t>
  </si>
  <si>
    <t>Accountant II</t>
  </si>
  <si>
    <t>Partnership Between Senior Nutrition and Behavioral Health</t>
  </si>
  <si>
    <t>Community-Based Engagement &amp; Support Services Project</t>
  </si>
  <si>
    <t>Electronic Health Record Project</t>
  </si>
  <si>
    <t>Telehealth Project</t>
  </si>
  <si>
    <t>Integrated Community-Based Wellness Center Project</t>
  </si>
  <si>
    <t>Eletronic Health Record System Implementation</t>
  </si>
  <si>
    <t>Community Wellness Center</t>
  </si>
  <si>
    <t>Community Basted Engagement and Support</t>
  </si>
  <si>
    <t>Partnership between Senior Nutrition and Behavorial Health to Reach Home-bound Older Adulte in Need of Mental Health Services</t>
  </si>
  <si>
    <t>Latino Outreach Project</t>
  </si>
  <si>
    <t>Primary Project</t>
  </si>
  <si>
    <t>Wennem Wadati: A Native Path to Healing Project</t>
  </si>
  <si>
    <t>Goods and Services to Promote Positive Mental Health and Reduce Mental Health Risk Factors Project</t>
  </si>
  <si>
    <t>Children 0-5 and Their Families Project</t>
  </si>
  <si>
    <t>Prevention Wraparound Services: Juvenile Services Project</t>
  </si>
  <si>
    <t>Forensic Access and Engagement Project</t>
  </si>
  <si>
    <t>Expressive Therapies Project</t>
  </si>
  <si>
    <t>TimelyMD Project</t>
  </si>
  <si>
    <t>Strudent Wellness Center - Middle School</t>
  </si>
  <si>
    <t>Mental Health First Aid, safe TALK and Other Community Education Projects</t>
  </si>
  <si>
    <t>LGBTQIA Community Education project</t>
  </si>
  <si>
    <t>Statewide PEI Projects</t>
  </si>
  <si>
    <t>Community Education and Parently Classes Project</t>
  </si>
  <si>
    <t>Peer Partner Project - Youth Advocate</t>
  </si>
  <si>
    <t>Mentoring for Youth Project</t>
  </si>
  <si>
    <t>Community-Based Outreach and Linkage Project/PERT</t>
  </si>
  <si>
    <t>Veterans Outreach Project</t>
  </si>
  <si>
    <t>Suicide Prevention and Stigma Reduction Project</t>
  </si>
  <si>
    <t>National Suicide Prevention Line Project</t>
  </si>
  <si>
    <t>Older Adults Enrichment Project</t>
  </si>
  <si>
    <t>CASA</t>
  </si>
  <si>
    <t>Transitional Age Youth (TAY)</t>
  </si>
  <si>
    <t>Adult and Older Adult Full Service Partnership</t>
  </si>
  <si>
    <t>Children's Full Service Partnership</t>
  </si>
  <si>
    <t>Full Service Partnership Forensic Services</t>
  </si>
  <si>
    <t>Wellness and Recovery Services/Adult Wellness Centers</t>
  </si>
  <si>
    <t>Wellness and Recovery Services/TAY Engagement</t>
  </si>
  <si>
    <t>Community Transition and Support Team</t>
  </si>
  <si>
    <t>Access Services</t>
  </si>
  <si>
    <t>PATH</t>
  </si>
  <si>
    <t>Student Wellness Centers and Mental Health Support</t>
  </si>
  <si>
    <t xml:space="preserve">Assisted Outpatient Treatment </t>
  </si>
  <si>
    <t>Genetic Testing</t>
  </si>
  <si>
    <t>2021-2022</t>
  </si>
  <si>
    <t xml:space="preserve">The MHSA funds are held in one Fund which includes the Prudent Reserve. The interest earned is based on the total balance in the Fund. The interest is allocated to each of the components (CSS, PEI, INN, WET &amp; CFTN) based on each components balance that is maintained through working documents. The Prudent Reserve interest is reported with the CSS interest. </t>
  </si>
  <si>
    <t>Dana Conley</t>
  </si>
  <si>
    <t>dana.conley@edcgov.us</t>
  </si>
  <si>
    <t>(530) 642-7192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</si>
</sst>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9">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E7" zoomScale="80" zoomScaleNormal="80" zoomScaleSheetLayoutView="40" workbookViewId="0">
      <selection activeCell="L23" sqref="L23"/>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El Dorado</v>
      </c>
      <c r="G9" s="226" t="s">
        <v>1</v>
      </c>
      <c r="H9" s="264">
        <f>IF(ISBLANK('1. Information'!D9),"",'1. Information'!D9)</f>
        <v>44957</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0</v>
      </c>
      <c r="G15" s="136">
        <v>0</v>
      </c>
      <c r="H15" s="136">
        <v>0</v>
      </c>
      <c r="I15" s="136">
        <v>0</v>
      </c>
      <c r="J15" s="136">
        <v>0</v>
      </c>
      <c r="K15" s="246">
        <f>SUM(F15:J15)</f>
        <v>0</v>
      </c>
      <c r="L15" s="175"/>
      <c r="M15" s="175"/>
      <c r="N15" s="175"/>
      <c r="O15" s="27"/>
      <c r="P15" s="27"/>
    </row>
    <row r="16" spans="1:17" ht="15.75" x14ac:dyDescent="0.25">
      <c r="B16" s="300">
        <v>2</v>
      </c>
      <c r="C16" s="308" t="s">
        <v>143</v>
      </c>
      <c r="D16" s="242"/>
      <c r="E16" s="243"/>
      <c r="F16" s="136">
        <v>1664</v>
      </c>
      <c r="G16" s="136">
        <v>0</v>
      </c>
      <c r="H16" s="136">
        <v>0</v>
      </c>
      <c r="I16" s="136">
        <v>0</v>
      </c>
      <c r="J16" s="136">
        <v>0</v>
      </c>
      <c r="K16" s="246">
        <f>SUM(F16:J16)</f>
        <v>1664</v>
      </c>
      <c r="L16" s="175"/>
      <c r="M16" s="175"/>
      <c r="N16" s="175"/>
      <c r="O16" s="27"/>
      <c r="P16" s="27"/>
    </row>
    <row r="17" spans="2:17" ht="15.75" x14ac:dyDescent="0.25">
      <c r="B17" s="300">
        <v>3</v>
      </c>
      <c r="C17" s="309" t="s">
        <v>238</v>
      </c>
      <c r="D17" s="245"/>
      <c r="E17" s="243"/>
      <c r="F17" s="136">
        <v>0</v>
      </c>
      <c r="G17" s="310"/>
      <c r="H17" s="310"/>
      <c r="I17" s="310"/>
      <c r="J17" s="310"/>
      <c r="K17" s="246">
        <f>F17</f>
        <v>0</v>
      </c>
      <c r="L17" s="175"/>
      <c r="M17" s="175"/>
      <c r="N17" s="175"/>
      <c r="O17" s="27"/>
      <c r="P17" s="27"/>
    </row>
    <row r="18" spans="2:17" ht="15.75" x14ac:dyDescent="0.25">
      <c r="B18" s="300">
        <v>4</v>
      </c>
      <c r="C18" s="309" t="s">
        <v>293</v>
      </c>
      <c r="D18" s="245"/>
      <c r="E18" s="243"/>
      <c r="F18" s="136">
        <v>0</v>
      </c>
      <c r="G18" s="310"/>
      <c r="H18" s="310"/>
      <c r="I18" s="310"/>
      <c r="J18" s="310"/>
      <c r="K18" s="246">
        <f>F18</f>
        <v>0</v>
      </c>
      <c r="L18" s="175"/>
      <c r="M18" s="175"/>
      <c r="N18" s="175"/>
      <c r="O18" s="27"/>
      <c r="P18" s="27"/>
    </row>
    <row r="19" spans="2:17" ht="15.75" x14ac:dyDescent="0.25">
      <c r="B19" s="300">
        <v>5</v>
      </c>
      <c r="C19" s="308" t="s">
        <v>144</v>
      </c>
      <c r="D19" s="242"/>
      <c r="E19" s="243"/>
      <c r="F19" s="311">
        <f>SUMIF($K$29:$K$128,"Project Administration",L$29:L$128)</f>
        <v>0</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0</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1293</v>
      </c>
      <c r="G21" s="313">
        <f>SUMIF($K$29:$K$128,"Project Direct",M$29:M$128)</f>
        <v>0</v>
      </c>
      <c r="H21" s="310">
        <f>SUMIF($K$29:$K$128,"Project Direct",N$29:N$128)</f>
        <v>0</v>
      </c>
      <c r="I21" s="310">
        <f>SUMIF($K$29:$K$128,"Project Direct",O$29:O$128)</f>
        <v>0</v>
      </c>
      <c r="J21" s="310">
        <f>SUMIF($K$29:$K$128,"Project Direct",P$29:P$128)</f>
        <v>0</v>
      </c>
      <c r="K21" s="246">
        <f t="shared" si="0"/>
        <v>1293</v>
      </c>
      <c r="L21" s="175"/>
      <c r="M21" s="175"/>
      <c r="N21" s="175"/>
      <c r="O21" s="27"/>
      <c r="P21" s="27"/>
    </row>
    <row r="22" spans="2:17" ht="15.75" x14ac:dyDescent="0.25">
      <c r="B22" s="300">
        <v>8</v>
      </c>
      <c r="C22" s="308" t="s">
        <v>146</v>
      </c>
      <c r="D22" s="314"/>
      <c r="F22" s="315">
        <f>SUM(F19:F21)</f>
        <v>1293</v>
      </c>
      <c r="G22" s="316">
        <f>SUM(G19:G21)</f>
        <v>0</v>
      </c>
      <c r="H22" s="315">
        <f>SUM(H19:H21)</f>
        <v>0</v>
      </c>
      <c r="I22" s="315">
        <f>SUM(I19:I21)</f>
        <v>0</v>
      </c>
      <c r="J22" s="315">
        <f t="shared" ref="J22" si="1">SUM(J19:J21)</f>
        <v>0</v>
      </c>
      <c r="K22" s="246">
        <f t="shared" si="0"/>
        <v>1293</v>
      </c>
      <c r="L22" s="175"/>
      <c r="M22" s="175"/>
      <c r="N22" s="175"/>
      <c r="O22" s="27"/>
      <c r="P22" s="27"/>
    </row>
    <row r="23" spans="2:17" ht="30.95" customHeight="1" x14ac:dyDescent="0.25">
      <c r="B23" s="300">
        <v>9</v>
      </c>
      <c r="C23" s="317" t="s">
        <v>239</v>
      </c>
      <c r="D23" s="318"/>
      <c r="E23" s="319"/>
      <c r="F23" s="320">
        <f>SUM(F15:F16,F18:F21)</f>
        <v>2957</v>
      </c>
      <c r="G23" s="320">
        <f>SUM(G15:G16,G19:G21)</f>
        <v>0</v>
      </c>
      <c r="H23" s="320">
        <f t="shared" ref="H23:J23" si="2">SUM(H15:H16,H19:H21)</f>
        <v>0</v>
      </c>
      <c r="I23" s="320">
        <f t="shared" si="2"/>
        <v>0</v>
      </c>
      <c r="J23" s="320">
        <f t="shared" si="2"/>
        <v>0</v>
      </c>
      <c r="K23" s="279">
        <f t="shared" si="0"/>
        <v>2957</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ht="30" x14ac:dyDescent="0.2">
      <c r="B29" s="276">
        <v>10</v>
      </c>
      <c r="C29" s="293" t="s">
        <v>23</v>
      </c>
      <c r="D29" s="325">
        <f>IF(Q32&lt;&gt;0,VLOOKUP($E$9,Info_County_Code,2,FALSE),"")</f>
        <v>9</v>
      </c>
      <c r="E29" s="144" t="s">
        <v>787</v>
      </c>
      <c r="F29" s="38" t="s">
        <v>793</v>
      </c>
      <c r="G29" s="38">
        <v>42597</v>
      </c>
      <c r="H29" s="38">
        <v>42632</v>
      </c>
      <c r="I29" s="30">
        <v>705992</v>
      </c>
      <c r="J29" s="30">
        <v>1360320</v>
      </c>
      <c r="K29" s="326" t="s">
        <v>140</v>
      </c>
      <c r="L29" s="32">
        <v>0</v>
      </c>
      <c r="M29" s="32">
        <v>0</v>
      </c>
      <c r="N29" s="30">
        <v>0</v>
      </c>
      <c r="O29" s="30">
        <v>0</v>
      </c>
      <c r="P29" s="34">
        <v>0</v>
      </c>
      <c r="Q29" s="246">
        <f>SUM(L29:P29)</f>
        <v>0</v>
      </c>
    </row>
    <row r="30" spans="2:17" ht="30" x14ac:dyDescent="0.2">
      <c r="B30" s="276">
        <v>10</v>
      </c>
      <c r="C30" s="218" t="s">
        <v>25</v>
      </c>
      <c r="D30" s="327">
        <f t="shared" ref="D30:J31" si="3">IF(ISBLANK(D29),"",D29)</f>
        <v>9</v>
      </c>
      <c r="E30" s="328" t="str">
        <f t="shared" si="3"/>
        <v>Community-Based Engagement &amp; Support Services Project</v>
      </c>
      <c r="F30" s="329" t="str">
        <f t="shared" si="3"/>
        <v>Community Basted Engagement and Support</v>
      </c>
      <c r="G30" s="329">
        <f t="shared" si="3"/>
        <v>42597</v>
      </c>
      <c r="H30" s="329">
        <f t="shared" si="3"/>
        <v>42632</v>
      </c>
      <c r="I30" s="330">
        <f t="shared" si="3"/>
        <v>705992</v>
      </c>
      <c r="J30" s="330">
        <f t="shared" si="3"/>
        <v>1360320</v>
      </c>
      <c r="K30" s="275" t="s">
        <v>141</v>
      </c>
      <c r="L30" s="32">
        <v>0</v>
      </c>
      <c r="M30" s="32">
        <v>0</v>
      </c>
      <c r="N30" s="30">
        <v>0</v>
      </c>
      <c r="O30" s="30">
        <v>0</v>
      </c>
      <c r="P30" s="34">
        <v>0</v>
      </c>
      <c r="Q30" s="246">
        <f t="shared" ref="Q30:Q60" si="4">SUM(L30:P30)</f>
        <v>0</v>
      </c>
    </row>
    <row r="31" spans="2:17" ht="30" x14ac:dyDescent="0.2">
      <c r="B31" s="276">
        <v>10</v>
      </c>
      <c r="C31" s="218" t="s">
        <v>27</v>
      </c>
      <c r="D31" s="327">
        <f t="shared" ref="D31:I31" si="5">IF(ISBLANK(D29),"",D29)</f>
        <v>9</v>
      </c>
      <c r="E31" s="331" t="str">
        <f t="shared" si="5"/>
        <v>Community-Based Engagement &amp; Support Services Project</v>
      </c>
      <c r="F31" s="332" t="str">
        <f t="shared" si="5"/>
        <v>Community Basted Engagement and Support</v>
      </c>
      <c r="G31" s="332">
        <f t="shared" si="5"/>
        <v>42597</v>
      </c>
      <c r="H31" s="332">
        <f t="shared" si="5"/>
        <v>42632</v>
      </c>
      <c r="I31" s="275">
        <f t="shared" si="5"/>
        <v>705992</v>
      </c>
      <c r="J31" s="275">
        <f t="shared" si="3"/>
        <v>1360320</v>
      </c>
      <c r="K31" s="275" t="s">
        <v>197</v>
      </c>
      <c r="L31" s="32">
        <v>388</v>
      </c>
      <c r="M31" s="32">
        <v>0</v>
      </c>
      <c r="N31" s="30">
        <v>0</v>
      </c>
      <c r="O31" s="30">
        <v>0</v>
      </c>
      <c r="P31" s="34">
        <v>0</v>
      </c>
      <c r="Q31" s="246">
        <f t="shared" si="4"/>
        <v>388</v>
      </c>
    </row>
    <row r="32" spans="2:17" ht="31.5" x14ac:dyDescent="0.25">
      <c r="B32" s="333">
        <v>10</v>
      </c>
      <c r="C32" s="333" t="s">
        <v>202</v>
      </c>
      <c r="D32" s="334">
        <f t="shared" ref="D32:J32" si="6">IF(ISBLANK(D29),"",D29)</f>
        <v>9</v>
      </c>
      <c r="E32" s="335" t="str">
        <f t="shared" si="6"/>
        <v>Community-Based Engagement &amp; Support Services Project</v>
      </c>
      <c r="F32" s="336" t="str">
        <f t="shared" si="6"/>
        <v>Community Basted Engagement and Support</v>
      </c>
      <c r="G32" s="336">
        <f t="shared" si="6"/>
        <v>42597</v>
      </c>
      <c r="H32" s="336">
        <f t="shared" si="6"/>
        <v>42632</v>
      </c>
      <c r="I32" s="337">
        <f t="shared" si="6"/>
        <v>705992</v>
      </c>
      <c r="J32" s="337">
        <f t="shared" si="6"/>
        <v>1360320</v>
      </c>
      <c r="K32" s="279" t="s">
        <v>217</v>
      </c>
      <c r="L32" s="338">
        <f>SUM(L29:L31)</f>
        <v>388</v>
      </c>
      <c r="M32" s="338">
        <f>SUM(M29:M31)</f>
        <v>0</v>
      </c>
      <c r="N32" s="339">
        <f t="shared" ref="N32:P32" si="7">SUM(N29:N31)</f>
        <v>0</v>
      </c>
      <c r="O32" s="339">
        <f t="shared" si="7"/>
        <v>0</v>
      </c>
      <c r="P32" s="340">
        <f t="shared" si="7"/>
        <v>0</v>
      </c>
      <c r="Q32" s="279">
        <f t="shared" si="4"/>
        <v>388</v>
      </c>
    </row>
    <row r="33" spans="2:17" ht="30" x14ac:dyDescent="0.2">
      <c r="B33" s="276">
        <v>11</v>
      </c>
      <c r="C33" s="293" t="s">
        <v>23</v>
      </c>
      <c r="D33" s="325">
        <f>IF(Q36&lt;&gt;0,VLOOKUP($E$9,Info_County_Code,2,FALSE),"")</f>
        <v>9</v>
      </c>
      <c r="E33" s="144" t="s">
        <v>786</v>
      </c>
      <c r="F33" s="38" t="s">
        <v>794</v>
      </c>
      <c r="G33" s="38">
        <v>43853</v>
      </c>
      <c r="H33" s="38"/>
      <c r="I33" s="30">
        <v>900000</v>
      </c>
      <c r="J33" s="30"/>
      <c r="K33" s="326" t="str">
        <f>IF(NOT(ISBLANK(E33)),$K$29,"")</f>
        <v>Project Administration</v>
      </c>
      <c r="L33" s="32">
        <v>0</v>
      </c>
      <c r="M33" s="32">
        <v>0</v>
      </c>
      <c r="N33" s="30">
        <v>0</v>
      </c>
      <c r="O33" s="30">
        <v>0</v>
      </c>
      <c r="P33" s="34">
        <v>0</v>
      </c>
      <c r="Q33" s="246">
        <f t="shared" ref="Q33:Q36" si="8">SUM(L33:P33)</f>
        <v>0</v>
      </c>
    </row>
    <row r="34" spans="2:17" ht="30" x14ac:dyDescent="0.2">
      <c r="B34" s="276">
        <v>11</v>
      </c>
      <c r="C34" s="218" t="s">
        <v>25</v>
      </c>
      <c r="D34" s="327">
        <f t="shared" ref="D34:J34" si="9">IF(ISBLANK(D33),"",D33)</f>
        <v>9</v>
      </c>
      <c r="E34" s="328" t="str">
        <f t="shared" si="9"/>
        <v>Partnership Between Senior Nutrition and Behavioral Health</v>
      </c>
      <c r="F34" s="329" t="str">
        <f t="shared" si="9"/>
        <v>Partnership between Senior Nutrition and Behavorial Health to Reach Home-bound Older Adulte in Need of Mental Health Services</v>
      </c>
      <c r="G34" s="329">
        <f t="shared" si="9"/>
        <v>43853</v>
      </c>
      <c r="H34" s="329" t="str">
        <f t="shared" si="9"/>
        <v/>
      </c>
      <c r="I34" s="330">
        <f t="shared" si="9"/>
        <v>900000</v>
      </c>
      <c r="J34" s="330" t="str">
        <f t="shared" si="9"/>
        <v/>
      </c>
      <c r="K34" s="275" t="str">
        <f>IF(NOT(ISBLANK(E33)),$K$30,"")</f>
        <v>Project Evaluation</v>
      </c>
      <c r="L34" s="32">
        <v>0</v>
      </c>
      <c r="M34" s="32">
        <v>0</v>
      </c>
      <c r="N34" s="30">
        <v>0</v>
      </c>
      <c r="O34" s="30">
        <v>0</v>
      </c>
      <c r="P34" s="34">
        <v>0</v>
      </c>
      <c r="Q34" s="246">
        <f t="shared" si="8"/>
        <v>0</v>
      </c>
    </row>
    <row r="35" spans="2:17" ht="30" x14ac:dyDescent="0.2">
      <c r="B35" s="276">
        <v>11</v>
      </c>
      <c r="C35" s="218" t="s">
        <v>27</v>
      </c>
      <c r="D35" s="327">
        <f t="shared" ref="D35:J35" si="10">IF(ISBLANK(D33),"",D33)</f>
        <v>9</v>
      </c>
      <c r="E35" s="331" t="str">
        <f t="shared" si="10"/>
        <v>Partnership Between Senior Nutrition and Behavioral Health</v>
      </c>
      <c r="F35" s="332" t="str">
        <f t="shared" si="10"/>
        <v>Partnership between Senior Nutrition and Behavorial Health to Reach Home-bound Older Adulte in Need of Mental Health Services</v>
      </c>
      <c r="G35" s="332">
        <f t="shared" si="10"/>
        <v>43853</v>
      </c>
      <c r="H35" s="332" t="str">
        <f t="shared" si="10"/>
        <v/>
      </c>
      <c r="I35" s="275">
        <f t="shared" si="10"/>
        <v>900000</v>
      </c>
      <c r="J35" s="275" t="str">
        <f t="shared" si="10"/>
        <v/>
      </c>
      <c r="K35" s="275" t="str">
        <f>IF(NOT(ISBLANK(E33)),$K$31,"")</f>
        <v>Project Direct</v>
      </c>
      <c r="L35" s="32">
        <v>905</v>
      </c>
      <c r="M35" s="32">
        <v>0</v>
      </c>
      <c r="N35" s="30">
        <v>0</v>
      </c>
      <c r="O35" s="30">
        <v>0</v>
      </c>
      <c r="P35" s="34">
        <v>0</v>
      </c>
      <c r="Q35" s="246">
        <f t="shared" si="8"/>
        <v>905</v>
      </c>
    </row>
    <row r="36" spans="2:17" ht="31.5" x14ac:dyDescent="0.25">
      <c r="B36" s="333">
        <v>11</v>
      </c>
      <c r="C36" s="333" t="s">
        <v>202</v>
      </c>
      <c r="D36" s="334">
        <f t="shared" ref="D36:J36" si="11">IF(ISBLANK(D33),"",D33)</f>
        <v>9</v>
      </c>
      <c r="E36" s="335" t="str">
        <f t="shared" si="11"/>
        <v>Partnership Between Senior Nutrition and Behavioral Health</v>
      </c>
      <c r="F36" s="336" t="str">
        <f t="shared" si="11"/>
        <v>Partnership between Senior Nutrition and Behavorial Health to Reach Home-bound Older Adulte in Need of Mental Health Services</v>
      </c>
      <c r="G36" s="336">
        <f t="shared" si="11"/>
        <v>43853</v>
      </c>
      <c r="H36" s="336" t="str">
        <f t="shared" si="11"/>
        <v/>
      </c>
      <c r="I36" s="337">
        <f t="shared" si="11"/>
        <v>900000</v>
      </c>
      <c r="J36" s="337" t="str">
        <f t="shared" si="11"/>
        <v/>
      </c>
      <c r="K36" s="279" t="str">
        <f>IF(NOT(ISBLANK(E33)),$K$32,"")</f>
        <v>Project Subtotal</v>
      </c>
      <c r="L36" s="338">
        <f t="shared" ref="L36" si="12">SUM(L33:L35)</f>
        <v>905</v>
      </c>
      <c r="M36" s="338">
        <f>SUM(M33:M35)</f>
        <v>0</v>
      </c>
      <c r="N36" s="339">
        <f t="shared" ref="N36:P36" si="13">SUM(N33:N35)</f>
        <v>0</v>
      </c>
      <c r="O36" s="339">
        <f t="shared" si="13"/>
        <v>0</v>
      </c>
      <c r="P36" s="340">
        <f t="shared" si="13"/>
        <v>0</v>
      </c>
      <c r="Q36" s="279">
        <f t="shared" si="8"/>
        <v>905</v>
      </c>
    </row>
    <row r="37" spans="2:17" x14ac:dyDescent="0.2">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2">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2">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ht="15.75" x14ac:dyDescent="0.2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2">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2">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2">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ht="15.75" x14ac:dyDescent="0.2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6" man="1"/>
    <brk id="52" min="1" max="16" man="1"/>
    <brk id="92" min="1"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52"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19" zoomScale="80" zoomScaleNormal="80" zoomScaleSheetLayoutView="55" workbookViewId="0">
      <selection activeCell="F17" sqref="F17"/>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El Dorado</v>
      </c>
      <c r="F9" s="226" t="s">
        <v>1</v>
      </c>
      <c r="G9" s="346">
        <f>IF(ISBLANK('1. Information'!D9),"",'1. Information'!D9)</f>
        <v>44957</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0</v>
      </c>
      <c r="G15" s="136">
        <v>0</v>
      </c>
      <c r="H15" s="136">
        <v>0</v>
      </c>
      <c r="I15" s="136">
        <v>0</v>
      </c>
      <c r="J15" s="136">
        <v>0</v>
      </c>
      <c r="K15" s="241">
        <f>SUM(F15:J15)</f>
        <v>0</v>
      </c>
      <c r="L15" s="175"/>
      <c r="M15" s="175"/>
      <c r="N15" s="27"/>
      <c r="O15" s="27"/>
    </row>
    <row r="16" spans="1:22" ht="15.75" x14ac:dyDescent="0.25">
      <c r="A16" s="27"/>
      <c r="B16" s="300">
        <v>2</v>
      </c>
      <c r="C16" s="163" t="s">
        <v>14</v>
      </c>
      <c r="D16" s="242"/>
      <c r="E16" s="350"/>
      <c r="F16" s="136">
        <v>0</v>
      </c>
      <c r="G16" s="136">
        <v>0</v>
      </c>
      <c r="H16" s="136">
        <v>0</v>
      </c>
      <c r="I16" s="136">
        <v>0</v>
      </c>
      <c r="J16" s="136">
        <v>0</v>
      </c>
      <c r="K16" s="241">
        <f t="shared" ref="K16:K21" si="0">SUM(F16:J16)</f>
        <v>0</v>
      </c>
      <c r="L16" s="175"/>
      <c r="M16" s="175"/>
      <c r="N16" s="27"/>
      <c r="O16" s="27"/>
    </row>
    <row r="17" spans="1:22" ht="15.75" x14ac:dyDescent="0.25">
      <c r="A17" s="27"/>
      <c r="B17" s="300">
        <v>3</v>
      </c>
      <c r="C17" s="163" t="s">
        <v>198</v>
      </c>
      <c r="D17" s="242"/>
      <c r="E17" s="350"/>
      <c r="F17" s="136">
        <v>1763</v>
      </c>
      <c r="G17" s="136">
        <v>0</v>
      </c>
      <c r="H17" s="136">
        <v>0</v>
      </c>
      <c r="I17" s="136">
        <v>0</v>
      </c>
      <c r="J17" s="136">
        <v>0</v>
      </c>
      <c r="K17" s="241">
        <f t="shared" si="0"/>
        <v>1763</v>
      </c>
      <c r="L17" s="175"/>
      <c r="M17" s="175"/>
      <c r="N17" s="27"/>
      <c r="O17" s="27"/>
    </row>
    <row r="18" spans="1:22" ht="15.75" x14ac:dyDescent="0.25">
      <c r="A18" s="27"/>
      <c r="B18" s="300">
        <v>4</v>
      </c>
      <c r="C18" s="163" t="s">
        <v>189</v>
      </c>
      <c r="D18" s="242"/>
      <c r="E18" s="350"/>
      <c r="F18" s="136">
        <v>0</v>
      </c>
      <c r="G18" s="275"/>
      <c r="H18" s="275"/>
      <c r="I18" s="275"/>
      <c r="J18" s="275"/>
      <c r="K18" s="241">
        <f>F18</f>
        <v>0</v>
      </c>
      <c r="L18" s="175"/>
      <c r="M18" s="175"/>
      <c r="N18" s="27"/>
      <c r="O18" s="27"/>
    </row>
    <row r="19" spans="1:22" ht="15.75" x14ac:dyDescent="0.25">
      <c r="A19" s="27"/>
      <c r="B19" s="300">
        <v>5</v>
      </c>
      <c r="C19" s="163" t="s">
        <v>296</v>
      </c>
      <c r="D19" s="242"/>
      <c r="E19" s="350"/>
      <c r="F19" s="136">
        <v>0</v>
      </c>
      <c r="G19" s="275"/>
      <c r="H19" s="275"/>
      <c r="I19" s="275"/>
      <c r="J19" s="275"/>
      <c r="K19" s="241">
        <f>F19</f>
        <v>0</v>
      </c>
      <c r="L19" s="175"/>
      <c r="M19" s="175"/>
      <c r="N19" s="27"/>
      <c r="O19" s="27"/>
    </row>
    <row r="20" spans="1:22" ht="15.75" x14ac:dyDescent="0.25">
      <c r="A20" s="27"/>
      <c r="B20" s="300">
        <v>6</v>
      </c>
      <c r="C20" s="242" t="s">
        <v>153</v>
      </c>
      <c r="D20" s="245"/>
      <c r="E20" s="243"/>
      <c r="F20" s="330">
        <f>SUM(E28:E32)</f>
        <v>32878</v>
      </c>
      <c r="G20" s="351">
        <f t="shared" ref="G20:I20" si="1">SUM(F28:F32)</f>
        <v>0</v>
      </c>
      <c r="H20" s="330">
        <f t="shared" si="1"/>
        <v>0</v>
      </c>
      <c r="I20" s="330">
        <f t="shared" si="1"/>
        <v>0</v>
      </c>
      <c r="J20" s="330">
        <f>SUM(I28:I32)</f>
        <v>0</v>
      </c>
      <c r="K20" s="246">
        <f t="shared" si="0"/>
        <v>32878</v>
      </c>
      <c r="L20" s="175"/>
      <c r="M20" s="175"/>
      <c r="N20" s="27"/>
      <c r="O20" s="27"/>
    </row>
    <row r="21" spans="1:22" ht="30.95" customHeight="1" x14ac:dyDescent="0.25">
      <c r="A21" s="27"/>
      <c r="B21" s="300">
        <v>7</v>
      </c>
      <c r="C21" s="277" t="s">
        <v>188</v>
      </c>
      <c r="D21" s="277"/>
      <c r="E21" s="277"/>
      <c r="F21" s="279">
        <f>SUM(F15:F17,F19:F20)</f>
        <v>34641</v>
      </c>
      <c r="G21" s="251">
        <f>SUM(G15:G17,G20)</f>
        <v>0</v>
      </c>
      <c r="H21" s="250">
        <f>SUM(H15:H17,H20)</f>
        <v>0</v>
      </c>
      <c r="I21" s="250">
        <f>SUM(I15:I17,I20)</f>
        <v>0</v>
      </c>
      <c r="J21" s="250">
        <f>SUM(J15:J17,J20)</f>
        <v>0</v>
      </c>
      <c r="K21" s="279">
        <f t="shared" si="0"/>
        <v>34641</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f t="shared" ref="C28:C32" si="2">IF(J28&lt;&gt;0,VLOOKUP($D$9,Info_County_Code,2,FALSE),"")</f>
        <v>9</v>
      </c>
      <c r="D28" s="355" t="s">
        <v>98</v>
      </c>
      <c r="E28" s="31">
        <v>7847</v>
      </c>
      <c r="F28" s="32">
        <v>0</v>
      </c>
      <c r="G28" s="31">
        <v>0</v>
      </c>
      <c r="H28" s="31">
        <v>0</v>
      </c>
      <c r="I28" s="128">
        <v>0</v>
      </c>
      <c r="J28" s="275">
        <f>SUM(E28:I28)</f>
        <v>7847</v>
      </c>
      <c r="K28" s="175"/>
      <c r="L28" s="175"/>
      <c r="M28" s="175"/>
      <c r="N28" s="175"/>
      <c r="O28" s="175"/>
      <c r="P28" s="175"/>
      <c r="Q28" s="175"/>
      <c r="R28" s="175"/>
    </row>
    <row r="29" spans="1:22" ht="15.75" x14ac:dyDescent="0.25">
      <c r="A29" s="27"/>
      <c r="B29" s="300">
        <v>9</v>
      </c>
      <c r="C29" s="301">
        <f t="shared" si="2"/>
        <v>9</v>
      </c>
      <c r="D29" s="355" t="s">
        <v>99</v>
      </c>
      <c r="E29" s="31">
        <v>25031</v>
      </c>
      <c r="F29" s="32">
        <v>0</v>
      </c>
      <c r="G29" s="31">
        <v>0</v>
      </c>
      <c r="H29" s="31">
        <v>0</v>
      </c>
      <c r="I29" s="128">
        <v>0</v>
      </c>
      <c r="J29" s="275">
        <f t="shared" ref="J29:J32" si="3">SUM(E29:I29)</f>
        <v>25031</v>
      </c>
      <c r="K29" s="175"/>
      <c r="L29" s="175"/>
      <c r="M29" s="175"/>
      <c r="N29" s="175"/>
      <c r="O29" s="175"/>
      <c r="P29" s="175"/>
      <c r="Q29" s="175"/>
      <c r="R29" s="175"/>
    </row>
    <row r="30" spans="1:22" ht="15.75" x14ac:dyDescent="0.25">
      <c r="A30" s="27"/>
      <c r="B30" s="300">
        <v>10</v>
      </c>
      <c r="C30" s="301" t="str">
        <f t="shared" si="2"/>
        <v/>
      </c>
      <c r="D30" s="219" t="s">
        <v>295</v>
      </c>
      <c r="E30" s="31">
        <v>0</v>
      </c>
      <c r="F30" s="32">
        <v>0</v>
      </c>
      <c r="G30" s="31">
        <v>0</v>
      </c>
      <c r="H30" s="31">
        <v>0</v>
      </c>
      <c r="I30" s="128">
        <v>0</v>
      </c>
      <c r="J30" s="275">
        <f t="shared" si="3"/>
        <v>0</v>
      </c>
      <c r="K30" s="175"/>
      <c r="L30" s="175"/>
      <c r="M30" s="175"/>
      <c r="N30" s="175"/>
      <c r="O30" s="175"/>
      <c r="P30" s="175"/>
      <c r="Q30" s="175"/>
      <c r="R30" s="175"/>
    </row>
    <row r="31" spans="1:22" ht="15.75" x14ac:dyDescent="0.25">
      <c r="A31" s="27"/>
      <c r="B31" s="354">
        <v>11</v>
      </c>
      <c r="C31" s="301" t="str">
        <f t="shared" si="2"/>
        <v/>
      </c>
      <c r="D31" s="355" t="s">
        <v>101</v>
      </c>
      <c r="E31" s="31">
        <v>0</v>
      </c>
      <c r="F31" s="32">
        <v>0</v>
      </c>
      <c r="G31" s="31">
        <v>0</v>
      </c>
      <c r="H31" s="31">
        <v>0</v>
      </c>
      <c r="I31" s="128">
        <v>0</v>
      </c>
      <c r="J31" s="275">
        <f t="shared" si="3"/>
        <v>0</v>
      </c>
      <c r="K31" s="175"/>
      <c r="L31" s="175"/>
      <c r="M31" s="175"/>
      <c r="N31" s="175"/>
      <c r="O31" s="175"/>
      <c r="P31" s="175"/>
      <c r="Q31" s="175"/>
      <c r="R31" s="175"/>
    </row>
    <row r="32" spans="1:22" ht="15.75" x14ac:dyDescent="0.25">
      <c r="A32" s="27"/>
      <c r="B32" s="300">
        <v>12</v>
      </c>
      <c r="C32" s="301" t="str">
        <f t="shared" si="2"/>
        <v/>
      </c>
      <c r="D32" s="355" t="s">
        <v>102</v>
      </c>
      <c r="E32" s="31">
        <v>0</v>
      </c>
      <c r="F32" s="32">
        <v>0</v>
      </c>
      <c r="G32" s="31">
        <v>0</v>
      </c>
      <c r="H32" s="31">
        <v>0</v>
      </c>
      <c r="I32" s="128">
        <v>0</v>
      </c>
      <c r="J32" s="275">
        <f t="shared" si="3"/>
        <v>0</v>
      </c>
      <c r="K32" s="175"/>
      <c r="L32" s="175"/>
      <c r="M32" s="175"/>
      <c r="N32" s="175"/>
      <c r="O32" s="175"/>
      <c r="P32" s="175"/>
      <c r="Q32" s="175"/>
      <c r="R32" s="175"/>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79"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abSelected="1" topLeftCell="A22" zoomScale="80" zoomScaleNormal="80" zoomScaleSheetLayoutView="40" workbookViewId="0">
      <selection activeCell="F18" sqref="F18"/>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El Dorado</v>
      </c>
      <c r="E9" s="8"/>
      <c r="F9" s="162" t="s">
        <v>1</v>
      </c>
      <c r="G9" s="264">
        <f>IF(ISBLANK('1. Information'!D9),"",'1. Information'!D9)</f>
        <v>44957</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v>0</v>
      </c>
      <c r="H15" s="136">
        <v>0</v>
      </c>
      <c r="I15" s="136">
        <v>0</v>
      </c>
      <c r="J15" s="136">
        <v>0</v>
      </c>
      <c r="K15" s="326">
        <f>SUM(F15:J15)</f>
        <v>0</v>
      </c>
      <c r="L15" s="175"/>
      <c r="M15" s="175"/>
      <c r="U15" s="27"/>
      <c r="V15" s="27"/>
      <c r="W15" s="27"/>
    </row>
    <row r="16" spans="1:23" x14ac:dyDescent="0.25">
      <c r="B16" s="300">
        <v>2</v>
      </c>
      <c r="C16" s="162" t="s">
        <v>309</v>
      </c>
      <c r="D16" s="225"/>
      <c r="E16" s="358"/>
      <c r="F16" s="136">
        <v>0</v>
      </c>
      <c r="G16" s="136">
        <v>0</v>
      </c>
      <c r="H16" s="136">
        <v>0</v>
      </c>
      <c r="I16" s="136">
        <v>0</v>
      </c>
      <c r="J16" s="136">
        <v>0</v>
      </c>
      <c r="K16" s="326">
        <f t="shared" ref="K16:K20" si="0">SUM(F16:J16)</f>
        <v>0</v>
      </c>
      <c r="L16" s="175"/>
      <c r="M16" s="175"/>
      <c r="U16" s="27"/>
      <c r="V16" s="27"/>
      <c r="W16" s="27"/>
    </row>
    <row r="17" spans="1:23" x14ac:dyDescent="0.25">
      <c r="B17" s="300">
        <v>3</v>
      </c>
      <c r="C17" s="162" t="s">
        <v>311</v>
      </c>
      <c r="D17" s="225"/>
      <c r="E17" s="358"/>
      <c r="F17" s="136">
        <v>37437</v>
      </c>
      <c r="G17" s="136">
        <v>0</v>
      </c>
      <c r="H17" s="136">
        <v>0</v>
      </c>
      <c r="I17" s="136">
        <v>0</v>
      </c>
      <c r="J17" s="136">
        <v>0</v>
      </c>
      <c r="K17" s="326">
        <f t="shared" si="0"/>
        <v>37437</v>
      </c>
      <c r="L17" s="175"/>
      <c r="M17" s="175"/>
      <c r="U17" s="27"/>
      <c r="V17" s="27"/>
      <c r="W17" s="27"/>
    </row>
    <row r="18" spans="1:23" s="25" customFormat="1" x14ac:dyDescent="0.25">
      <c r="A18" s="27"/>
      <c r="B18" s="300">
        <v>4</v>
      </c>
      <c r="C18" s="163" t="s">
        <v>642</v>
      </c>
      <c r="D18" s="242"/>
      <c r="E18" s="350"/>
      <c r="F18" s="136">
        <v>0</v>
      </c>
      <c r="G18" s="275"/>
      <c r="H18" s="275"/>
      <c r="I18" s="275"/>
      <c r="J18" s="275"/>
      <c r="K18" s="241">
        <f>F18</f>
        <v>0</v>
      </c>
      <c r="L18" s="175"/>
      <c r="M18" s="175"/>
      <c r="N18" s="27"/>
      <c r="O18" s="27"/>
    </row>
    <row r="19" spans="1:23" s="25" customFormat="1" x14ac:dyDescent="0.25">
      <c r="A19" s="27"/>
      <c r="B19" s="300">
        <v>5</v>
      </c>
      <c r="C19" s="163" t="s">
        <v>643</v>
      </c>
      <c r="D19" s="242"/>
      <c r="E19" s="350"/>
      <c r="F19" s="136">
        <v>0</v>
      </c>
      <c r="G19" s="275"/>
      <c r="H19" s="275"/>
      <c r="I19" s="275"/>
      <c r="J19" s="275"/>
      <c r="K19" s="241">
        <f>F19</f>
        <v>0</v>
      </c>
      <c r="L19" s="175"/>
      <c r="M19" s="175"/>
      <c r="N19" s="27"/>
      <c r="O19" s="27"/>
    </row>
    <row r="20" spans="1:23" x14ac:dyDescent="0.25">
      <c r="B20" s="300">
        <v>6</v>
      </c>
      <c r="C20" s="162" t="s">
        <v>310</v>
      </c>
      <c r="D20" s="225"/>
      <c r="E20" s="240"/>
      <c r="F20" s="351">
        <f>SUM(G27:G46)</f>
        <v>243616</v>
      </c>
      <c r="G20" s="351">
        <f>SUM(H27:H46)</f>
        <v>0</v>
      </c>
      <c r="H20" s="330">
        <f t="shared" ref="H20" si="1">SUM(I27:I46)</f>
        <v>0</v>
      </c>
      <c r="I20" s="330">
        <f>SUM(J27:J46)</f>
        <v>0</v>
      </c>
      <c r="J20" s="275">
        <f>SUM(K27:K46)</f>
        <v>0</v>
      </c>
      <c r="K20" s="326">
        <f t="shared" si="0"/>
        <v>243616</v>
      </c>
      <c r="L20" s="175"/>
      <c r="M20" s="175"/>
      <c r="U20" s="27"/>
      <c r="V20" s="27"/>
      <c r="W20" s="27"/>
    </row>
    <row r="21" spans="1:23" ht="30.95" customHeight="1" x14ac:dyDescent="0.25">
      <c r="B21" s="300">
        <v>7</v>
      </c>
      <c r="C21" s="359" t="s">
        <v>768</v>
      </c>
      <c r="D21" s="360"/>
      <c r="E21" s="361"/>
      <c r="F21" s="279">
        <f>SUM(F15:F17,F19:F20)</f>
        <v>281053</v>
      </c>
      <c r="G21" s="251">
        <f>SUM(G15:G17,G20)</f>
        <v>0</v>
      </c>
      <c r="H21" s="251">
        <f t="shared" ref="H21:J21" si="2">SUM(H15:H17,H20)</f>
        <v>0</v>
      </c>
      <c r="I21" s="251">
        <f t="shared" si="2"/>
        <v>0</v>
      </c>
      <c r="J21" s="251">
        <f t="shared" si="2"/>
        <v>0</v>
      </c>
      <c r="K21" s="250">
        <f>SUM(F21:J21)</f>
        <v>281053</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9</v>
      </c>
      <c r="D27" s="144" t="s">
        <v>788</v>
      </c>
      <c r="E27" s="144" t="s">
        <v>791</v>
      </c>
      <c r="F27" s="127" t="s">
        <v>155</v>
      </c>
      <c r="G27" s="126">
        <v>243616</v>
      </c>
      <c r="H27" s="126">
        <v>0</v>
      </c>
      <c r="I27" s="126">
        <v>0</v>
      </c>
      <c r="J27" s="129">
        <v>0</v>
      </c>
      <c r="K27" s="126">
        <v>0</v>
      </c>
      <c r="L27" s="364">
        <f>SUM(G27:K27)</f>
        <v>243616</v>
      </c>
      <c r="M27" s="175"/>
      <c r="U27" s="27"/>
      <c r="V27" s="27"/>
      <c r="W27" s="27"/>
    </row>
    <row r="28" spans="1:23" x14ac:dyDescent="0.25">
      <c r="B28" s="300">
        <v>9</v>
      </c>
      <c r="C28" s="301" t="str">
        <f t="shared" si="3"/>
        <v/>
      </c>
      <c r="D28" s="144" t="s">
        <v>789</v>
      </c>
      <c r="E28" s="144"/>
      <c r="F28" s="127" t="s">
        <v>155</v>
      </c>
      <c r="G28" s="126">
        <v>0</v>
      </c>
      <c r="H28" s="126">
        <v>0</v>
      </c>
      <c r="I28" s="126">
        <v>0</v>
      </c>
      <c r="J28" s="129">
        <v>0</v>
      </c>
      <c r="K28" s="126">
        <v>0</v>
      </c>
      <c r="L28" s="364">
        <f t="shared" ref="L28:L46" si="4">SUM(G28:K28)</f>
        <v>0</v>
      </c>
      <c r="M28" s="175"/>
      <c r="U28" s="27"/>
      <c r="V28" s="27"/>
      <c r="W28" s="27"/>
    </row>
    <row r="29" spans="1:23" ht="30.75" x14ac:dyDescent="0.25">
      <c r="B29" s="300">
        <v>10</v>
      </c>
      <c r="C29" s="301" t="str">
        <f t="shared" si="3"/>
        <v/>
      </c>
      <c r="D29" s="144" t="s">
        <v>790</v>
      </c>
      <c r="E29" s="144" t="s">
        <v>792</v>
      </c>
      <c r="F29" s="127" t="s">
        <v>154</v>
      </c>
      <c r="G29" s="126">
        <v>0</v>
      </c>
      <c r="H29" s="126">
        <v>0</v>
      </c>
      <c r="I29" s="126">
        <v>0</v>
      </c>
      <c r="J29" s="129">
        <v>0</v>
      </c>
      <c r="K29" s="126">
        <v>0</v>
      </c>
      <c r="L29" s="364">
        <f t="shared" si="4"/>
        <v>0</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topLeftCell="A19" zoomScale="85" zoomScaleNormal="85" workbookViewId="0">
      <selection activeCell="D20" sqref="D20"/>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El Dorado</v>
      </c>
      <c r="E9" s="2"/>
      <c r="F9" s="365" t="s">
        <v>156</v>
      </c>
      <c r="G9" s="264">
        <f>IF(ISBLANK('1. Information'!D9),"",'1. Information'!D9)</f>
        <v>44957</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t="str">
        <f t="shared" ref="C15:C44" si="0">IF(G15&lt;&gt;0,VLOOKUP($D$9,Info_County_Code,2,FALSE),"")</f>
        <v/>
      </c>
      <c r="D15" s="40"/>
      <c r="E15" s="40"/>
      <c r="F15" s="150"/>
      <c r="G15" s="132"/>
      <c r="H15" s="134"/>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0" sqref="D20"/>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El Dorado</v>
      </c>
      <c r="F9" s="226" t="s">
        <v>1</v>
      </c>
      <c r="G9" s="346">
        <f>IF(ISBLANK('1. Information'!D9),"",'1. Information'!D9)</f>
        <v>44957</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9" sqref="D9"/>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44957</v>
      </c>
    </row>
    <row r="10" spans="1:5" ht="34.5" customHeight="1" x14ac:dyDescent="0.2">
      <c r="B10" s="203">
        <v>2</v>
      </c>
      <c r="C10" s="205" t="s">
        <v>303</v>
      </c>
      <c r="D10" s="151" t="s">
        <v>782</v>
      </c>
    </row>
    <row r="11" spans="1:5" ht="34.5" customHeight="1" x14ac:dyDescent="0.2">
      <c r="B11" s="203">
        <v>3</v>
      </c>
      <c r="C11" s="204" t="s">
        <v>0</v>
      </c>
      <c r="D11" s="135" t="s">
        <v>44</v>
      </c>
    </row>
    <row r="12" spans="1:5" ht="34.5" customHeight="1" x14ac:dyDescent="0.2">
      <c r="B12" s="203">
        <v>4</v>
      </c>
      <c r="C12" s="206" t="s">
        <v>113</v>
      </c>
      <c r="D12" s="182">
        <f>IF(ISBLANK(D11),"",VLOOKUP(D11,Info_County_Code,2))</f>
        <v>9</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95667</v>
      </c>
    </row>
    <row r="16" spans="1:5" ht="34.5" customHeight="1" x14ac:dyDescent="0.2">
      <c r="B16" s="203">
        <v>8</v>
      </c>
      <c r="C16" s="207" t="s">
        <v>162</v>
      </c>
      <c r="D16" s="183" t="str">
        <f>IF(ISBLANK(D11),"",VLOOKUP(D11,County_Population,5,FALSE))</f>
        <v>No</v>
      </c>
    </row>
    <row r="17" spans="2:4" ht="34.5" customHeight="1" x14ac:dyDescent="0.2">
      <c r="B17" s="203">
        <v>9</v>
      </c>
      <c r="C17" s="204" t="s">
        <v>112</v>
      </c>
      <c r="D17" s="135" t="s">
        <v>831</v>
      </c>
    </row>
    <row r="18" spans="2:4" ht="34.5" customHeight="1" x14ac:dyDescent="0.2">
      <c r="B18" s="203">
        <v>10</v>
      </c>
      <c r="C18" s="208" t="s">
        <v>167</v>
      </c>
      <c r="D18" s="413" t="s">
        <v>785</v>
      </c>
    </row>
    <row r="19" spans="2:4" ht="34.5" customHeight="1" x14ac:dyDescent="0.2">
      <c r="B19" s="203">
        <v>11</v>
      </c>
      <c r="C19" s="208" t="s">
        <v>184</v>
      </c>
      <c r="D19" s="413" t="s">
        <v>832</v>
      </c>
    </row>
    <row r="20" spans="2:4" ht="34.5" customHeight="1" x14ac:dyDescent="0.2">
      <c r="B20" s="203">
        <v>12</v>
      </c>
      <c r="C20" s="209" t="s">
        <v>280</v>
      </c>
      <c r="D20" s="414" t="s">
        <v>833</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D20" sqref="D20"/>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El Dorado</v>
      </c>
      <c r="F9" s="226" t="s">
        <v>1</v>
      </c>
      <c r="G9" s="346">
        <f>IF(ISBLANK('1. Information'!D9),"",'1. Information'!D9)</f>
        <v>44957</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ht="90" x14ac:dyDescent="0.2">
      <c r="B13" s="375">
        <v>1</v>
      </c>
      <c r="C13" s="169" t="s">
        <v>166</v>
      </c>
      <c r="D13" s="169" t="s">
        <v>829</v>
      </c>
      <c r="E13" s="117" t="s">
        <v>830</v>
      </c>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El Dorado</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5" t="s">
        <v>148</v>
      </c>
      <c r="B1" s="416"/>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8" t="s">
        <v>171</v>
      </c>
      <c r="B2" s="418"/>
      <c r="C2" s="418"/>
      <c r="D2" s="418"/>
      <c r="E2" s="418"/>
    </row>
    <row r="3" spans="1:7" ht="14.25" customHeight="1" x14ac:dyDescent="0.25">
      <c r="A3" s="418" t="s">
        <v>235</v>
      </c>
      <c r="B3" s="418"/>
      <c r="C3" s="418"/>
      <c r="D3" s="418"/>
      <c r="E3" s="418"/>
    </row>
    <row r="4" spans="1:7" ht="14.25" customHeight="1" thickBot="1" x14ac:dyDescent="0.3">
      <c r="A4" s="57"/>
      <c r="B4" s="58"/>
      <c r="C4" s="59"/>
      <c r="D4" s="60"/>
    </row>
    <row r="5" spans="1:7" ht="14.25" customHeight="1" x14ac:dyDescent="0.25">
      <c r="A5" s="61" t="s">
        <v>172</v>
      </c>
      <c r="B5" s="417" t="s">
        <v>173</v>
      </c>
      <c r="C5" s="417"/>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rgb="FFFFFF00"/>
    <pageSetUpPr autoPageBreaks="0"/>
  </sheetPr>
  <dimension ref="A1:J46"/>
  <sheetViews>
    <sheetView showGridLines="0" topLeftCell="A25" zoomScale="80" zoomScaleNormal="80" zoomScaleSheetLayoutView="40" zoomScalePageLayoutView="85" workbookViewId="0">
      <selection activeCell="F42" sqref="F42"/>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El Dorado</v>
      </c>
      <c r="F9" s="210" t="s">
        <v>1</v>
      </c>
      <c r="G9" s="185">
        <f>IF(ISBLANK('1. Information'!D9),"",'1. Information'!D9)</f>
        <v>44957</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32630</v>
      </c>
      <c r="E14" s="149">
        <v>14583</v>
      </c>
      <c r="F14" s="149">
        <v>8068</v>
      </c>
      <c r="G14" s="149">
        <v>248</v>
      </c>
      <c r="H14" s="149">
        <v>3491</v>
      </c>
      <c r="I14" s="186">
        <f>SUM(D14:H14)</f>
        <v>59020</v>
      </c>
    </row>
    <row r="15" spans="1:9" x14ac:dyDescent="0.2">
      <c r="B15" s="218">
        <v>2</v>
      </c>
      <c r="C15" s="219" t="s">
        <v>278</v>
      </c>
      <c r="D15" s="164">
        <v>0</v>
      </c>
      <c r="E15" s="164">
        <v>0</v>
      </c>
      <c r="F15" s="164">
        <v>0</v>
      </c>
      <c r="G15" s="164">
        <v>0</v>
      </c>
      <c r="H15" s="164">
        <v>0</v>
      </c>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1655402</v>
      </c>
      <c r="G19" s="122"/>
      <c r="H19" s="122"/>
      <c r="I19" s="122"/>
    </row>
    <row r="20" spans="2:10" x14ac:dyDescent="0.2">
      <c r="B20" s="216">
        <v>4</v>
      </c>
      <c r="C20" s="220" t="s">
        <v>22</v>
      </c>
      <c r="D20" s="149">
        <v>0</v>
      </c>
      <c r="E20" s="149">
        <v>0</v>
      </c>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1655402</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0</v>
      </c>
      <c r="E27" s="188">
        <f>'3. CSS'!F21</f>
        <v>0</v>
      </c>
      <c r="F27" s="186">
        <f>'3. CSS'!F22</f>
        <v>0</v>
      </c>
      <c r="G27" s="194">
        <f>'3. CSS'!F23</f>
        <v>0</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9601945</v>
      </c>
      <c r="E31" s="194">
        <f>'4. PEI'!F22</f>
        <v>1994674</v>
      </c>
      <c r="F31" s="194">
        <f>'5. INN'!F23</f>
        <v>2957</v>
      </c>
      <c r="G31" s="194">
        <f>'6. WET'!F21</f>
        <v>34641</v>
      </c>
      <c r="H31" s="194">
        <f>'7. CFTN'!F21</f>
        <v>281053</v>
      </c>
      <c r="I31" s="194">
        <f t="shared" ref="I31:I35" si="0">SUM(D31:H31)</f>
        <v>11915270</v>
      </c>
    </row>
    <row r="32" spans="2:10" x14ac:dyDescent="0.2">
      <c r="B32" s="211">
        <v>10</v>
      </c>
      <c r="C32" s="223" t="s">
        <v>4</v>
      </c>
      <c r="D32" s="189">
        <f>'3. CSS'!G27</f>
        <v>2616474</v>
      </c>
      <c r="E32" s="189">
        <f>'4. PEI'!G22</f>
        <v>0</v>
      </c>
      <c r="F32" s="189">
        <f>'5. INN'!G23</f>
        <v>0</v>
      </c>
      <c r="G32" s="189">
        <f>'6. WET'!G21</f>
        <v>0</v>
      </c>
      <c r="H32" s="189">
        <f>'7. CFTN'!G21</f>
        <v>0</v>
      </c>
      <c r="I32" s="194">
        <f t="shared" si="0"/>
        <v>2616474</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622026</v>
      </c>
      <c r="E35" s="189">
        <f>'4. PEI'!J22</f>
        <v>0</v>
      </c>
      <c r="F35" s="189">
        <f>'5. INN'!J23</f>
        <v>0</v>
      </c>
      <c r="G35" s="189">
        <f>'6. WET'!J21</f>
        <v>0</v>
      </c>
      <c r="H35" s="189">
        <f>'7. CFTN'!J21</f>
        <v>0</v>
      </c>
      <c r="I35" s="194">
        <f t="shared" si="0"/>
        <v>622026</v>
      </c>
    </row>
    <row r="36" spans="2:9" ht="15.75" x14ac:dyDescent="0.25">
      <c r="B36" s="211">
        <v>14</v>
      </c>
      <c r="C36" s="224" t="s">
        <v>21</v>
      </c>
      <c r="D36" s="195">
        <f>SUM(D31:D35)</f>
        <v>12840445</v>
      </c>
      <c r="E36" s="195">
        <f t="shared" ref="E36:H36" si="1">SUM(E31:E35)</f>
        <v>1994674</v>
      </c>
      <c r="F36" s="195">
        <f t="shared" si="1"/>
        <v>2957</v>
      </c>
      <c r="G36" s="195">
        <f t="shared" si="1"/>
        <v>34641</v>
      </c>
      <c r="H36" s="195">
        <f t="shared" si="1"/>
        <v>281053</v>
      </c>
      <c r="I36" s="196">
        <f>SUM(D36:H36)</f>
        <v>15153770</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42594</v>
      </c>
      <c r="E40" s="154"/>
      <c r="F40" s="120"/>
      <c r="H40" s="120"/>
      <c r="I40" s="122"/>
    </row>
    <row r="41" spans="2:9" ht="15.75" x14ac:dyDescent="0.25">
      <c r="B41" s="211">
        <v>16</v>
      </c>
      <c r="C41" s="162" t="s">
        <v>19</v>
      </c>
      <c r="D41" s="197">
        <f>'3. CSS'!F16+'4. PEI'!F16+'5. INN'!F20+'6. WET'!F16+'7. CFTN'!F16</f>
        <v>0</v>
      </c>
      <c r="E41" s="121"/>
      <c r="F41" s="120"/>
      <c r="G41" s="120"/>
      <c r="H41" s="120"/>
      <c r="I41" s="122"/>
    </row>
    <row r="42" spans="2:9" ht="15.75" x14ac:dyDescent="0.25">
      <c r="B42" s="211">
        <v>17</v>
      </c>
      <c r="C42" s="162" t="s">
        <v>20</v>
      </c>
      <c r="D42" s="198">
        <f>'3. CSS'!F17+'4. PEI'!F17+'5. INN'!F16+'5. INN'!F19+'6. WET'!F17+'7. CFTN'!F17</f>
        <v>2907089</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47443.98</v>
      </c>
    </row>
    <row r="45" spans="2:9" ht="15.75" x14ac:dyDescent="0.25">
      <c r="B45" s="211">
        <v>20</v>
      </c>
      <c r="C45" s="225" t="s">
        <v>245</v>
      </c>
      <c r="D45" s="149">
        <v>0</v>
      </c>
    </row>
    <row r="46" spans="2:9" ht="15.75" x14ac:dyDescent="0.25">
      <c r="B46" s="211">
        <v>21</v>
      </c>
      <c r="C46" s="162" t="s">
        <v>249</v>
      </c>
      <c r="D46" s="149">
        <v>150000</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13"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pageSetUpPr autoPageBreaks="0"/>
  </sheetPr>
  <dimension ref="A1:M134"/>
  <sheetViews>
    <sheetView showGridLines="0" topLeftCell="C13" zoomScale="80" zoomScaleNormal="80" zoomScaleSheetLayoutView="40" zoomScalePageLayoutView="70" workbookViewId="0">
      <selection activeCell="K35" sqref="K35"/>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El Dorado</v>
      </c>
      <c r="E9" s="123"/>
      <c r="F9" s="226" t="s">
        <v>1</v>
      </c>
      <c r="G9" s="227">
        <f>IF(ISBLANK('1. Information'!D9),"",'1. Information'!D9)</f>
        <v>44957</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42594</v>
      </c>
      <c r="G15" s="136">
        <v>0</v>
      </c>
      <c r="H15" s="136">
        <v>0</v>
      </c>
      <c r="I15" s="136">
        <v>0</v>
      </c>
      <c r="J15" s="136">
        <v>0</v>
      </c>
      <c r="K15" s="241">
        <f>SUM(F15:J15)</f>
        <v>42594</v>
      </c>
      <c r="L15" s="175"/>
    </row>
    <row r="16" spans="1:12" ht="15" customHeight="1" x14ac:dyDescent="0.25">
      <c r="A16" s="123"/>
      <c r="B16" s="234">
        <v>2</v>
      </c>
      <c r="C16" s="163" t="s">
        <v>7</v>
      </c>
      <c r="D16" s="242"/>
      <c r="E16" s="243"/>
      <c r="F16" s="136">
        <v>0</v>
      </c>
      <c r="G16" s="136">
        <v>0</v>
      </c>
      <c r="H16" s="136">
        <v>0</v>
      </c>
      <c r="I16" s="136">
        <v>0</v>
      </c>
      <c r="J16" s="136">
        <v>0</v>
      </c>
      <c r="K16" s="241">
        <f t="shared" ref="K16:K17" si="0">SUM(F16:J16)</f>
        <v>0</v>
      </c>
      <c r="L16" s="175"/>
    </row>
    <row r="17" spans="1:12" ht="15.75" customHeight="1" x14ac:dyDescent="0.25">
      <c r="A17" s="123"/>
      <c r="B17" s="234">
        <v>3</v>
      </c>
      <c r="C17" s="163" t="s">
        <v>117</v>
      </c>
      <c r="D17" s="242"/>
      <c r="E17" s="243"/>
      <c r="F17" s="136">
        <v>2755560</v>
      </c>
      <c r="G17" s="136">
        <v>0</v>
      </c>
      <c r="H17" s="136">
        <v>0</v>
      </c>
      <c r="I17" s="136">
        <v>0</v>
      </c>
      <c r="J17" s="136">
        <v>0</v>
      </c>
      <c r="K17" s="241">
        <f t="shared" si="0"/>
        <v>2755560</v>
      </c>
      <c r="L17" s="175"/>
    </row>
    <row r="18" spans="1:12" x14ac:dyDescent="0.25">
      <c r="A18" s="123"/>
      <c r="B18" s="234">
        <v>4</v>
      </c>
      <c r="C18" s="163" t="s">
        <v>187</v>
      </c>
      <c r="D18" s="242"/>
      <c r="E18" s="243"/>
      <c r="F18" s="136">
        <v>0</v>
      </c>
      <c r="G18" s="244"/>
      <c r="H18" s="244"/>
      <c r="I18" s="244"/>
      <c r="J18" s="244"/>
      <c r="K18" s="241">
        <f>F18</f>
        <v>0</v>
      </c>
      <c r="L18" s="175"/>
    </row>
    <row r="19" spans="1:12" x14ac:dyDescent="0.25">
      <c r="A19" s="123"/>
      <c r="B19" s="234">
        <v>5</v>
      </c>
      <c r="C19" s="163" t="s">
        <v>284</v>
      </c>
      <c r="D19" s="242"/>
      <c r="E19" s="243"/>
      <c r="F19" s="136">
        <v>0</v>
      </c>
      <c r="G19" s="244"/>
      <c r="H19" s="244"/>
      <c r="I19" s="244"/>
      <c r="J19" s="244"/>
      <c r="K19" s="241">
        <f t="shared" ref="K19:K24" si="1">F19</f>
        <v>0</v>
      </c>
      <c r="L19" s="175"/>
    </row>
    <row r="20" spans="1:12" ht="15.75" customHeight="1" x14ac:dyDescent="0.25">
      <c r="A20" s="123"/>
      <c r="B20" s="234">
        <v>6</v>
      </c>
      <c r="C20" s="163" t="s">
        <v>186</v>
      </c>
      <c r="D20" s="242"/>
      <c r="E20" s="243"/>
      <c r="F20" s="136">
        <v>0</v>
      </c>
      <c r="G20" s="244"/>
      <c r="H20" s="244"/>
      <c r="I20" s="244"/>
      <c r="J20" s="244"/>
      <c r="K20" s="241">
        <f t="shared" si="1"/>
        <v>0</v>
      </c>
      <c r="L20" s="175"/>
    </row>
    <row r="21" spans="1:12" x14ac:dyDescent="0.25">
      <c r="A21" s="124"/>
      <c r="B21" s="218">
        <v>7</v>
      </c>
      <c r="C21" s="242" t="s">
        <v>247</v>
      </c>
      <c r="D21" s="245"/>
      <c r="E21" s="243"/>
      <c r="F21" s="136">
        <v>0</v>
      </c>
      <c r="G21" s="246"/>
      <c r="H21" s="246"/>
      <c r="I21" s="246"/>
      <c r="J21" s="246"/>
      <c r="K21" s="241">
        <f t="shared" si="1"/>
        <v>0</v>
      </c>
      <c r="L21" s="175"/>
    </row>
    <row r="22" spans="1:12" x14ac:dyDescent="0.25">
      <c r="A22" s="124"/>
      <c r="B22" s="218">
        <v>8</v>
      </c>
      <c r="C22" s="242" t="s">
        <v>192</v>
      </c>
      <c r="D22" s="245"/>
      <c r="E22" s="243"/>
      <c r="F22" s="136">
        <v>0</v>
      </c>
      <c r="G22" s="246"/>
      <c r="H22" s="246"/>
      <c r="I22" s="246"/>
      <c r="J22" s="246"/>
      <c r="K22" s="241">
        <f t="shared" si="1"/>
        <v>0</v>
      </c>
      <c r="L22" s="175"/>
    </row>
    <row r="23" spans="1:12" x14ac:dyDescent="0.25">
      <c r="A23" s="124"/>
      <c r="B23" s="218">
        <v>9</v>
      </c>
      <c r="C23" s="242" t="s">
        <v>193</v>
      </c>
      <c r="D23" s="245"/>
      <c r="E23" s="243"/>
      <c r="F23" s="136">
        <v>0</v>
      </c>
      <c r="G23" s="246"/>
      <c r="H23" s="246"/>
      <c r="I23" s="246"/>
      <c r="J23" s="246"/>
      <c r="K23" s="241">
        <f t="shared" si="1"/>
        <v>0</v>
      </c>
      <c r="L23" s="175"/>
    </row>
    <row r="24" spans="1:12" x14ac:dyDescent="0.25">
      <c r="A24" s="124"/>
      <c r="B24" s="218">
        <v>10</v>
      </c>
      <c r="C24" s="242" t="s">
        <v>191</v>
      </c>
      <c r="D24" s="245"/>
      <c r="E24" s="243"/>
      <c r="F24" s="136">
        <v>0</v>
      </c>
      <c r="G24" s="246"/>
      <c r="H24" s="246"/>
      <c r="I24" s="246"/>
      <c r="J24" s="246"/>
      <c r="K24" s="241">
        <f t="shared" si="1"/>
        <v>0</v>
      </c>
      <c r="L24" s="175"/>
    </row>
    <row r="25" spans="1:12" ht="15.75" customHeight="1" x14ac:dyDescent="0.25">
      <c r="A25" s="123"/>
      <c r="B25" s="234">
        <v>11</v>
      </c>
      <c r="C25" s="163" t="s">
        <v>123</v>
      </c>
      <c r="D25" s="242"/>
      <c r="E25" s="243"/>
      <c r="F25" s="244">
        <f>SUM(G34:G133)</f>
        <v>6803791</v>
      </c>
      <c r="G25" s="246">
        <f>SUM(H34:H133)</f>
        <v>2616474</v>
      </c>
      <c r="H25" s="246">
        <f>SUM(I34:I133)</f>
        <v>0</v>
      </c>
      <c r="I25" s="246">
        <f>SUM(J34:J133)</f>
        <v>0</v>
      </c>
      <c r="J25" s="246">
        <f>SUM(K34:K133)</f>
        <v>622026</v>
      </c>
      <c r="K25" s="246">
        <f>SUM(F25:J25)</f>
        <v>10042291</v>
      </c>
      <c r="L25" s="175"/>
    </row>
    <row r="26" spans="1:12" ht="30.95" customHeight="1" x14ac:dyDescent="0.25">
      <c r="A26" s="123"/>
      <c r="B26" s="234">
        <v>12</v>
      </c>
      <c r="C26" s="247" t="s">
        <v>190</v>
      </c>
      <c r="D26" s="248"/>
      <c r="E26" s="249"/>
      <c r="F26" s="250">
        <f t="shared" ref="F26" si="2">SUM(F15:F17,F19:F25)</f>
        <v>9601945</v>
      </c>
      <c r="G26" s="250">
        <f>SUM(G15:G17,G25)</f>
        <v>2616474</v>
      </c>
      <c r="H26" s="251">
        <f>SUM(H15:H17,H25)</f>
        <v>0</v>
      </c>
      <c r="I26" s="250">
        <f>SUM(I15:I17,I25)</f>
        <v>0</v>
      </c>
      <c r="J26" s="250">
        <f>SUM(J15:J17,J25)</f>
        <v>622026</v>
      </c>
      <c r="K26" s="250">
        <f>SUM(F26:J26)</f>
        <v>12840445</v>
      </c>
      <c r="L26" s="175"/>
    </row>
    <row r="27" spans="1:12" ht="30.95" customHeight="1" x14ac:dyDescent="0.25">
      <c r="A27" s="123"/>
      <c r="B27" s="234">
        <v>13</v>
      </c>
      <c r="C27" s="252" t="s">
        <v>675</v>
      </c>
      <c r="D27" s="252"/>
      <c r="E27" s="252"/>
      <c r="F27" s="250">
        <f>SUM(F15:F17,F19,F20,F25)</f>
        <v>9601945</v>
      </c>
      <c r="G27" s="250">
        <f>SUM(G15:G17,G25)</f>
        <v>2616474</v>
      </c>
      <c r="H27" s="250">
        <f t="shared" ref="H27:J27" si="3">SUM(H15:H17,H25)</f>
        <v>0</v>
      </c>
      <c r="I27" s="250">
        <f t="shared" si="3"/>
        <v>0</v>
      </c>
      <c r="J27" s="250">
        <f t="shared" si="3"/>
        <v>622026</v>
      </c>
      <c r="K27" s="250">
        <f>SUM(F27:J27)</f>
        <v>12840445</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9</v>
      </c>
      <c r="D34" s="144" t="s">
        <v>819</v>
      </c>
      <c r="E34" s="144"/>
      <c r="F34" s="127" t="s">
        <v>95</v>
      </c>
      <c r="G34" s="126">
        <v>1882718</v>
      </c>
      <c r="H34" s="126">
        <v>1591781</v>
      </c>
      <c r="I34" s="126">
        <v>0</v>
      </c>
      <c r="J34" s="129">
        <v>0</v>
      </c>
      <c r="K34" s="126">
        <v>38362</v>
      </c>
      <c r="L34" s="246">
        <f>SUM(G34:K34)</f>
        <v>3512861</v>
      </c>
    </row>
    <row r="35" spans="1:12" x14ac:dyDescent="0.25">
      <c r="A35" s="123"/>
      <c r="B35" s="262">
        <v>15</v>
      </c>
      <c r="C35" s="263">
        <f t="shared" si="4"/>
        <v>9</v>
      </c>
      <c r="D35" s="144" t="s">
        <v>816</v>
      </c>
      <c r="E35" s="144"/>
      <c r="F35" s="127" t="s">
        <v>95</v>
      </c>
      <c r="G35" s="126">
        <v>20000</v>
      </c>
      <c r="H35" s="126">
        <v>0</v>
      </c>
      <c r="I35" s="126">
        <v>0</v>
      </c>
      <c r="J35" s="129">
        <v>0</v>
      </c>
      <c r="K35" s="126">
        <v>0</v>
      </c>
      <c r="L35" s="246">
        <f t="shared" ref="L35:L98" si="5">SUM(G35:K35)</f>
        <v>20000</v>
      </c>
    </row>
    <row r="36" spans="1:12" x14ac:dyDescent="0.25">
      <c r="A36" s="123"/>
      <c r="B36" s="262">
        <v>16</v>
      </c>
      <c r="C36" s="263">
        <f t="shared" si="4"/>
        <v>9</v>
      </c>
      <c r="D36" s="144" t="s">
        <v>817</v>
      </c>
      <c r="E36" s="144"/>
      <c r="F36" s="127" t="s">
        <v>95</v>
      </c>
      <c r="G36" s="126">
        <v>0</v>
      </c>
      <c r="H36" s="126">
        <v>70114</v>
      </c>
      <c r="I36" s="126">
        <v>0</v>
      </c>
      <c r="J36" s="129">
        <v>0</v>
      </c>
      <c r="K36" s="126">
        <v>1509</v>
      </c>
      <c r="L36" s="246">
        <f t="shared" si="5"/>
        <v>71623</v>
      </c>
    </row>
    <row r="37" spans="1:12" x14ac:dyDescent="0.25">
      <c r="A37" s="123"/>
      <c r="B37" s="262">
        <v>17</v>
      </c>
      <c r="C37" s="263">
        <f t="shared" si="4"/>
        <v>9</v>
      </c>
      <c r="D37" s="144" t="s">
        <v>818</v>
      </c>
      <c r="E37" s="144"/>
      <c r="F37" s="127" t="s">
        <v>95</v>
      </c>
      <c r="G37" s="126">
        <v>2535186</v>
      </c>
      <c r="H37" s="126">
        <v>437088</v>
      </c>
      <c r="I37" s="126">
        <v>0</v>
      </c>
      <c r="J37" s="129">
        <v>0</v>
      </c>
      <c r="K37" s="126">
        <v>115790</v>
      </c>
      <c r="L37" s="246">
        <f t="shared" si="5"/>
        <v>3088064</v>
      </c>
    </row>
    <row r="38" spans="1:12" x14ac:dyDescent="0.25">
      <c r="A38" s="123"/>
      <c r="B38" s="262">
        <v>18</v>
      </c>
      <c r="C38" s="263">
        <f t="shared" si="4"/>
        <v>9</v>
      </c>
      <c r="D38" s="144" t="s">
        <v>820</v>
      </c>
      <c r="E38" s="144"/>
      <c r="F38" s="127" t="s">
        <v>95</v>
      </c>
      <c r="G38" s="126">
        <v>62822</v>
      </c>
      <c r="H38" s="126">
        <v>243587</v>
      </c>
      <c r="I38" s="126">
        <v>0</v>
      </c>
      <c r="J38" s="129">
        <v>0</v>
      </c>
      <c r="K38" s="126">
        <v>3432</v>
      </c>
      <c r="L38" s="246">
        <f t="shared" si="5"/>
        <v>309841</v>
      </c>
    </row>
    <row r="39" spans="1:12" ht="30.75" x14ac:dyDescent="0.25">
      <c r="A39" s="123"/>
      <c r="B39" s="262">
        <v>19</v>
      </c>
      <c r="C39" s="263">
        <f t="shared" si="4"/>
        <v>9</v>
      </c>
      <c r="D39" s="144" t="s">
        <v>821</v>
      </c>
      <c r="E39" s="144"/>
      <c r="F39" s="127" t="s">
        <v>96</v>
      </c>
      <c r="G39" s="126">
        <v>1623006</v>
      </c>
      <c r="H39" s="126">
        <v>167140</v>
      </c>
      <c r="I39" s="126">
        <v>0</v>
      </c>
      <c r="J39" s="129">
        <v>0</v>
      </c>
      <c r="K39" s="126">
        <v>122032</v>
      </c>
      <c r="L39" s="246">
        <f t="shared" si="5"/>
        <v>1912178</v>
      </c>
    </row>
    <row r="40" spans="1:12" ht="30.75" x14ac:dyDescent="0.25">
      <c r="A40" s="123"/>
      <c r="B40" s="262">
        <v>20</v>
      </c>
      <c r="C40" s="263">
        <f t="shared" si="4"/>
        <v>9</v>
      </c>
      <c r="D40" s="144" t="s">
        <v>822</v>
      </c>
      <c r="E40" s="144"/>
      <c r="F40" s="127" t="s">
        <v>96</v>
      </c>
      <c r="G40" s="126">
        <v>0</v>
      </c>
      <c r="H40" s="126">
        <v>69629</v>
      </c>
      <c r="I40" s="126">
        <v>0</v>
      </c>
      <c r="J40" s="129">
        <v>0</v>
      </c>
      <c r="K40" s="126">
        <v>302598</v>
      </c>
      <c r="L40" s="246">
        <f t="shared" si="5"/>
        <v>372227</v>
      </c>
    </row>
    <row r="41" spans="1:12" x14ac:dyDescent="0.25">
      <c r="A41" s="123"/>
      <c r="B41" s="262">
        <v>21</v>
      </c>
      <c r="C41" s="263" t="str">
        <f t="shared" si="4"/>
        <v/>
      </c>
      <c r="D41" s="144" t="s">
        <v>823</v>
      </c>
      <c r="E41" s="144"/>
      <c r="F41" s="127" t="s">
        <v>96</v>
      </c>
      <c r="G41" s="126">
        <v>0</v>
      </c>
      <c r="H41" s="126">
        <v>0</v>
      </c>
      <c r="I41" s="126">
        <v>0</v>
      </c>
      <c r="J41" s="129">
        <v>0</v>
      </c>
      <c r="K41" s="126">
        <v>0</v>
      </c>
      <c r="L41" s="246">
        <f t="shared" si="5"/>
        <v>0</v>
      </c>
    </row>
    <row r="42" spans="1:12" x14ac:dyDescent="0.25">
      <c r="A42" s="123"/>
      <c r="B42" s="262">
        <v>22</v>
      </c>
      <c r="C42" s="263">
        <f t="shared" si="4"/>
        <v>9</v>
      </c>
      <c r="D42" s="144" t="s">
        <v>824</v>
      </c>
      <c r="E42" s="144"/>
      <c r="F42" s="127" t="s">
        <v>96</v>
      </c>
      <c r="G42" s="126">
        <v>408908</v>
      </c>
      <c r="H42" s="126">
        <v>37135</v>
      </c>
      <c r="I42" s="126">
        <v>0</v>
      </c>
      <c r="J42" s="129">
        <v>0</v>
      </c>
      <c r="K42" s="126">
        <v>2832</v>
      </c>
      <c r="L42" s="246">
        <f t="shared" si="5"/>
        <v>448875</v>
      </c>
    </row>
    <row r="43" spans="1:12" x14ac:dyDescent="0.25">
      <c r="A43" s="123"/>
      <c r="B43" s="262">
        <v>23</v>
      </c>
      <c r="C43" s="263">
        <f t="shared" si="4"/>
        <v>9</v>
      </c>
      <c r="D43" s="144" t="s">
        <v>825</v>
      </c>
      <c r="E43" s="144"/>
      <c r="F43" s="127" t="s">
        <v>96</v>
      </c>
      <c r="G43" s="126">
        <v>5526</v>
      </c>
      <c r="H43" s="126">
        <v>0</v>
      </c>
      <c r="I43" s="126">
        <v>0</v>
      </c>
      <c r="J43" s="129">
        <v>0</v>
      </c>
      <c r="K43" s="126">
        <v>35471</v>
      </c>
      <c r="L43" s="246">
        <f t="shared" si="5"/>
        <v>40997</v>
      </c>
    </row>
    <row r="44" spans="1:12" ht="30.75" x14ac:dyDescent="0.25">
      <c r="A44" s="123"/>
      <c r="B44" s="262">
        <v>24</v>
      </c>
      <c r="C44" s="263">
        <f t="shared" si="4"/>
        <v>9</v>
      </c>
      <c r="D44" s="144" t="s">
        <v>826</v>
      </c>
      <c r="E44" s="144"/>
      <c r="F44" s="127" t="s">
        <v>96</v>
      </c>
      <c r="G44" s="126">
        <v>260000</v>
      </c>
      <c r="H44" s="126">
        <v>0</v>
      </c>
      <c r="I44" s="126">
        <v>0</v>
      </c>
      <c r="J44" s="129">
        <v>0</v>
      </c>
      <c r="K44" s="126">
        <v>0</v>
      </c>
      <c r="L44" s="246">
        <f t="shared" si="5"/>
        <v>260000</v>
      </c>
    </row>
    <row r="45" spans="1:12" x14ac:dyDescent="0.25">
      <c r="A45" s="123"/>
      <c r="B45" s="262">
        <v>25</v>
      </c>
      <c r="C45" s="263">
        <f t="shared" si="4"/>
        <v>9</v>
      </c>
      <c r="D45" s="144" t="s">
        <v>827</v>
      </c>
      <c r="E45" s="144"/>
      <c r="F45" s="127" t="s">
        <v>96</v>
      </c>
      <c r="G45" s="126">
        <v>5625</v>
      </c>
      <c r="H45" s="126">
        <v>0</v>
      </c>
      <c r="I45" s="126">
        <v>0</v>
      </c>
      <c r="J45" s="129">
        <v>0</v>
      </c>
      <c r="K45" s="126">
        <v>0</v>
      </c>
      <c r="L45" s="246">
        <f t="shared" si="5"/>
        <v>5625</v>
      </c>
    </row>
    <row r="46" spans="1:12" x14ac:dyDescent="0.25">
      <c r="A46" s="123"/>
      <c r="B46" s="262">
        <v>26</v>
      </c>
      <c r="C46" s="263" t="str">
        <f t="shared" si="4"/>
        <v/>
      </c>
      <c r="D46" s="144" t="s">
        <v>828</v>
      </c>
      <c r="E46" s="144"/>
      <c r="F46" s="127" t="s">
        <v>96</v>
      </c>
      <c r="G46" s="126">
        <v>0</v>
      </c>
      <c r="H46" s="126">
        <v>0</v>
      </c>
      <c r="I46" s="126">
        <v>0</v>
      </c>
      <c r="J46" s="129">
        <v>0</v>
      </c>
      <c r="K46" s="126">
        <v>0</v>
      </c>
      <c r="L46" s="246">
        <f t="shared" si="5"/>
        <v>0</v>
      </c>
    </row>
    <row r="47" spans="1:12" x14ac:dyDescent="0.25">
      <c r="A47" s="123"/>
      <c r="B47" s="262">
        <v>27</v>
      </c>
      <c r="C47" s="263" t="str">
        <f t="shared" si="4"/>
        <v/>
      </c>
      <c r="D47" s="144"/>
      <c r="E47" s="144"/>
      <c r="F47" s="127"/>
      <c r="G47" s="126"/>
      <c r="H47" s="126"/>
      <c r="I47" s="126"/>
      <c r="J47" s="129"/>
      <c r="K47" s="126"/>
      <c r="L47" s="246">
        <f t="shared" si="5"/>
        <v>0</v>
      </c>
    </row>
    <row r="48" spans="1:12" x14ac:dyDescent="0.25">
      <c r="A48" s="123"/>
      <c r="B48" s="262">
        <v>28</v>
      </c>
      <c r="C48" s="263" t="str">
        <f t="shared" si="4"/>
        <v/>
      </c>
      <c r="D48" s="144"/>
      <c r="E48" s="144"/>
      <c r="F48" s="127"/>
      <c r="G48" s="126"/>
      <c r="H48" s="126"/>
      <c r="I48" s="126"/>
      <c r="J48" s="129"/>
      <c r="K48" s="126"/>
      <c r="L48" s="246">
        <f t="shared" si="5"/>
        <v>0</v>
      </c>
    </row>
    <row r="49" spans="1:12" x14ac:dyDescent="0.25">
      <c r="A49" s="123"/>
      <c r="B49" s="262">
        <v>29</v>
      </c>
      <c r="C49" s="263" t="str">
        <f t="shared" si="4"/>
        <v/>
      </c>
      <c r="D49" s="144"/>
      <c r="E49" s="144"/>
      <c r="F49" s="127"/>
      <c r="G49" s="126"/>
      <c r="H49" s="126"/>
      <c r="I49" s="126"/>
      <c r="J49" s="129"/>
      <c r="K49" s="126"/>
      <c r="L49" s="246">
        <f t="shared" si="5"/>
        <v>0</v>
      </c>
    </row>
    <row r="50" spans="1:12" x14ac:dyDescent="0.25">
      <c r="A50" s="123"/>
      <c r="B50" s="262">
        <v>30</v>
      </c>
      <c r="C50" s="263" t="str">
        <f t="shared" si="4"/>
        <v/>
      </c>
      <c r="D50" s="144"/>
      <c r="E50" s="144"/>
      <c r="F50" s="127"/>
      <c r="G50" s="126"/>
      <c r="H50" s="126"/>
      <c r="I50" s="126"/>
      <c r="J50" s="129"/>
      <c r="K50" s="126"/>
      <c r="L50" s="246">
        <f t="shared" si="5"/>
        <v>0</v>
      </c>
    </row>
    <row r="51" spans="1:12" x14ac:dyDescent="0.25">
      <c r="A51" s="123"/>
      <c r="B51" s="262">
        <v>31</v>
      </c>
      <c r="C51" s="263" t="str">
        <f t="shared" si="4"/>
        <v/>
      </c>
      <c r="D51" s="144"/>
      <c r="E51" s="144"/>
      <c r="F51" s="127"/>
      <c r="G51" s="126"/>
      <c r="H51" s="126"/>
      <c r="I51" s="126"/>
      <c r="J51" s="129"/>
      <c r="K51" s="126"/>
      <c r="L51" s="246">
        <f t="shared" si="5"/>
        <v>0</v>
      </c>
    </row>
    <row r="52" spans="1:12" x14ac:dyDescent="0.25">
      <c r="A52" s="123"/>
      <c r="B52" s="262">
        <v>32</v>
      </c>
      <c r="C52" s="263" t="str">
        <f t="shared" si="4"/>
        <v/>
      </c>
      <c r="D52" s="144"/>
      <c r="E52" s="144"/>
      <c r="F52" s="127"/>
      <c r="G52" s="126"/>
      <c r="H52" s="126"/>
      <c r="I52" s="126"/>
      <c r="J52" s="129"/>
      <c r="K52" s="126"/>
      <c r="L52" s="246">
        <f t="shared" si="5"/>
        <v>0</v>
      </c>
    </row>
    <row r="53" spans="1:12" x14ac:dyDescent="0.25">
      <c r="A53" s="123"/>
      <c r="B53" s="262">
        <v>33</v>
      </c>
      <c r="C53" s="263" t="str">
        <f t="shared" si="4"/>
        <v/>
      </c>
      <c r="D53" s="144"/>
      <c r="E53" s="144"/>
      <c r="F53" s="127"/>
      <c r="G53" s="126"/>
      <c r="H53" s="126"/>
      <c r="I53" s="126"/>
      <c r="J53" s="129"/>
      <c r="K53" s="126"/>
      <c r="L53" s="246">
        <f t="shared" si="5"/>
        <v>0</v>
      </c>
    </row>
    <row r="54" spans="1:12" x14ac:dyDescent="0.25">
      <c r="A54" s="123"/>
      <c r="B54" s="262">
        <v>34</v>
      </c>
      <c r="C54" s="263" t="str">
        <f t="shared" si="4"/>
        <v/>
      </c>
      <c r="D54" s="144"/>
      <c r="E54" s="144"/>
      <c r="F54" s="127"/>
      <c r="G54" s="126"/>
      <c r="H54" s="126"/>
      <c r="I54" s="126"/>
      <c r="J54" s="129"/>
      <c r="K54" s="126"/>
      <c r="L54" s="246">
        <f t="shared" si="5"/>
        <v>0</v>
      </c>
    </row>
    <row r="55" spans="1:12" x14ac:dyDescent="0.25">
      <c r="A55" s="123"/>
      <c r="B55" s="262">
        <v>35</v>
      </c>
      <c r="C55" s="263" t="str">
        <f t="shared" si="4"/>
        <v/>
      </c>
      <c r="D55" s="144"/>
      <c r="E55" s="144"/>
      <c r="F55" s="127"/>
      <c r="G55" s="126"/>
      <c r="H55" s="126"/>
      <c r="I55" s="126"/>
      <c r="J55" s="129"/>
      <c r="K55" s="126"/>
      <c r="L55" s="246">
        <f t="shared" si="5"/>
        <v>0</v>
      </c>
    </row>
    <row r="56" spans="1:12" x14ac:dyDescent="0.25">
      <c r="A56" s="123"/>
      <c r="B56" s="262">
        <v>36</v>
      </c>
      <c r="C56" s="263" t="str">
        <f t="shared" si="4"/>
        <v/>
      </c>
      <c r="D56" s="144"/>
      <c r="E56" s="144"/>
      <c r="F56" s="127"/>
      <c r="G56" s="126"/>
      <c r="H56" s="126"/>
      <c r="I56" s="126"/>
      <c r="J56" s="129"/>
      <c r="K56" s="126"/>
      <c r="L56" s="246">
        <f t="shared" si="5"/>
        <v>0</v>
      </c>
    </row>
    <row r="57" spans="1:12" x14ac:dyDescent="0.25">
      <c r="A57" s="123"/>
      <c r="B57" s="262">
        <v>37</v>
      </c>
      <c r="C57" s="263" t="str">
        <f t="shared" si="4"/>
        <v/>
      </c>
      <c r="D57" s="144"/>
      <c r="E57" s="144"/>
      <c r="F57" s="127"/>
      <c r="G57" s="126"/>
      <c r="H57" s="126"/>
      <c r="I57" s="126"/>
      <c r="J57" s="129"/>
      <c r="K57" s="126"/>
      <c r="L57" s="246">
        <f t="shared" si="5"/>
        <v>0</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FF00"/>
    <pageSetUpPr autoPageBreaks="0"/>
  </sheetPr>
  <dimension ref="A1:AN134"/>
  <sheetViews>
    <sheetView showGridLines="0" topLeftCell="F7" zoomScale="80" zoomScaleNormal="80" zoomScaleSheetLayoutView="40" zoomScalePageLayoutView="80" workbookViewId="0">
      <selection activeCell="L55" sqref="L55"/>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El Dorado</v>
      </c>
      <c r="E9" s="27" t="str">
        <f>IF(ISBLANK('1. Information'!D11),"",'1. Information'!D11)</f>
        <v>El Dorado</v>
      </c>
      <c r="F9" s="226" t="s">
        <v>1</v>
      </c>
      <c r="G9" s="264">
        <f>IF(ISBLANK('1. Information'!D9),"",'1. Information'!D9)</f>
        <v>44957</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0</v>
      </c>
      <c r="G15" s="136">
        <v>0</v>
      </c>
      <c r="H15" s="136">
        <v>0</v>
      </c>
      <c r="I15" s="136">
        <v>0</v>
      </c>
      <c r="J15" s="136">
        <v>0</v>
      </c>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0</v>
      </c>
      <c r="G16" s="136">
        <v>0</v>
      </c>
      <c r="H16" s="136">
        <v>0</v>
      </c>
      <c r="I16" s="136">
        <v>0</v>
      </c>
      <c r="J16" s="136">
        <v>0</v>
      </c>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v>110665</v>
      </c>
      <c r="G17" s="136">
        <v>0</v>
      </c>
      <c r="H17" s="136">
        <v>0</v>
      </c>
      <c r="I17" s="136">
        <v>0</v>
      </c>
      <c r="J17" s="136">
        <v>0</v>
      </c>
      <c r="K17" s="241">
        <f t="shared" si="0"/>
        <v>110665</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v>47443.98</v>
      </c>
      <c r="G18" s="244"/>
      <c r="H18" s="244"/>
      <c r="I18" s="244"/>
      <c r="J18" s="244"/>
      <c r="K18" s="241">
        <f>F18</f>
        <v>47443.98</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v>0</v>
      </c>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0</v>
      </c>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1884009</v>
      </c>
      <c r="G21" s="275">
        <f>SUMIF($G$34:$G$133,"Combined Summary",M$34:M$133) + SUMIF($F$34:$F$133,"Standalone",M$34:M$133)</f>
        <v>0</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1884009</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1994674</v>
      </c>
      <c r="G22" s="279">
        <f t="shared" ref="G22:J22" si="2">SUM(G15:G17,G20:G21)</f>
        <v>0</v>
      </c>
      <c r="H22" s="279">
        <f t="shared" si="2"/>
        <v>0</v>
      </c>
      <c r="I22" s="279">
        <f t="shared" si="2"/>
        <v>0</v>
      </c>
      <c r="J22" s="279">
        <f t="shared" si="2"/>
        <v>0</v>
      </c>
      <c r="K22" s="279">
        <f t="shared" si="0"/>
        <v>1994674</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0.62024765450394392</v>
      </c>
      <c r="F28" s="18"/>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9</v>
      </c>
      <c r="D34" s="144" t="s">
        <v>795</v>
      </c>
      <c r="E34" s="144"/>
      <c r="F34" s="147" t="s">
        <v>125</v>
      </c>
      <c r="G34" s="148" t="s">
        <v>121</v>
      </c>
      <c r="H34" s="33"/>
      <c r="I34" s="36">
        <v>1</v>
      </c>
      <c r="J34" s="36">
        <v>0.62</v>
      </c>
      <c r="K34" s="302">
        <f>IF(OR(G34="Combined Summary",F34="Standalone"),(SUMPRODUCT(--(D$34:D$133=D34),I$34:I$133,J$34:J$133)),"")</f>
        <v>0.62</v>
      </c>
      <c r="L34" s="126">
        <v>218259</v>
      </c>
      <c r="M34" s="133">
        <v>0</v>
      </c>
      <c r="N34" s="30">
        <v>0</v>
      </c>
      <c r="O34" s="30">
        <v>0</v>
      </c>
      <c r="P34" s="30">
        <v>0</v>
      </c>
      <c r="Q34" s="303">
        <f>SUM(L34:P34)</f>
        <v>218259</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9</v>
      </c>
      <c r="D35" s="147" t="s">
        <v>815</v>
      </c>
      <c r="E35" s="144"/>
      <c r="F35" s="147" t="s">
        <v>125</v>
      </c>
      <c r="G35" s="148" t="s">
        <v>121</v>
      </c>
      <c r="H35" s="147"/>
      <c r="I35" s="36">
        <v>1</v>
      </c>
      <c r="J35" s="36">
        <v>0</v>
      </c>
      <c r="K35" s="302">
        <f t="shared" ref="K35:K98" si="4">IF(OR(G35="Combined Summary",F35="Standalone"),(SUMPRODUCT(--(D$34:D$133=D35),I$34:I$133,J$34:J$133)),"")</f>
        <v>0</v>
      </c>
      <c r="L35" s="126">
        <v>57873</v>
      </c>
      <c r="M35" s="133">
        <v>0</v>
      </c>
      <c r="N35" s="30">
        <v>0</v>
      </c>
      <c r="O35" s="30">
        <v>0</v>
      </c>
      <c r="P35" s="30">
        <v>0</v>
      </c>
      <c r="Q35" s="303">
        <f t="shared" ref="Q35:Q98" si="5">SUM(L35:P35)</f>
        <v>57873</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9</v>
      </c>
      <c r="D36" s="144" t="s">
        <v>796</v>
      </c>
      <c r="E36" s="144"/>
      <c r="F36" s="147" t="s">
        <v>125</v>
      </c>
      <c r="G36" s="148" t="s">
        <v>121</v>
      </c>
      <c r="H36" s="33"/>
      <c r="I36" s="36">
        <v>1</v>
      </c>
      <c r="J36" s="36">
        <v>1</v>
      </c>
      <c r="K36" s="302">
        <f t="shared" si="4"/>
        <v>1</v>
      </c>
      <c r="L36" s="126">
        <v>105393</v>
      </c>
      <c r="M36" s="133">
        <v>0</v>
      </c>
      <c r="N36" s="30">
        <v>0</v>
      </c>
      <c r="O36" s="30">
        <v>0</v>
      </c>
      <c r="P36" s="30">
        <v>0</v>
      </c>
      <c r="Q36" s="303">
        <f t="shared" si="5"/>
        <v>105393</v>
      </c>
      <c r="R36" s="178">
        <f t="shared" si="6"/>
        <v>1</v>
      </c>
      <c r="S36" s="180" t="str">
        <f t="shared" si="7"/>
        <v/>
      </c>
      <c r="AL36" s="27"/>
      <c r="AM36" s="27"/>
      <c r="AN36" s="27"/>
    </row>
    <row r="37" spans="2:40" ht="30.75" x14ac:dyDescent="0.25">
      <c r="B37" s="300">
        <v>13</v>
      </c>
      <c r="C37" s="301">
        <f t="shared" si="3"/>
        <v>9</v>
      </c>
      <c r="D37" s="144" t="s">
        <v>797</v>
      </c>
      <c r="E37" s="144"/>
      <c r="F37" s="147" t="s">
        <v>125</v>
      </c>
      <c r="G37" s="148" t="s">
        <v>121</v>
      </c>
      <c r="H37" s="33"/>
      <c r="I37" s="36">
        <v>1</v>
      </c>
      <c r="J37" s="36">
        <v>1</v>
      </c>
      <c r="K37" s="302">
        <f t="shared" si="4"/>
        <v>1</v>
      </c>
      <c r="L37" s="126">
        <v>86173</v>
      </c>
      <c r="M37" s="133">
        <v>0</v>
      </c>
      <c r="N37" s="30">
        <v>0</v>
      </c>
      <c r="O37" s="30">
        <v>0</v>
      </c>
      <c r="P37" s="30">
        <v>0</v>
      </c>
      <c r="Q37" s="303">
        <f t="shared" si="5"/>
        <v>86173</v>
      </c>
      <c r="R37" s="178">
        <f t="shared" si="6"/>
        <v>1</v>
      </c>
      <c r="S37" s="180" t="str">
        <f t="shared" si="7"/>
        <v/>
      </c>
      <c r="AL37" s="27"/>
      <c r="AM37" s="27"/>
      <c r="AN37" s="27"/>
    </row>
    <row r="38" spans="2:40" ht="45.75" x14ac:dyDescent="0.25">
      <c r="B38" s="300">
        <v>14</v>
      </c>
      <c r="C38" s="301">
        <f t="shared" si="3"/>
        <v>9</v>
      </c>
      <c r="D38" s="144" t="s">
        <v>798</v>
      </c>
      <c r="E38" s="144"/>
      <c r="F38" s="147" t="s">
        <v>125</v>
      </c>
      <c r="G38" s="148" t="s">
        <v>121</v>
      </c>
      <c r="H38" s="33"/>
      <c r="I38" s="36">
        <v>1</v>
      </c>
      <c r="J38" s="36">
        <v>0.5</v>
      </c>
      <c r="K38" s="302">
        <f t="shared" si="4"/>
        <v>0.5</v>
      </c>
      <c r="L38" s="126">
        <v>452</v>
      </c>
      <c r="M38" s="133">
        <v>0</v>
      </c>
      <c r="N38" s="30">
        <v>0</v>
      </c>
      <c r="O38" s="30">
        <v>0</v>
      </c>
      <c r="P38" s="30">
        <v>0</v>
      </c>
      <c r="Q38" s="303">
        <f t="shared" si="5"/>
        <v>452</v>
      </c>
      <c r="R38" s="178">
        <f t="shared" si="6"/>
        <v>1</v>
      </c>
      <c r="S38" s="180" t="str">
        <f t="shared" si="7"/>
        <v/>
      </c>
      <c r="AL38" s="27"/>
      <c r="AM38" s="27"/>
      <c r="AN38" s="27"/>
    </row>
    <row r="39" spans="2:40" x14ac:dyDescent="0.25">
      <c r="B39" s="300">
        <v>15</v>
      </c>
      <c r="C39" s="301">
        <f t="shared" si="3"/>
        <v>9</v>
      </c>
      <c r="D39" s="144" t="s">
        <v>799</v>
      </c>
      <c r="E39" s="144"/>
      <c r="F39" s="147" t="s">
        <v>125</v>
      </c>
      <c r="G39" s="148" t="s">
        <v>122</v>
      </c>
      <c r="H39" s="33"/>
      <c r="I39" s="36">
        <v>1</v>
      </c>
      <c r="J39" s="36">
        <v>1</v>
      </c>
      <c r="K39" s="302">
        <f t="shared" si="4"/>
        <v>1</v>
      </c>
      <c r="L39" s="126">
        <v>299914</v>
      </c>
      <c r="M39" s="133">
        <v>0</v>
      </c>
      <c r="N39" s="30">
        <v>0</v>
      </c>
      <c r="O39" s="30">
        <v>0</v>
      </c>
      <c r="P39" s="30">
        <v>0</v>
      </c>
      <c r="Q39" s="303">
        <f t="shared" si="5"/>
        <v>299914</v>
      </c>
      <c r="R39" s="178">
        <f t="shared" si="6"/>
        <v>1</v>
      </c>
      <c r="S39" s="180" t="str">
        <f t="shared" si="7"/>
        <v/>
      </c>
      <c r="AL39" s="27"/>
      <c r="AM39" s="27"/>
      <c r="AN39" s="27"/>
    </row>
    <row r="40" spans="2:40" ht="30.75" x14ac:dyDescent="0.25">
      <c r="B40" s="300">
        <v>16</v>
      </c>
      <c r="C40" s="301">
        <f t="shared" si="3"/>
        <v>9</v>
      </c>
      <c r="D40" s="144" t="s">
        <v>800</v>
      </c>
      <c r="E40" s="144"/>
      <c r="F40" s="147" t="s">
        <v>125</v>
      </c>
      <c r="G40" s="148" t="s">
        <v>122</v>
      </c>
      <c r="H40" s="33"/>
      <c r="I40" s="36">
        <v>1</v>
      </c>
      <c r="J40" s="36">
        <v>1</v>
      </c>
      <c r="K40" s="302">
        <f t="shared" si="4"/>
        <v>1</v>
      </c>
      <c r="L40" s="126">
        <v>257037</v>
      </c>
      <c r="M40" s="133">
        <v>0</v>
      </c>
      <c r="N40" s="30">
        <v>0</v>
      </c>
      <c r="O40" s="30">
        <v>0</v>
      </c>
      <c r="P40" s="30">
        <v>0</v>
      </c>
      <c r="Q40" s="303">
        <f t="shared" si="5"/>
        <v>257037</v>
      </c>
      <c r="R40" s="178">
        <f t="shared" si="6"/>
        <v>1</v>
      </c>
      <c r="S40" s="180" t="str">
        <f t="shared" si="7"/>
        <v/>
      </c>
      <c r="AL40" s="27"/>
      <c r="AM40" s="27"/>
      <c r="AN40" s="27"/>
    </row>
    <row r="41" spans="2:40" x14ac:dyDescent="0.25">
      <c r="B41" s="300">
        <v>17</v>
      </c>
      <c r="C41" s="301">
        <f t="shared" si="3"/>
        <v>9</v>
      </c>
      <c r="D41" s="144" t="s">
        <v>801</v>
      </c>
      <c r="E41" s="144"/>
      <c r="F41" s="147" t="s">
        <v>125</v>
      </c>
      <c r="G41" s="148" t="s">
        <v>122</v>
      </c>
      <c r="H41" s="33"/>
      <c r="I41" s="36">
        <v>1</v>
      </c>
      <c r="J41" s="36">
        <v>0.3</v>
      </c>
      <c r="K41" s="302">
        <f t="shared" si="4"/>
        <v>0.3</v>
      </c>
      <c r="L41" s="126">
        <v>157832</v>
      </c>
      <c r="M41" s="133">
        <v>0</v>
      </c>
      <c r="N41" s="30">
        <v>0</v>
      </c>
      <c r="O41" s="30">
        <v>0</v>
      </c>
      <c r="P41" s="30">
        <v>0</v>
      </c>
      <c r="Q41" s="303">
        <f t="shared" si="5"/>
        <v>157832</v>
      </c>
      <c r="R41" s="178">
        <f t="shared" si="6"/>
        <v>1</v>
      </c>
      <c r="S41" s="180" t="str">
        <f t="shared" si="7"/>
        <v/>
      </c>
      <c r="AL41" s="27"/>
      <c r="AM41" s="27"/>
      <c r="AN41" s="27"/>
    </row>
    <row r="42" spans="2:40" x14ac:dyDescent="0.25">
      <c r="B42" s="300">
        <v>18</v>
      </c>
      <c r="C42" s="301">
        <f t="shared" si="3"/>
        <v>9</v>
      </c>
      <c r="D42" s="144" t="s">
        <v>802</v>
      </c>
      <c r="E42" s="144"/>
      <c r="F42" s="147" t="s">
        <v>125</v>
      </c>
      <c r="G42" s="148" t="s">
        <v>122</v>
      </c>
      <c r="H42" s="33"/>
      <c r="I42" s="36">
        <v>1</v>
      </c>
      <c r="J42" s="36">
        <v>1</v>
      </c>
      <c r="K42" s="302">
        <f t="shared" si="4"/>
        <v>1</v>
      </c>
      <c r="L42" s="126">
        <v>0</v>
      </c>
      <c r="M42" s="133">
        <v>0</v>
      </c>
      <c r="N42" s="30">
        <v>0</v>
      </c>
      <c r="O42" s="30">
        <v>0</v>
      </c>
      <c r="P42" s="30">
        <v>0</v>
      </c>
      <c r="Q42" s="303">
        <f t="shared" si="5"/>
        <v>0</v>
      </c>
      <c r="R42" s="178">
        <f t="shared" si="6"/>
        <v>1</v>
      </c>
      <c r="S42" s="180" t="str">
        <f t="shared" si="7"/>
        <v/>
      </c>
      <c r="AL42" s="27"/>
      <c r="AM42" s="27"/>
      <c r="AN42" s="27"/>
    </row>
    <row r="43" spans="2:40" x14ac:dyDescent="0.25">
      <c r="B43" s="300">
        <v>19</v>
      </c>
      <c r="C43" s="301">
        <f t="shared" si="3"/>
        <v>9</v>
      </c>
      <c r="D43" s="144" t="s">
        <v>814</v>
      </c>
      <c r="E43" s="144"/>
      <c r="F43" s="147" t="s">
        <v>125</v>
      </c>
      <c r="G43" s="148" t="s">
        <v>122</v>
      </c>
      <c r="H43" s="33"/>
      <c r="I43" s="36">
        <v>1</v>
      </c>
      <c r="J43" s="36">
        <v>0.17</v>
      </c>
      <c r="K43" s="302">
        <f t="shared" si="4"/>
        <v>0.17</v>
      </c>
      <c r="L43" s="126">
        <v>11888</v>
      </c>
      <c r="M43" s="133">
        <v>0</v>
      </c>
      <c r="N43" s="30">
        <v>0</v>
      </c>
      <c r="O43" s="30">
        <v>0</v>
      </c>
      <c r="P43" s="30">
        <v>0</v>
      </c>
      <c r="Q43" s="303">
        <f t="shared" si="5"/>
        <v>11888</v>
      </c>
      <c r="R43" s="178">
        <f t="shared" si="6"/>
        <v>1</v>
      </c>
      <c r="S43" s="180" t="str">
        <f t="shared" si="7"/>
        <v/>
      </c>
      <c r="AL43" s="27"/>
      <c r="AM43" s="27"/>
      <c r="AN43" s="27"/>
    </row>
    <row r="44" spans="2:40" x14ac:dyDescent="0.25">
      <c r="B44" s="300">
        <v>20</v>
      </c>
      <c r="C44" s="301">
        <f t="shared" si="3"/>
        <v>9</v>
      </c>
      <c r="D44" s="144" t="s">
        <v>803</v>
      </c>
      <c r="E44" s="144"/>
      <c r="F44" s="147" t="s">
        <v>125</v>
      </c>
      <c r="G44" s="148" t="s">
        <v>122</v>
      </c>
      <c r="H44" s="33"/>
      <c r="I44" s="36">
        <v>1</v>
      </c>
      <c r="J44" s="36">
        <v>0.02</v>
      </c>
      <c r="K44" s="302">
        <f t="shared" si="4"/>
        <v>0.02</v>
      </c>
      <c r="L44" s="126">
        <v>40000</v>
      </c>
      <c r="M44" s="133">
        <v>0</v>
      </c>
      <c r="N44" s="30">
        <v>0</v>
      </c>
      <c r="O44" s="30">
        <v>0</v>
      </c>
      <c r="P44" s="30">
        <v>0</v>
      </c>
      <c r="Q44" s="303">
        <f t="shared" si="5"/>
        <v>40000</v>
      </c>
      <c r="R44" s="178">
        <f t="shared" si="6"/>
        <v>1</v>
      </c>
      <c r="S44" s="180" t="str">
        <f t="shared" si="7"/>
        <v/>
      </c>
      <c r="AL44" s="27"/>
      <c r="AM44" s="27"/>
      <c r="AN44" s="27"/>
    </row>
    <row r="45" spans="2:40" x14ac:dyDescent="0.25">
      <c r="B45" s="300">
        <v>21</v>
      </c>
      <c r="C45" s="301">
        <f t="shared" si="3"/>
        <v>9</v>
      </c>
      <c r="D45" s="144" t="s">
        <v>804</v>
      </c>
      <c r="E45" s="144"/>
      <c r="F45" s="147" t="s">
        <v>125</v>
      </c>
      <c r="G45" s="148" t="s">
        <v>122</v>
      </c>
      <c r="H45" s="33"/>
      <c r="I45" s="36">
        <v>1</v>
      </c>
      <c r="J45" s="36">
        <v>1</v>
      </c>
      <c r="K45" s="302">
        <f t="shared" si="4"/>
        <v>1</v>
      </c>
      <c r="L45" s="126">
        <v>0</v>
      </c>
      <c r="M45" s="133">
        <v>0</v>
      </c>
      <c r="N45" s="30">
        <v>0</v>
      </c>
      <c r="O45" s="30">
        <v>0</v>
      </c>
      <c r="P45" s="30">
        <v>0</v>
      </c>
      <c r="Q45" s="303">
        <f t="shared" si="5"/>
        <v>0</v>
      </c>
      <c r="R45" s="178">
        <f t="shared" si="6"/>
        <v>1</v>
      </c>
      <c r="S45" s="180" t="str">
        <f t="shared" si="7"/>
        <v/>
      </c>
      <c r="AL45" s="27"/>
      <c r="AM45" s="27"/>
      <c r="AN45" s="27"/>
    </row>
    <row r="46" spans="2:40" ht="30.75" x14ac:dyDescent="0.25">
      <c r="B46" s="300">
        <v>22</v>
      </c>
      <c r="C46" s="301">
        <f t="shared" si="3"/>
        <v>9</v>
      </c>
      <c r="D46" s="144" t="s">
        <v>805</v>
      </c>
      <c r="E46" s="144"/>
      <c r="F46" s="147" t="s">
        <v>125</v>
      </c>
      <c r="G46" s="148" t="s">
        <v>128</v>
      </c>
      <c r="H46" s="33"/>
      <c r="I46" s="36">
        <v>1</v>
      </c>
      <c r="J46" s="36">
        <v>0.25</v>
      </c>
      <c r="K46" s="302">
        <f t="shared" si="4"/>
        <v>0.25</v>
      </c>
      <c r="L46" s="126">
        <v>10038</v>
      </c>
      <c r="M46" s="133">
        <v>0</v>
      </c>
      <c r="N46" s="30">
        <v>0</v>
      </c>
      <c r="O46" s="30">
        <v>0</v>
      </c>
      <c r="P46" s="30">
        <v>0</v>
      </c>
      <c r="Q46" s="303">
        <f t="shared" si="5"/>
        <v>10038</v>
      </c>
      <c r="R46" s="178">
        <f t="shared" si="6"/>
        <v>1</v>
      </c>
      <c r="S46" s="180" t="str">
        <f t="shared" si="7"/>
        <v/>
      </c>
      <c r="AL46" s="27"/>
      <c r="AM46" s="27"/>
      <c r="AN46" s="27"/>
    </row>
    <row r="47" spans="2:40" x14ac:dyDescent="0.25">
      <c r="B47" s="300">
        <v>23</v>
      </c>
      <c r="C47" s="301">
        <f t="shared" si="3"/>
        <v>9</v>
      </c>
      <c r="D47" s="144" t="s">
        <v>806</v>
      </c>
      <c r="E47" s="144"/>
      <c r="F47" s="147" t="s">
        <v>125</v>
      </c>
      <c r="G47" s="148" t="s">
        <v>128</v>
      </c>
      <c r="H47" s="33"/>
      <c r="I47" s="36">
        <v>1</v>
      </c>
      <c r="J47" s="36">
        <v>0.5</v>
      </c>
      <c r="K47" s="302">
        <f t="shared" si="4"/>
        <v>0.5</v>
      </c>
      <c r="L47" s="126">
        <v>519</v>
      </c>
      <c r="M47" s="133">
        <v>0</v>
      </c>
      <c r="N47" s="30">
        <v>0</v>
      </c>
      <c r="O47" s="30">
        <v>0</v>
      </c>
      <c r="P47" s="30">
        <v>0</v>
      </c>
      <c r="Q47" s="303">
        <f t="shared" si="5"/>
        <v>519</v>
      </c>
      <c r="R47" s="178">
        <f t="shared" si="6"/>
        <v>1</v>
      </c>
      <c r="S47" s="180" t="str">
        <f t="shared" si="7"/>
        <v/>
      </c>
      <c r="AL47" s="27"/>
      <c r="AM47" s="27"/>
      <c r="AN47" s="27"/>
    </row>
    <row r="48" spans="2:40" x14ac:dyDescent="0.25">
      <c r="B48" s="300">
        <v>24</v>
      </c>
      <c r="C48" s="301">
        <f t="shared" si="3"/>
        <v>9</v>
      </c>
      <c r="D48" s="144" t="s">
        <v>807</v>
      </c>
      <c r="E48" s="144"/>
      <c r="F48" s="147" t="s">
        <v>125</v>
      </c>
      <c r="G48" s="148" t="s">
        <v>128</v>
      </c>
      <c r="H48" s="33"/>
      <c r="I48" s="36">
        <v>1</v>
      </c>
      <c r="J48" s="36">
        <v>0.5</v>
      </c>
      <c r="K48" s="302">
        <f t="shared" si="4"/>
        <v>0.5</v>
      </c>
      <c r="L48" s="126">
        <v>58253</v>
      </c>
      <c r="M48" s="133">
        <v>0</v>
      </c>
      <c r="N48" s="30">
        <v>0</v>
      </c>
      <c r="O48" s="30">
        <v>0</v>
      </c>
      <c r="P48" s="30">
        <v>0</v>
      </c>
      <c r="Q48" s="303">
        <f t="shared" si="5"/>
        <v>58253</v>
      </c>
      <c r="R48" s="178">
        <f t="shared" si="6"/>
        <v>1</v>
      </c>
      <c r="S48" s="180" t="str">
        <f t="shared" si="7"/>
        <v/>
      </c>
      <c r="AL48" s="27"/>
      <c r="AM48" s="27"/>
      <c r="AN48" s="27"/>
    </row>
    <row r="49" spans="2:40" ht="30.75" x14ac:dyDescent="0.25">
      <c r="B49" s="300">
        <v>25</v>
      </c>
      <c r="C49" s="301">
        <f t="shared" si="3"/>
        <v>9</v>
      </c>
      <c r="D49" s="144" t="s">
        <v>808</v>
      </c>
      <c r="E49" s="144"/>
      <c r="F49" s="147" t="s">
        <v>125</v>
      </c>
      <c r="G49" s="148" t="s">
        <v>127</v>
      </c>
      <c r="H49" s="33"/>
      <c r="I49" s="36">
        <v>1</v>
      </c>
      <c r="J49" s="36">
        <v>1</v>
      </c>
      <c r="K49" s="302">
        <f t="shared" si="4"/>
        <v>1</v>
      </c>
      <c r="L49" s="126">
        <v>64343</v>
      </c>
      <c r="M49" s="133">
        <v>0</v>
      </c>
      <c r="N49" s="30">
        <v>0</v>
      </c>
      <c r="O49" s="30">
        <v>0</v>
      </c>
      <c r="P49" s="30">
        <v>0</v>
      </c>
      <c r="Q49" s="303">
        <f t="shared" si="5"/>
        <v>64343</v>
      </c>
      <c r="R49" s="178">
        <f t="shared" si="6"/>
        <v>1</v>
      </c>
      <c r="S49" s="180" t="str">
        <f t="shared" si="7"/>
        <v/>
      </c>
      <c r="AL49" s="27"/>
      <c r="AM49" s="27"/>
      <c r="AN49" s="27"/>
    </row>
    <row r="50" spans="2:40" x14ac:dyDescent="0.25">
      <c r="B50" s="300">
        <v>26</v>
      </c>
      <c r="C50" s="301">
        <f t="shared" si="3"/>
        <v>9</v>
      </c>
      <c r="D50" s="144" t="s">
        <v>809</v>
      </c>
      <c r="E50" s="144"/>
      <c r="F50" s="147" t="s">
        <v>125</v>
      </c>
      <c r="G50" s="148" t="s">
        <v>127</v>
      </c>
      <c r="H50" s="33"/>
      <c r="I50" s="36">
        <v>1</v>
      </c>
      <c r="J50" s="36">
        <v>1</v>
      </c>
      <c r="K50" s="302">
        <f t="shared" si="4"/>
        <v>1</v>
      </c>
      <c r="L50" s="126">
        <v>32481</v>
      </c>
      <c r="M50" s="133">
        <v>0</v>
      </c>
      <c r="N50" s="30">
        <v>0</v>
      </c>
      <c r="O50" s="30">
        <v>0</v>
      </c>
      <c r="P50" s="30">
        <v>0</v>
      </c>
      <c r="Q50" s="303">
        <f t="shared" si="5"/>
        <v>32481</v>
      </c>
      <c r="R50" s="178">
        <f t="shared" si="6"/>
        <v>1</v>
      </c>
      <c r="S50" s="180" t="str">
        <f t="shared" si="7"/>
        <v/>
      </c>
      <c r="AL50" s="27"/>
      <c r="AM50" s="27"/>
      <c r="AN50" s="27"/>
    </row>
    <row r="51" spans="2:40" x14ac:dyDescent="0.25">
      <c r="B51" s="300">
        <v>27</v>
      </c>
      <c r="C51" s="301">
        <f t="shared" si="3"/>
        <v>9</v>
      </c>
      <c r="D51" s="144" t="s">
        <v>810</v>
      </c>
      <c r="E51" s="144"/>
      <c r="F51" s="147" t="s">
        <v>125</v>
      </c>
      <c r="G51" s="148" t="s">
        <v>127</v>
      </c>
      <c r="H51" s="33"/>
      <c r="I51" s="36">
        <v>1</v>
      </c>
      <c r="J51" s="36">
        <v>1</v>
      </c>
      <c r="K51" s="302">
        <f t="shared" si="4"/>
        <v>1</v>
      </c>
      <c r="L51" s="126">
        <v>75000</v>
      </c>
      <c r="M51" s="133">
        <v>0</v>
      </c>
      <c r="N51" s="30">
        <v>0</v>
      </c>
      <c r="O51" s="30">
        <v>0</v>
      </c>
      <c r="P51" s="30">
        <v>0</v>
      </c>
      <c r="Q51" s="303">
        <f t="shared" si="5"/>
        <v>75000</v>
      </c>
      <c r="R51" s="178">
        <f t="shared" si="6"/>
        <v>1</v>
      </c>
      <c r="S51" s="180" t="str">
        <f t="shared" si="7"/>
        <v/>
      </c>
      <c r="AL51" s="27"/>
      <c r="AM51" s="27"/>
      <c r="AN51" s="27"/>
    </row>
    <row r="52" spans="2:40" ht="30.75" x14ac:dyDescent="0.25">
      <c r="B52" s="300">
        <v>28</v>
      </c>
      <c r="C52" s="301">
        <f t="shared" si="3"/>
        <v>9</v>
      </c>
      <c r="D52" s="144" t="s">
        <v>811</v>
      </c>
      <c r="E52" s="144"/>
      <c r="F52" s="147" t="s">
        <v>125</v>
      </c>
      <c r="G52" s="148" t="s">
        <v>118</v>
      </c>
      <c r="H52" s="33"/>
      <c r="I52" s="36">
        <v>1</v>
      </c>
      <c r="J52" s="36">
        <v>0.28000000000000003</v>
      </c>
      <c r="K52" s="302">
        <f t="shared" si="4"/>
        <v>0.28000000000000003</v>
      </c>
      <c r="L52" s="126">
        <v>201441</v>
      </c>
      <c r="M52" s="133">
        <v>0</v>
      </c>
      <c r="N52" s="30">
        <v>0</v>
      </c>
      <c r="O52" s="30">
        <v>0</v>
      </c>
      <c r="P52" s="30">
        <v>0</v>
      </c>
      <c r="Q52" s="303">
        <f t="shared" si="5"/>
        <v>201441</v>
      </c>
      <c r="R52" s="178">
        <f t="shared" si="6"/>
        <v>1</v>
      </c>
      <c r="S52" s="180" t="str">
        <f t="shared" si="7"/>
        <v/>
      </c>
      <c r="AL52" s="27"/>
      <c r="AM52" s="27"/>
      <c r="AN52" s="27"/>
    </row>
    <row r="53" spans="2:40" x14ac:dyDescent="0.25">
      <c r="B53" s="300">
        <v>29</v>
      </c>
      <c r="C53" s="301">
        <f t="shared" si="3"/>
        <v>9</v>
      </c>
      <c r="D53" s="144" t="s">
        <v>812</v>
      </c>
      <c r="E53" s="144"/>
      <c r="F53" s="147" t="s">
        <v>125</v>
      </c>
      <c r="G53" s="148" t="s">
        <v>118</v>
      </c>
      <c r="H53" s="33"/>
      <c r="I53" s="36">
        <v>1</v>
      </c>
      <c r="J53" s="36">
        <v>0</v>
      </c>
      <c r="K53" s="302">
        <f t="shared" si="4"/>
        <v>0</v>
      </c>
      <c r="L53" s="126">
        <v>150000</v>
      </c>
      <c r="M53" s="133">
        <v>0</v>
      </c>
      <c r="N53" s="30">
        <v>0</v>
      </c>
      <c r="O53" s="30">
        <v>0</v>
      </c>
      <c r="P53" s="30">
        <v>0</v>
      </c>
      <c r="Q53" s="303">
        <f t="shared" si="5"/>
        <v>150000</v>
      </c>
      <c r="R53" s="178">
        <f t="shared" si="6"/>
        <v>1</v>
      </c>
      <c r="S53" s="180" t="str">
        <f t="shared" si="7"/>
        <v/>
      </c>
      <c r="AL53" s="27"/>
      <c r="AM53" s="27"/>
      <c r="AN53" s="27"/>
    </row>
    <row r="54" spans="2:40" ht="30.75" x14ac:dyDescent="0.25">
      <c r="B54" s="300">
        <v>30</v>
      </c>
      <c r="C54" s="301">
        <f t="shared" si="3"/>
        <v>9</v>
      </c>
      <c r="D54" s="144" t="s">
        <v>813</v>
      </c>
      <c r="E54" s="144"/>
      <c r="F54" s="147" t="s">
        <v>125</v>
      </c>
      <c r="G54" s="148" t="s">
        <v>129</v>
      </c>
      <c r="H54" s="33"/>
      <c r="I54" s="36">
        <v>1</v>
      </c>
      <c r="J54" s="36">
        <v>0.75</v>
      </c>
      <c r="K54" s="302">
        <f t="shared" si="4"/>
        <v>0.75</v>
      </c>
      <c r="L54" s="126">
        <v>57113</v>
      </c>
      <c r="M54" s="133">
        <v>0</v>
      </c>
      <c r="N54" s="30">
        <v>0</v>
      </c>
      <c r="O54" s="30">
        <v>0</v>
      </c>
      <c r="P54" s="30">
        <v>0</v>
      </c>
      <c r="Q54" s="303">
        <f t="shared" si="5"/>
        <v>57113</v>
      </c>
      <c r="R54" s="178">
        <f t="shared" si="6"/>
        <v>1</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49" workbookViewId="0">
      <selection activeCell="A57" sqref="A57"/>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DHCSDOC-1797567310-6350</_dlc_DocId>
    <_dlc_DocIdUrl xmlns="69bc34b3-1921-46c7-8c7a-d18363374b4b">
      <Url>https://dhcscagovauthoring/_layouts/15/DocIdRedir.aspx?ID=DHCSDOC-1797567310-6350</Url>
      <Description>DHCSDOC-1797567310-6350</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1ED1E7F0-8FDA-4FA5-ACFC-508C1AFAA7C0}"/>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El-Dorado-FY-21-22</dc:title>
  <dc:creator>Donna Ures</dc:creator>
  <cp:keywords/>
  <cp:lastModifiedBy>Dana C. Conley</cp:lastModifiedBy>
  <cp:lastPrinted>2023-02-03T03:25:00Z</cp:lastPrinted>
  <dcterms:created xsi:type="dcterms:W3CDTF">2017-07-05T19:48:18Z</dcterms:created>
  <dcterms:modified xsi:type="dcterms:W3CDTF">2023-02-14T18:12:08Z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3bdd4321-3325-4c62-a089-5130804e92cc</vt:lpwstr>
  </property>
  <property fmtid="{D5CDD505-2E9C-101B-9397-08002B2CF9AE}" pid="4" name="Remediated">
    <vt:bool>false</vt:bool>
  </property>
  <property fmtid="{D5CDD505-2E9C-101B-9397-08002B2CF9AE}" pid="5" name="Division">
    <vt:lpwstr>11;#Community Services|c23dee46-a4de-4c29-8bbc-79830d9e7d7c</vt:lpwstr>
  </property>
</Properties>
</file>