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Imperial\21-22\"/>
    </mc:Choice>
  </mc:AlternateContent>
  <xr:revisionPtr revIDLastSave="0" documentId="8_{3EB7E0C5-0F43-4E89-962A-1D1C6FA2055C}" xr6:coauthVersionLast="47" xr6:coauthVersionMax="47" xr10:uidLastSave="{00000000-0000-0000-0000-000000000000}"/>
  <bookViews>
    <workbookView xWindow="-110" yWindow="-110" windowWidth="19420" windowHeight="10420" tabRatio="713" firstSheet="1" activeTab="1" xr2:uid="{00000000-000D-0000-FFFF-FFFF00000000}"/>
  </bookViews>
  <sheets>
    <sheet name="DHCS Only" sheetId="1" state="hidden" r:id="rId1"/>
    <sheet name="1. Information" sheetId="2" r:id="rId2"/>
    <sheet name="2. Component Summary" sheetId="3" r:id="rId3"/>
    <sheet name="3. CSS" sheetId="4" r:id="rId4"/>
    <sheet name="4. PEI" sheetId="5" r:id="rId5"/>
    <sheet name="5. INN" sheetId="6" r:id="rId6"/>
    <sheet name="6. WET" sheetId="7" r:id="rId7"/>
    <sheet name="7. CFTN" sheetId="8" r:id="rId8"/>
    <sheet name="8. Adjustment (MHSA)" sheetId="9" r:id="rId9"/>
    <sheet name="9. Adjustment (FFP)" sheetId="10" r:id="rId10"/>
    <sheet name="10. Comments" sheetId="11" r:id="rId11"/>
    <sheet name="Instructions 8. Adjust (MHSA)" sheetId="31" r:id="rId12"/>
    <sheet name="Instructions 1. Information" sheetId="15" r:id="rId13"/>
    <sheet name="Instructions 2. Component Summa" sheetId="25" r:id="rId14"/>
    <sheet name="Instructions 3. CSS" sheetId="26" r:id="rId15"/>
    <sheet name="Instructions 4. PEI" sheetId="27" r:id="rId16"/>
    <sheet name="Instructions 5. INN" sheetId="28" r:id="rId17"/>
    <sheet name="Instructions 6. WET" sheetId="29" r:id="rId18"/>
    <sheet name="Instructions 7. CFTN" sheetId="30" r:id="rId19"/>
    <sheet name="Instructions 9. Adjust (FFP)" sheetId="32"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0">'10. Comments'!$B$1:$G$52</definedName>
    <definedName name="_xlnm.Print_Area" localSheetId="2">'2. Component Summary'!$B$1:$I$46</definedName>
    <definedName name="_xlnm.Print_Area" localSheetId="3">'3. CSS'!$B$1:$L$133</definedName>
    <definedName name="_xlnm.Print_Area" localSheetId="4">'4. PEI'!$B$1:$Q$133</definedName>
    <definedName name="_xlnm.Print_Area" localSheetId="5">'5. INN'!$B$1:$P$128</definedName>
    <definedName name="_xlnm.Print_Area" localSheetId="6">'6. WET'!$B$1:$K$32</definedName>
    <definedName name="_xlnm.Print_Area" localSheetId="7">'7. CFTN'!$B$1:$L$46</definedName>
    <definedName name="_xlnm.Print_Area" localSheetId="8">'8. Adjustment (MHSA)'!$B$1:$H$80</definedName>
    <definedName name="_xlnm.Print_Area" localSheetId="9">'9.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0">'10. Comments'!$1:$10</definedName>
    <definedName name="_xlnm.Print_Titles" localSheetId="2">'2. Component Summary'!$1:$10</definedName>
    <definedName name="_xlnm.Print_Titles" localSheetId="3">'3. CSS'!$1:$10</definedName>
    <definedName name="_xlnm.Print_Titles" localSheetId="4">'4. PEI'!$1:$10</definedName>
    <definedName name="_xlnm.Print_Titles" localSheetId="5">'5. INN'!$1:$10</definedName>
    <definedName name="_xlnm.Print_Titles" localSheetId="6">'6. WET'!$1:$10</definedName>
    <definedName name="_xlnm.Print_Titles" localSheetId="7">'7. CFTN'!$1:$10</definedName>
    <definedName name="_xlnm.Print_Titles" localSheetId="8">'8. Adjustment (MHSA)'!$1:$9</definedName>
    <definedName name="_xlnm.Print_Titles" localSheetId="9">'9.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0" hidden="1">'10. Comments'!$B$1:$G$52</definedName>
    <definedName name="Z_7E50CCF5_45D0_4F7B_8896_9BA64DCA8A01_.wvu.PrintArea" localSheetId="2" hidden="1">'2. Component Summary'!$B$1:$I$46</definedName>
    <definedName name="Z_7E50CCF5_45D0_4F7B_8896_9BA64DCA8A01_.wvu.PrintArea" localSheetId="3" hidden="1">'3. CSS'!$B$1:$L$133</definedName>
    <definedName name="Z_7E50CCF5_45D0_4F7B_8896_9BA64DCA8A01_.wvu.PrintArea" localSheetId="4" hidden="1">'4. PEI'!$B$1:$Q$133</definedName>
    <definedName name="Z_7E50CCF5_45D0_4F7B_8896_9BA64DCA8A01_.wvu.PrintArea" localSheetId="5" hidden="1">'5. INN'!$B$1:$P$128</definedName>
    <definedName name="Z_7E50CCF5_45D0_4F7B_8896_9BA64DCA8A01_.wvu.PrintArea" localSheetId="6" hidden="1">'6. WET'!$B$1:$K$32</definedName>
    <definedName name="Z_7E50CCF5_45D0_4F7B_8896_9BA64DCA8A01_.wvu.PrintArea" localSheetId="7" hidden="1">'7. CFTN'!$B$1:$L$46</definedName>
    <definedName name="Z_7E50CCF5_45D0_4F7B_8896_9BA64DCA8A01_.wvu.PrintArea" localSheetId="8" hidden="1">'8. Adjustment (MHSA)'!$B$1:$H$80</definedName>
    <definedName name="Z_7E50CCF5_45D0_4F7B_8896_9BA64DCA8A01_.wvu.PrintArea" localSheetId="9"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0" hidden="1">'10. Comments'!$1:$10</definedName>
    <definedName name="Z_7E50CCF5_45D0_4F7B_8896_9BA64DCA8A01_.wvu.PrintTitles" localSheetId="2" hidden="1">'2. Component Summary'!$1:$10</definedName>
    <definedName name="Z_7E50CCF5_45D0_4F7B_8896_9BA64DCA8A01_.wvu.PrintTitles" localSheetId="3" hidden="1">'3. CSS'!$1:$10</definedName>
    <definedName name="Z_7E50CCF5_45D0_4F7B_8896_9BA64DCA8A01_.wvu.PrintTitles" localSheetId="4" hidden="1">'4. PEI'!$1:$10</definedName>
    <definedName name="Z_7E50CCF5_45D0_4F7B_8896_9BA64DCA8A01_.wvu.PrintTitles" localSheetId="5" hidden="1">'5. INN'!$1:$10</definedName>
    <definedName name="Z_7E50CCF5_45D0_4F7B_8896_9BA64DCA8A01_.wvu.PrintTitles" localSheetId="6" hidden="1">'6. WET'!$1:$10</definedName>
    <definedName name="Z_7E50CCF5_45D0_4F7B_8896_9BA64DCA8A01_.wvu.PrintTitles" localSheetId="7" hidden="1">'7. CFTN'!$1:$10</definedName>
    <definedName name="Z_7E50CCF5_45D0_4F7B_8896_9BA64DCA8A01_.wvu.PrintTitles" localSheetId="8" hidden="1">'8. Adjustment (MHSA)'!$1:$9</definedName>
    <definedName name="Z_7E50CCF5_45D0_4F7B_8896_9BA64DCA8A01_.wvu.PrintTitles" localSheetId="9" hidden="1">'9. Adjustment (FFP)'!$1:$10</definedName>
    <definedName name="Z_D8D3A042_2CA2_4641_BB44_BC182917D730_.wvu.PrintArea" localSheetId="1" hidden="1">'1. Information'!$B$1:$E$20</definedName>
    <definedName name="Z_D8D3A042_2CA2_4641_BB44_BC182917D730_.wvu.PrintArea" localSheetId="10" hidden="1">'10. Comments'!$B$1:$G$52</definedName>
    <definedName name="Z_D8D3A042_2CA2_4641_BB44_BC182917D730_.wvu.PrintArea" localSheetId="2" hidden="1">'2. Component Summary'!$B$1:$I$46</definedName>
    <definedName name="Z_D8D3A042_2CA2_4641_BB44_BC182917D730_.wvu.PrintArea" localSheetId="3" hidden="1">'3. CSS'!$B$1:$L$133</definedName>
    <definedName name="Z_D8D3A042_2CA2_4641_BB44_BC182917D730_.wvu.PrintArea" localSheetId="4" hidden="1">'4. PEI'!$B$1:$Q$133</definedName>
    <definedName name="Z_D8D3A042_2CA2_4641_BB44_BC182917D730_.wvu.PrintArea" localSheetId="5" hidden="1">'5. INN'!$B$1:$P$128</definedName>
    <definedName name="Z_D8D3A042_2CA2_4641_BB44_BC182917D730_.wvu.PrintArea" localSheetId="6" hidden="1">'6. WET'!$B$1:$K$32</definedName>
    <definedName name="Z_D8D3A042_2CA2_4641_BB44_BC182917D730_.wvu.PrintArea" localSheetId="7" hidden="1">'7. CFTN'!$B$1:$L$46</definedName>
    <definedName name="Z_D8D3A042_2CA2_4641_BB44_BC182917D730_.wvu.PrintArea" localSheetId="8" hidden="1">'8. Adjustment (MHSA)'!$B$1:$H$80</definedName>
    <definedName name="Z_D8D3A042_2CA2_4641_BB44_BC182917D730_.wvu.PrintArea" localSheetId="9"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0" hidden="1">'10. Comments'!$1:$10</definedName>
    <definedName name="Z_D8D3A042_2CA2_4641_BB44_BC182917D730_.wvu.PrintTitles" localSheetId="2" hidden="1">'2. Component Summary'!$1:$10</definedName>
    <definedName name="Z_D8D3A042_2CA2_4641_BB44_BC182917D730_.wvu.PrintTitles" localSheetId="3" hidden="1">'3. CSS'!$1:$10</definedName>
    <definedName name="Z_D8D3A042_2CA2_4641_BB44_BC182917D730_.wvu.PrintTitles" localSheetId="4" hidden="1">'4. PEI'!$1:$10</definedName>
    <definedName name="Z_D8D3A042_2CA2_4641_BB44_BC182917D730_.wvu.PrintTitles" localSheetId="5" hidden="1">'5. INN'!$1:$10</definedName>
    <definedName name="Z_D8D3A042_2CA2_4641_BB44_BC182917D730_.wvu.PrintTitles" localSheetId="6" hidden="1">'6. WET'!$1:$10</definedName>
    <definedName name="Z_D8D3A042_2CA2_4641_BB44_BC182917D730_.wvu.PrintTitles" localSheetId="7" hidden="1">'7. CFTN'!$1:$10</definedName>
    <definedName name="Z_D8D3A042_2CA2_4641_BB44_BC182917D730_.wvu.PrintTitles" localSheetId="8" hidden="1">'8. Adjustment (MHSA)'!$1:$9</definedName>
    <definedName name="Z_D8D3A042_2CA2_4641_BB44_BC182917D730_.wvu.PrintTitles" localSheetId="9" hidden="1">'9. Adjustment (FFP)'!$1:$10</definedName>
    <definedName name="Z_E7E6A24F_BA49_4C7A_9CED_3AB8F60308A1_.wvu.PrintArea" localSheetId="1" hidden="1">'1. Information'!$B$1:$E$20</definedName>
    <definedName name="Z_E7E6A24F_BA49_4C7A_9CED_3AB8F60308A1_.wvu.PrintArea" localSheetId="10" hidden="1">'10. Comments'!$B$1:$G$52</definedName>
    <definedName name="Z_E7E6A24F_BA49_4C7A_9CED_3AB8F60308A1_.wvu.PrintArea" localSheetId="2" hidden="1">'2. Component Summary'!$B$1:$I$46</definedName>
    <definedName name="Z_E7E6A24F_BA49_4C7A_9CED_3AB8F60308A1_.wvu.PrintArea" localSheetId="3" hidden="1">'3. CSS'!$B$1:$L$133</definedName>
    <definedName name="Z_E7E6A24F_BA49_4C7A_9CED_3AB8F60308A1_.wvu.PrintArea" localSheetId="4" hidden="1">'4. PEI'!$B$1:$Q$133</definedName>
    <definedName name="Z_E7E6A24F_BA49_4C7A_9CED_3AB8F60308A1_.wvu.PrintArea" localSheetId="5" hidden="1">'5. INN'!$B$1:$P$128</definedName>
    <definedName name="Z_E7E6A24F_BA49_4C7A_9CED_3AB8F60308A1_.wvu.PrintArea" localSheetId="6" hidden="1">'6. WET'!$B$1:$K$32</definedName>
    <definedName name="Z_E7E6A24F_BA49_4C7A_9CED_3AB8F60308A1_.wvu.PrintArea" localSheetId="7" hidden="1">'7. CFTN'!$B$1:$L$46</definedName>
    <definedName name="Z_E7E6A24F_BA49_4C7A_9CED_3AB8F60308A1_.wvu.PrintArea" localSheetId="8" hidden="1">'8. Adjustment (MHSA)'!$B$1:$H$80</definedName>
    <definedName name="Z_E7E6A24F_BA49_4C7A_9CED_3AB8F60308A1_.wvu.PrintArea" localSheetId="9"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0" hidden="1">'10. Comments'!$1:$10</definedName>
    <definedName name="Z_E7E6A24F_BA49_4C7A_9CED_3AB8F60308A1_.wvu.PrintTitles" localSheetId="2" hidden="1">'2. Component Summary'!$1:$10</definedName>
    <definedName name="Z_E7E6A24F_BA49_4C7A_9CED_3AB8F60308A1_.wvu.PrintTitles" localSheetId="3" hidden="1">'3. CSS'!$1:$10</definedName>
    <definedName name="Z_E7E6A24F_BA49_4C7A_9CED_3AB8F60308A1_.wvu.PrintTitles" localSheetId="4" hidden="1">'4. PEI'!$1:$10</definedName>
    <definedName name="Z_E7E6A24F_BA49_4C7A_9CED_3AB8F60308A1_.wvu.PrintTitles" localSheetId="5" hidden="1">'5. INN'!$1:$10</definedName>
    <definedName name="Z_E7E6A24F_BA49_4C7A_9CED_3AB8F60308A1_.wvu.PrintTitles" localSheetId="6" hidden="1">'6. WET'!$1:$10</definedName>
    <definedName name="Z_E7E6A24F_BA49_4C7A_9CED_3AB8F60308A1_.wvu.PrintTitles" localSheetId="7" hidden="1">'7. CFTN'!$1:$10</definedName>
    <definedName name="Z_E7E6A24F_BA49_4C7A_9CED_3AB8F60308A1_.wvu.PrintTitles" localSheetId="8" hidden="1">'8. Adjustment (MHSA)'!$1:$9</definedName>
    <definedName name="Z_E7E6A24F_BA49_4C7A_9CED_3AB8F60308A1_.wvu.PrintTitles" localSheetId="9"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D9" i="2"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3" i="5" l="1"/>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D36" i="3" s="1"/>
  <c r="E28" i="14"/>
  <c r="D12" i="2" l="1"/>
  <c r="G9" i="10" l="1"/>
  <c r="G9" i="9"/>
  <c r="G9" i="8"/>
  <c r="G9" i="7"/>
  <c r="D9" i="10"/>
  <c r="D9" i="9"/>
  <c r="D9" i="8"/>
  <c r="D9" i="5"/>
  <c r="C71" i="14"/>
  <c r="B71" i="14"/>
  <c r="E71" i="14" s="1"/>
  <c r="E70" i="14"/>
  <c r="C69" i="14"/>
  <c r="B69" i="14"/>
  <c r="E69" i="14" s="1"/>
  <c r="C35" i="5" l="1"/>
  <c r="C36" i="5"/>
  <c r="C34" i="5"/>
  <c r="C37" i="5"/>
  <c r="C38" i="5"/>
  <c r="C39" i="5"/>
  <c r="C40" i="5"/>
  <c r="C41" i="5"/>
  <c r="C42" i="5"/>
  <c r="C28" i="8"/>
  <c r="C29" i="8"/>
  <c r="C15" i="9"/>
  <c r="C19" i="9"/>
  <c r="C18" i="9"/>
  <c r="C17" i="9"/>
  <c r="C16"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<sst xmlns="http://schemas.openxmlformats.org/spreadsheetml/2006/main" count="1495" uniqueCount="818">
  <si>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</si>
  <si>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</si>
  <si>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</si>
  <si>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</si>
  <si>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</si>
  <si>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</si>
  <si>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</si>
  <si>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</si>
  <si>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</si>
  <si>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</si>
  <si>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</si>
  <si>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</si>
  <si>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</si>
  <si>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</si>
  <si>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</si>
  <si>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</si>
  <si>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</si>
  <si>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</si>
  <si>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</si>
  <si>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</si>
  <si>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</si>
  <si>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</si>
  <si>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</si>
  <si>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</si>
  <si>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</si>
  <si>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</si>
  <si>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</si>
  <si>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</si>
  <si>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</si>
  <si>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</si>
  <si>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</si>
  <si>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</si>
  <si>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</si>
  <si>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</si>
  <si>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</si>
  <si>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</si>
  <si>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</si>
  <si>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</si>
  <si>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</si>
  <si>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</si>
  <si>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</si>
  <si>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</si>
  <si>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</si>
  <si>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</si>
  <si>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</si>
  <si>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</si>
  <si>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</si>
  <si>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</si>
  <si>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</si>
  <si>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</si>
  <si>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</si>
  <si>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</si>
  <si>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</si>
  <si>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</si>
  <si>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</si>
  <si>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</si>
  <si>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</si>
  <si>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</si>
  <si>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</si>
  <si>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</si>
  <si>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</si>
  <si>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</si>
  <si>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</si>
  <si>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</si>
  <si>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</si>
  <si>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</si>
  <si>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</si>
  <si>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</si>
  <si>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</si>
  <si>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</si>
  <si>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</si>
  <si>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</si>
  <si>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</si>
  <si>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</si>
  <si>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</si>
  <si>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</si>
  <si>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</si>
  <si>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</si>
  <si>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</si>
  <si>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</si>
  <si>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</si>
  <si>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</si>
  <si>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</si>
  <si>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</si>
  <si>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</si>
  <si>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</si>
  <si>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</si>
  <si>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</si>
  <si>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</si>
  <si>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</si>
  <si>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</si>
  <si>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</si>
  <si>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</si>
  <si>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</si>
  <si>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</si>
  <si>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</si>
  <si>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</si>
  <si>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</si>
  <si>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</si>
  <si>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</si>
  <si>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</si>
  <si>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</si>
  <si>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</si>
  <si>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</si>
  <si>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</si>
  <si>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</si>
  <si>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</si>
  <si>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</si>
  <si>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</si>
  <si>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</si>
  <si>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</si>
  <si>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</si>
  <si>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</si>
  <si>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</si>
  <si>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</si>
  <si>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</si>
  <si>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</si>
  <si>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</si>
  <si>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</si>
  <si>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</si>
  <si>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</si>
  <si>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</si>
  <si>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</si>
  <si>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</si>
  <si>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</si>
  <si>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</si>
  <si>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</si>
  <si>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</si>
  <si>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</si>
  <si>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</si>
  <si>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</si>
  <si>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</si>
  <si>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</si>
  <si>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</si>
  <si>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</si>
  <si>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</si>
  <si>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</si>
  <si>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</si>
  <si>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</si>
  <si>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</si>
  <si>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</si>
  <si>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</si>
  <si>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</si>
  <si>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</si>
  <si>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</si>
  <si>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</si>
  <si>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</si>
  <si>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</si>
  <si>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</si>
  <si>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</si>
  <si>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</si>
  <si>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</si>
  <si>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</si>
  <si>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</si>
  <si>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</si>
  <si>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</si>
  <si>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</si>
  <si>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</si>
  <si>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</si>
  <si>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</si>
  <si>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</si>
  <si>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</si>
  <si>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</si>
  <si>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</si>
  <si>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</si>
  <si>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</si>
  <si>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</si>
  <si>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</si>
  <si>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</si>
  <si>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</si>
  <si>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</si>
  <si>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</si>
  <si>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</si>
  <si>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</si>
  <si>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</si>
  <si>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</si>
  <si>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</si>
  <si>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</si>
  <si>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</si>
  <si>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</si>
  <si>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</si>
  <si>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</si>
  <si>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</si>
  <si>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</si>
  <si>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</si>
  <si>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</si>
  <si>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</si>
  <si>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</si>
  <si>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</si>
  <si>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</si>
  <si>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</si>
  <si>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</si>
  <si>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</si>
  <si>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</si>
  <si>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</si>
  <si>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</si>
  <si>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</si>
  <si>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</si>
  <si>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</si>
  <si>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</si>
  <si>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</si>
  <si>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</si>
  <si>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</si>
  <si>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</si>
  <si>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</si>
  <si>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</si>
  <si>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</si>
  <si>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</si>
  <si>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</si>
  <si>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</si>
  <si>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</si>
  <si>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</si>
  <si>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</si>
  <si>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</si>
  <si>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</si>
  <si>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</si>
  <si>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</si>
  <si>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</si>
  <si>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</si>
  <si>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</si>
  <si>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</si>
  <si>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</si>
  <si>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</si>
  <si>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</si>
  <si>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</si>
  <si>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</si>
  <si>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</si>
  <si>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</si>
  <si>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</si>
  <si>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</si>
  <si>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</si>
  <si>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</si>
  <si>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</si>
  <si>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</si>
  <si>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</si>
  <si>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</si>
  <si>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</si>
  <si>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</si>
  <si>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</si>
  <si>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</si>
  <si>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</si>
  <si>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</si>
  <si>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</si>
  <si>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</si>
  <si>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</si>
  <si>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</si>
  <si>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</si>
  <si>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</si>
  <si>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</si>
  <si>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</si>
  <si>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</si>
  <si>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</si>
  <si>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</si>
  <si>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</si>
  <si>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</si>
  <si>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</si>
  <si>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</si>
  <si>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</si>
  <si>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</si>
  <si>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</si>
  <si>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</si>
  <si>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</si>
  <si>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</si>
  <si>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</si>
  <si>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</si>
  <si>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</si>
  <si>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</si>
  <si>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</si>
  <si>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</si>
  <si>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</si>
  <si>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</si>
  <si>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</si>
  <si>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</si>
  <si>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</si>
  <si>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</si>
  <si>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</si>
  <si>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</si>
  <si>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</si>
  <si>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</si>
  <si>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</si>
  <si>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</si>
  <si>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</si>
  <si>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</si>
  <si>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</si>
  <si>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</si>
  <si>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</si>
  <si>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</si>
  <si>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</si>
  <si>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</si>
  <si>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</si>
  <si>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</si>
  <si>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</si>
  <si>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</si>
  <si>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</si>
  <si>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</si>
  <si>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</si>
  <si>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</si>
  <si>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</si>
  <si>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</si>
  <si>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</si>
  <si>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</si>
  <si>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</si>
  <si>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</si>
  <si>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</si>
  <si>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</si>
  <si>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</si>
  <si>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</si>
  <si>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</si>
  <si>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</si>
  <si>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</si>
  <si>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</si>
  <si>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</si>
  <si>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</si>
  <si>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</si>
  <si>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</si>
  <si>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</si>
  <si>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</si>
  <si>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</si>
  <si>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</si>
  <si>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</si>
  <si>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</si>
  <si>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</si>
  <si>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</si>
  <si>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</si>
  <si>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</si>
  <si>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</si>
  <si>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</si>
  <si>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</si>
  <si>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</si>
  <si>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</si>
  <si>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</si>
  <si>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</si>
  <si>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</si>
  <si>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</si>
  <si>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</si>
  <si>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</si>
  <si>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</si>
  <si>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</si>
  <si>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</si>
  <si>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</si>
  <si>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</si>
  <si>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</si>
  <si>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</si>
  <si>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</si>
  <si>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</si>
  <si>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</si>
  <si>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</si>
  <si>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</si>
  <si>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</si>
  <si>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</si>
  <si>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</si>
  <si>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</si>
  <si>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</si>
  <si>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</si>
  <si>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</si>
  <si>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</si>
  <si>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</si>
  <si>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</si>
  <si>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</si>
  <si>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</si>
  <si>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</si>
  <si>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</si>
  <si>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</si>
  <si>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</si>
  <si>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</si>
  <si>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</si>
  <si>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</si>
  <si>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</si>
  <si>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</si>
  <si>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</si>
  <si>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</si>
  <si>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</si>
  <si>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</si>
  <si>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</si>
  <si>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</si>
  <si>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</si>
  <si>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</si>
  <si>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</si>
  <si>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</si>
  <si>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</si>
  <si>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</si>
  <si>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</si>
  <si>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</si>
  <si>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</si>
  <si>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</si>
  <si>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</si>
  <si>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</si>
  <si>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</si>
  <si>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</si>
  <si>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</si>
  <si>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</si>
  <si>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</si>
  <si>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</si>
  <si>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</si>
  <si>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</si>
  <si>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</si>
  <si>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</si>
  <si>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</si>
  <si>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</si>
  <si>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</si>
  <si>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</si>
  <si>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</si>
  <si>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</si>
  <si>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</si>
  <si>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</si>
  <si>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</si>
  <si>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</si>
  <si>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</si>
  <si>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</si>
  <si>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</si>
  <si>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</si>
  <si>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</si>
  <si>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</si>
  <si>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</si>
  <si>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</si>
  <si>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</si>
  <si>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</si>
  <si>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</si>
  <si>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</si>
  <si>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</si>
  <si>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</si>
  <si>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</si>
  <si>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</si>
  <si>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</si>
  <si>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</si>
  <si>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</si>
  <si>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</si>
  <si>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</si>
  <si>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</si>
  <si>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</si>
  <si>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</si>
  <si>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</si>
  <si>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</si>
  <si>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</si>
  <si>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</si>
  <si>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</si>
  <si>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</si>
  <si>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</si>
  <si>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</si>
  <si>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</si>
  <si>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</si>
  <si>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</si>
  <si>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</si>
  <si>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</si>
  <si>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</si>
  <si>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</si>
  <si>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</si>
  <si>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</si>
  <si>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</si>
  <si>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</si>
  <si>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</si>
  <si>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</si>
  <si>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</si>
  <si>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</si>
  <si>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</si>
  <si>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</si>
  <si>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</si>
  <si>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</si>
  <si>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</si>
  <si>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</si>
  <si>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</si>
  <si>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</si>
  <si>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</si>
  <si>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</si>
  <si>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</si>
  <si>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</si>
  <si>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</si>
  <si>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</si>
  <si>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</si>
  <si>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</si>
  <si>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</si>
  <si>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</si>
  <si>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</si>
  <si>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</si>
  <si>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</si>
  <si>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</si>
  <si>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</si>
  <si>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</si>
  <si>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</si>
  <si>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</si>
  <si>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</si>
  <si>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</si>
  <si>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</si>
  <si>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</si>
  <si>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</si>
  <si>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</si>
  <si>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</si>
  <si>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</si>
  <si>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</si>
  <si>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</si>
  <si>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</si>
  <si>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</si>
  <si>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</si>
  <si>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</si>
  <si>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</si>
  <si>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</si>
  <si>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</si>
  <si>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</si>
  <si>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</si>
  <si>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</si>
  <si>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</si>
  <si>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</si>
  <si>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</si>
  <si>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</si>
  <si>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</si>
  <si>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</si>
  <si>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</si>
  <si>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</si>
  <si>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</si>
  <si>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</si>
  <si>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</si>
  <si>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</si>
  <si>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</si>
  <si>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</si>
  <si>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</si>
  <si>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</si>
  <si>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</si>
  <si>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</si>
  <si>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</si>
  <si>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</si>
  <si>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</si>
  <si>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</si>
  <si>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</si>
  <si>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</si>
  <si>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</si>
  <si>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</si>
  <si>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</si>
  <si>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</si>
  <si>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</si>
  <si>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</si>
  <si>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</si>
  <si>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</si>
  <si>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</si>
  <si>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</si>
  <si>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</si>
  <si>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</si>
  <si>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</si>
  <si>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</si>
  <si>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</si>
  <si>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</si>
  <si>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</si>
  <si>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</si>
  <si>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</si>
  <si>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</si>
  <si>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</si>
  <si>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</si>
  <si>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</si>
  <si>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</si>
  <si>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</si>
  <si>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</si>
  <si>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</si>
  <si>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</si>
  <si>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</si>
  <si>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</si>
  <si>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</si>
  <si>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</si>
  <si>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</si>
  <si>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</si>
  <si>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</si>
  <si>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</si>
  <si>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</si>
  <si>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</si>
  <si>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</si>
  <si>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</si>
  <si>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</si>
  <si>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</si>
  <si>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</si>
  <si>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</si>
  <si>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</si>
  <si>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</si>
  <si>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</si>
  <si>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</si>
  <si>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</si>
  <si>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</si>
  <si>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</si>
  <si>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</si>
  <si>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</si>
  <si>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</si>
  <si>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</si>
  <si>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</si>
  <si>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</si>
  <si>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</si>
  <si>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</si>
  <si>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</si>
  <si>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</si>
  <si>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</si>
  <si>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</si>
  <si>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</si>
  <si>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</si>
  <si>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</si>
  <si>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</si>
  <si>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</si>
  <si>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</si>
  <si>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</si>
  <si>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</si>
  <si>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</si>
  <si>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</si>
  <si>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</si>
  <si>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</si>
  <si>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</si>
  <si>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</si>
  <si>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</si>
  <si>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</si>
  <si>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</si>
  <si>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</si>
  <si>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</si>
  <si>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</si>
  <si>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</si>
  <si>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</si>
  <si>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</si>
  <si>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</si>
  <si>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</si>
  <si>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</si>
  <si>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</si>
  <si>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</si>
  <si>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</si>
  <si>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</si>
  <si>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</si>
  <si>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</si>
  <si>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</si>
  <si>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</si>
  <si>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</si>
  <si>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</si>
  <si>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</si>
  <si>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</si>
  <si>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</si>
  <si>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</si>
  <si>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</si>
  <si>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</si>
  <si>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</si>
  <si>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</si>
  <si>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</si>
  <si>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</si>
  <si>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</si>
  <si>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</si>
  <si>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</si>
  <si>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</si>
  <si>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</si>
  <si>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</si>
  <si>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</si>
  <si>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</si>
  <si>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</si>
  <si>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</si>
  <si>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</si>
  <si>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</si>
  <si>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</si>
  <si>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</si>
  <si>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</si>
  <si>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</si>
  <si>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</si>
  <si>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</si>
  <si>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</si>
  <si>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</si>
  <si>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</si>
  <si>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</si>
  <si>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</si>
  <si>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</si>
  <si>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</si>
  <si>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</si>
  <si>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</si>
  <si>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</si>
  <si>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</si>
  <si>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</si>
  <si>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</si>
  <si>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</si>
  <si>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</si>
  <si>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</si>
  <si>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</si>
  <si>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</si>
  <si>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</si>
  <si>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</si>
  <si>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</si>
  <si>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</si>
  <si>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</si>
  <si>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</si>
  <si>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</si>
  <si>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</si>
  <si>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</si>
  <si>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</si>
  <si>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</si>
  <si>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</si>
  <si>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</si>
  <si>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</si>
  <si>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</si>
  <si>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</si>
  <si>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</si>
  <si>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</si>
  <si>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</si>
  <si>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</si>
  <si>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</si>
  <si>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</si>
  <si>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</si>
  <si>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</si>
  <si>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</si>
  <si>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</si>
  <si>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</si>
  <si>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</si>
  <si>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</si>
  <si>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</si>
  <si>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</si>
  <si>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</si>
  <si>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</si>
  <si>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</si>
  <si>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</si>
  <si>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</si>
  <si>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</si>
  <si>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</si>
  <si>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</si>
  <si>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</si>
  <si>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</si>
  <si>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</si>
  <si>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</si>
  <si>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</si>
  <si>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</si>
  <si>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</si>
  <si>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</si>
  <si>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</si>
  <si>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</si>
  <si>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</si>
  <si>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</si>
  <si>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</si>
  <si>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</si>
  <si>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</si>
  <si>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</si>
  <si>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</si>
  <si>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</si>
  <si>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</si>
  <si>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</si>
  <si>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</si>
  <si>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</si>
  <si>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</si>
  <si>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</si>
  <si>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</si>
  <si>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</si>
  <si>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</si>
  <si>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</si>
  <si>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</si>
  <si>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</si>
  <si>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</si>
  <si>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</si>
  <si>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</si>
  <si>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</si>
  <si>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</si>
  <si>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</si>
  <si>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</si>
  <si>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</si>
  <si>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</si>
  <si>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</si>
  <si>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</si>
  <si>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</si>
  <si>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</si>
  <si>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</si>
  <si>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</si>
  <si>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</si>
  <si>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</si>
  <si>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</si>
  <si>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</si>
  <si>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</si>
  <si>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</si>
  <si>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</si>
  <si>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</si>
  <si>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</si>
  <si>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</si>
  <si>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</si>
  <si>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</si>
  <si>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</si>
  <si>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</si>
  <si>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</si>
  <si>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</si>
  <si>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</si>
  <si>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</si>
  <si>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</si>
  <si>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</si>
  <si>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</si>
  <si>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</si>
  <si>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</si>
  <si>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</si>
  <si>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</si>
  <si>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</si>
  <si>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</si>
  <si>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</si>
  <si>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</si>
  <si>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 N. Eight Street</t>
  </si>
  <si>
    <t xml:space="preserve">El Centro, CA  </t>
  </si>
  <si>
    <t>Claudia Vazquez-Hernandez</t>
  </si>
  <si>
    <t>Administrative Analyst I</t>
  </si>
  <si>
    <t>claudiavhernandez@co.imperial.ca.us</t>
  </si>
  <si>
    <t>442-265-0013</t>
  </si>
  <si>
    <t>Adult and Older Adult</t>
  </si>
  <si>
    <t>Wellness Centers</t>
  </si>
  <si>
    <t>Outreach and Engagement</t>
  </si>
  <si>
    <t>Transitional Engagement Supportive Services (TESS)</t>
  </si>
  <si>
    <t xml:space="preserve">Community Engagement Supportive Services  (CESS) </t>
  </si>
  <si>
    <t>Psychosis Identification and Referral (PIER)</t>
  </si>
  <si>
    <t>FSP-Intensive Community Program (FSP-ICP)</t>
  </si>
  <si>
    <t>Youth and Young Adult</t>
  </si>
  <si>
    <t>Trauma-Focused Cognitive Behavioral Therapy (TF-CBT)</t>
  </si>
  <si>
    <t>First Steps of Success</t>
  </si>
  <si>
    <t>Incredible Years (IY) -Parenting Model</t>
  </si>
  <si>
    <t>Rising  Stars</t>
  </si>
  <si>
    <t>Outreach &amp; Recognition</t>
  </si>
  <si>
    <t>Access &amp; Linkage</t>
  </si>
  <si>
    <t>Clinician Point of View</t>
  </si>
  <si>
    <t>Client &amp; Family Empowerment</t>
  </si>
  <si>
    <t>Consultant &amp; Staff Training</t>
  </si>
  <si>
    <t>Telecommunications Mobile Solution</t>
  </si>
  <si>
    <t>Positive Engagement Team (PET)</t>
  </si>
  <si>
    <t>Holistic Outreach Prevention &amp; Engagement (HOPE)</t>
  </si>
  <si>
    <t>Interest Revenue</t>
  </si>
  <si>
    <t>2006 - 2007</t>
  </si>
  <si>
    <t>Expenditure</t>
  </si>
  <si>
    <t>2019 - 2020</t>
  </si>
  <si>
    <t>No transfer was made. Section should reflect zero transfer.  Keying error</t>
  </si>
  <si>
    <t>TO REVERSE ENTRY FROM MARCH 01, 2018.  NO AMOUNT SHOULD HAVE BEEN ENTERED ONLY JUSTIFICATION.                                                       DMH Info. Notice 08-13 Enclosure 1. The heading on the third column state "Additional FY2007-08 WET Planning Estimates" also MHSA Reversion Period for Released Funds Charts report states that WET funds under DMH Info. Notice 08-13 are due for reversion on 06/30/2018.  Imperial County depleted and reported all WET funds by FY2016-17 as reported in our MHSA RER FY2016-17. Also, DMH Info. Notice 08-13 identifies the amount of $503,010. Imperial County received $503,000 under Warrant#06-986110 dated 06/13/2011.  (supporting documentation attached)</t>
  </si>
  <si>
    <t>2021 - 22</t>
  </si>
  <si>
    <t>2021-22</t>
  </si>
  <si>
    <t xml:space="preserve">Prudent Reserve Interest $1,929.43 recorded with CSS interest </t>
  </si>
  <si>
    <t>Full Service Partnership-Assisted Outpatient Treatment Services Program FSP-AOT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</si>
</sst>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16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7" customWidth="1"/>
    <col min="2" max="2" width="6.72656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26953125" style="27" customWidth="1"/>
    <col min="9" max="9" width="19.81640625" style="27" bestFit="1" customWidth="1"/>
    <col min="10" max="14" width="11.7265625" style="27" hidden="1" customWidth="1"/>
    <col min="15" max="16384" width="21.17968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2021 - 22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Imperial</v>
      </c>
      <c r="F9" s="226" t="s">
        <v>1</v>
      </c>
      <c r="G9" s="346">
        <f ca="1">IF(ISBLANK('1. Information'!D9),"",'1. Information'!D9)</f>
        <v>44958</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0900-000000000000}"/>
    <dataValidation type="list" allowBlank="1" showInputMessage="1" showErrorMessage="1" prompt="Select which cost report from the drop down list. " sqref="E15:E54" xr:uid="{00000000-0002-0000-0900-000001000000}">
      <formula1>Cost_Report_Stage</formula1>
    </dataValidation>
    <dataValidation type="list" allowBlank="1" showInputMessage="1" showErrorMessage="1" prompt="Select which account from the drop down list. " sqref="F15:F54" xr:uid="{00000000-0002-0000-0900-000002000000}">
      <formula1>"CSS, PEI, INN, WET, CFTN"</formula1>
    </dataValidation>
    <dataValidation allowBlank="1" showInputMessage="1" showErrorMessage="1" prompt="Type in the beginning balance. " sqref="G15:G54" xr:uid="{00000000-0002-0000-0900-000003000000}"/>
    <dataValidation allowBlank="1" showInputMessage="1" showErrorMessage="1" prompt="Type in the adjustment amount. " sqref="H15:H54" xr:uid="{00000000-0002-0000-09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AD73"/>
  <sheetViews>
    <sheetView showGridLines="0" zoomScaleNormal="100" workbookViewId="0">
      <selection activeCell="E14" sqref="E14"/>
    </sheetView>
  </sheetViews>
  <sheetFormatPr defaultColWidth="0" defaultRowHeight="15.5" zeroHeight="1" x14ac:dyDescent="0.35"/>
  <cols>
    <col min="1" max="1" width="2.7265625" style="25" customWidth="1"/>
    <col min="2" max="2" width="11" style="25" customWidth="1"/>
    <col min="3" max="3" width="22.1796875" style="25" customWidth="1"/>
    <col min="4" max="4" width="13.1796875" style="25" bestFit="1" customWidth="1"/>
    <col min="5" max="5" width="72.453125" style="25" customWidth="1"/>
    <col min="6" max="6" width="19.453125" style="25" customWidth="1"/>
    <col min="7" max="7" width="15.7265625" style="25" customWidth="1"/>
    <col min="8" max="18" width="9.1796875" style="25" hidden="1" customWidth="1"/>
    <col min="19" max="30" width="0" style="25" hidden="1" customWidth="1"/>
    <col min="31" max="16384" width="9.17968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2021 - 22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Imperial</v>
      </c>
      <c r="F9" s="226" t="s">
        <v>1</v>
      </c>
      <c r="G9" s="346">
        <f ca="1">IF(ISBLANK('1. Information'!D9),"",'1. Information'!D9)</f>
        <v>44958</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t="s">
        <v>166</v>
      </c>
      <c r="D13" s="169" t="s">
        <v>815</v>
      </c>
      <c r="E13" s="117" t="s">
        <v>816</v>
      </c>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0A00-000000000000}">
      <formula1>"CSS, PEI, INN, WET, CFTN, Prudent Reserve"</formula1>
    </dataValidation>
    <dataValidation allowBlank="1" showInputMessage="1" showErrorMessage="1" prompt="Type in the Fiscal Year. " sqref="D13:D52" xr:uid="{00000000-0002-0000-0A00-000001000000}"/>
    <dataValidation allowBlank="1" showInputMessage="1" showErrorMessage="1" prompt="Type in comments. " sqref="E13:E52" xr:uid="{00000000-0002-0000-0A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30"/>
  <sheetViews>
    <sheetView workbookViewId="0">
      <selection activeCell="A8" sqref="A8"/>
    </sheetView>
  </sheetViews>
  <sheetFormatPr defaultColWidth="0" defaultRowHeight="14.5" zeroHeight="1" x14ac:dyDescent="0.35"/>
  <cols>
    <col min="1" max="1" width="128.26953125" style="166" customWidth="1"/>
    <col min="2" max="2" width="9.1796875" style="166" hidden="1" customWidth="1"/>
    <col min="3" max="16384" width="9.17968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1" right="0.1" top="0.1" bottom="0.1"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5"/>
  <sheetViews>
    <sheetView workbookViewId="0">
      <selection activeCell="A2" sqref="A2"/>
    </sheetView>
  </sheetViews>
  <sheetFormatPr defaultColWidth="0" defaultRowHeight="14.5" zeroHeight="1" x14ac:dyDescent="0.35"/>
  <cols>
    <col min="1" max="1" width="128" style="384" customWidth="1"/>
    <col min="2" max="4" width="9.1796875" style="384" hidden="1" customWidth="1"/>
    <col min="5" max="16384" width="9.17968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81"/>
  <sheetViews>
    <sheetView topLeftCell="A61" zoomScaleNormal="100" workbookViewId="0">
      <selection activeCell="A4" sqref="A4"/>
    </sheetView>
  </sheetViews>
  <sheetFormatPr defaultColWidth="0" defaultRowHeight="14.5" zeroHeight="1" x14ac:dyDescent="0.35"/>
  <cols>
    <col min="1" max="1" width="128.1796875" style="393" customWidth="1"/>
    <col min="2" max="6" width="9.1796875" style="393" hidden="1" customWidth="1"/>
    <col min="7"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92"/>
  <sheetViews>
    <sheetView view="pageLayout" zoomScaleNormal="100" workbookViewId="0">
      <selection activeCell="A3" sqref="A3"/>
    </sheetView>
  </sheetViews>
  <sheetFormatPr defaultColWidth="0" defaultRowHeight="14.5" zeroHeight="1" x14ac:dyDescent="0.35"/>
  <cols>
    <col min="1" max="1" width="128.1796875" style="166" customWidth="1"/>
    <col min="2" max="16384" width="9.17968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69"/>
  <sheetViews>
    <sheetView workbookViewId="0">
      <selection activeCell="A4" sqref="A4"/>
    </sheetView>
  </sheetViews>
  <sheetFormatPr defaultColWidth="0" defaultRowHeight="14.5" zeroHeight="1" x14ac:dyDescent="0.35"/>
  <cols>
    <col min="1" max="1" width="128" style="393" customWidth="1"/>
    <col min="2" max="3" width="9.1796875" style="393" hidden="1" customWidth="1"/>
    <col min="4"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115"/>
  <sheetViews>
    <sheetView workbookViewId="0">
      <selection activeCell="A20" sqref="A20"/>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85"/>
  <sheetViews>
    <sheetView workbookViewId="0">
      <selection activeCell="A16" sqref="A16"/>
    </sheetView>
  </sheetViews>
  <sheetFormatPr defaultColWidth="0" defaultRowHeight="14.5" zeroHeight="1" x14ac:dyDescent="0.35"/>
  <cols>
    <col min="1" max="1" width="128" style="173" customWidth="1"/>
    <col min="2" max="2" width="9.1796875" style="173" hidden="1" customWidth="1"/>
    <col min="3" max="16384" width="9.17968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59"/>
  <sheetViews>
    <sheetView workbookViewId="0">
      <selection activeCell="A16" sqref="A16"/>
    </sheetView>
  </sheetViews>
  <sheetFormatPr defaultColWidth="0" defaultRowHeight="14.5" zeroHeight="1" x14ac:dyDescent="0.35"/>
  <cols>
    <col min="1" max="1" width="128.1796875" style="173" customWidth="1"/>
    <col min="2" max="2" width="9.1796875" style="173" hidden="1" customWidth="1"/>
    <col min="3" max="16384" width="9.17968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B6" sqref="B6"/>
    </sheetView>
  </sheetViews>
  <sheetFormatPr defaultColWidth="0" defaultRowHeight="15.5" zeroHeight="1" x14ac:dyDescent="0.35"/>
  <cols>
    <col min="1" max="1" width="2.7265625" style="25" customWidth="1"/>
    <col min="2" max="2" width="6.7265625" style="25" customWidth="1"/>
    <col min="3" max="4" width="50.7265625" style="25" customWidth="1"/>
    <col min="5" max="5" width="9.1796875" style="25" customWidth="1"/>
    <col min="6" max="7" width="9.17968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2021 - 22</v>
      </c>
      <c r="C6" s="1"/>
      <c r="D6" s="1"/>
    </row>
    <row r="7" spans="1:5" ht="18" x14ac:dyDescent="0.35">
      <c r="B7" s="382" t="s">
        <v>282</v>
      </c>
      <c r="C7" s="1"/>
      <c r="D7" s="1"/>
      <c r="E7" s="27"/>
    </row>
    <row r="8" spans="1:5" x14ac:dyDescent="0.35">
      <c r="D8" s="131"/>
    </row>
    <row r="9" spans="1:5" ht="34.5" customHeight="1" x14ac:dyDescent="0.35">
      <c r="B9" s="203">
        <v>1</v>
      </c>
      <c r="C9" s="209" t="s">
        <v>1</v>
      </c>
      <c r="D9" s="113">
        <f ca="1">TODAY()</f>
        <v>44958</v>
      </c>
    </row>
    <row r="10" spans="1:5" ht="34.5" customHeight="1" x14ac:dyDescent="0.35">
      <c r="B10" s="203">
        <v>2</v>
      </c>
      <c r="C10" s="205" t="s">
        <v>303</v>
      </c>
      <c r="D10" s="151" t="s">
        <v>814</v>
      </c>
    </row>
    <row r="11" spans="1:5" ht="34.5" customHeight="1" x14ac:dyDescent="0.35">
      <c r="B11" s="203">
        <v>3</v>
      </c>
      <c r="C11" s="204" t="s">
        <v>0</v>
      </c>
      <c r="D11" s="135" t="s">
        <v>48</v>
      </c>
    </row>
    <row r="12" spans="1:5" ht="34.5" customHeight="1" x14ac:dyDescent="0.35">
      <c r="B12" s="203">
        <v>4</v>
      </c>
      <c r="C12" s="206" t="s">
        <v>113</v>
      </c>
      <c r="D12" s="182">
        <f>IF(ISBLANK(D11),"",VLOOKUP(D11,Info_County_Code,2))</f>
        <v>13</v>
      </c>
    </row>
    <row r="13" spans="1:5" ht="34.5" customHeight="1" x14ac:dyDescent="0.35">
      <c r="B13" s="203">
        <v>5</v>
      </c>
      <c r="C13" s="204" t="s">
        <v>114</v>
      </c>
      <c r="D13" s="412" t="s">
        <v>782</v>
      </c>
    </row>
    <row r="14" spans="1:5" ht="34.5" customHeight="1" x14ac:dyDescent="0.35">
      <c r="B14" s="203">
        <v>6</v>
      </c>
      <c r="C14" s="204" t="s">
        <v>115</v>
      </c>
      <c r="D14" s="135" t="s">
        <v>783</v>
      </c>
    </row>
    <row r="15" spans="1:5" ht="34.5" customHeight="1" x14ac:dyDescent="0.35">
      <c r="B15" s="203">
        <v>7</v>
      </c>
      <c r="C15" s="204" t="s">
        <v>116</v>
      </c>
      <c r="D15" s="172">
        <v>92243</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784</v>
      </c>
    </row>
    <row r="18" spans="2:4" ht="34.5" customHeight="1" x14ac:dyDescent="0.35">
      <c r="B18" s="203">
        <v>10</v>
      </c>
      <c r="C18" s="208" t="s">
        <v>167</v>
      </c>
      <c r="D18" s="413" t="s">
        <v>785</v>
      </c>
    </row>
    <row r="19" spans="2:4" ht="34.5" customHeight="1" x14ac:dyDescent="0.35">
      <c r="B19" s="203">
        <v>11</v>
      </c>
      <c r="C19" s="208" t="s">
        <v>184</v>
      </c>
      <c r="D19" s="413" t="s">
        <v>786</v>
      </c>
    </row>
    <row r="20" spans="2:4" ht="34.5" customHeight="1" x14ac:dyDescent="0.35">
      <c r="B20" s="203">
        <v>12</v>
      </c>
      <c r="C20" s="209" t="s">
        <v>280</v>
      </c>
      <c r="D20" s="41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1"/>
  <pageSetup paperSize="5" scale="91" orientation="landscape" r:id="rId4"/>
  <headerFooter>
    <oddFooter>&amp;C&amp;"Arial,Regular"&amp;14Page &amp;P of &amp;N&amp;R&amp;8&amp;Z&amp;F
&amp;D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5"/>
  <sheetViews>
    <sheetView workbookViewId="0">
      <selection activeCell="A7" sqref="A7"/>
    </sheetView>
  </sheetViews>
  <sheetFormatPr defaultColWidth="0" defaultRowHeight="14.5" zeroHeight="1" x14ac:dyDescent="0.35"/>
  <cols>
    <col min="1" max="1" width="128.1796875" style="166" customWidth="1"/>
    <col min="2" max="2" width="9.1796875" style="166" hidden="1" customWidth="1"/>
    <col min="3" max="16384" width="9.17968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17968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30" bestFit="1" customWidth="1"/>
    <col min="2" max="3" width="22.1796875" style="130" bestFit="1" customWidth="1"/>
    <col min="4" max="4" width="20.1796875" style="130" bestFit="1" customWidth="1"/>
    <col min="5" max="5" width="18.81640625" style="130" bestFit="1" customWidth="1"/>
    <col min="6" max="6" width="3.81640625" style="130" customWidth="1"/>
    <col min="7" max="7" width="34.7265625" style="130" customWidth="1"/>
    <col min="8" max="8" width="17.7265625" style="130" customWidth="1"/>
    <col min="9" max="9" width="12" style="130" customWidth="1"/>
    <col min="10" max="16384" width="9.17968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Imperial</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6" bestFit="1" customWidth="1"/>
    <col min="2" max="2" width="5.453125" style="26" customWidth="1"/>
    <col min="3" max="3" width="18.81640625" style="26" bestFit="1" customWidth="1"/>
    <col min="4" max="4" width="17.81640625" style="26" customWidth="1"/>
    <col min="5" max="5" width="18" style="26" customWidth="1"/>
    <col min="6" max="6" width="36.81640625" style="26" bestFit="1" customWidth="1"/>
    <col min="7" max="7" width="27.1796875" style="26" customWidth="1"/>
    <col min="8" max="8" width="31.54296875" style="26" bestFit="1" customWidth="1"/>
    <col min="9" max="9" width="25.26953125" style="26" customWidth="1"/>
    <col min="10" max="10" width="24.1796875" style="26" customWidth="1"/>
    <col min="11" max="11" width="26" style="26" bestFit="1" customWidth="1"/>
    <col min="12" max="12" width="24.26953125" style="26" bestFit="1" customWidth="1"/>
    <col min="13" max="13" width="35.81640625" style="26" customWidth="1"/>
    <col min="14" max="14" width="23.1796875" style="26" bestFit="1" customWidth="1"/>
    <col min="15" max="15" width="11.7265625" style="26" customWidth="1"/>
    <col min="16" max="16" width="9.1796875" style="26" customWidth="1"/>
    <col min="17" max="16384" width="9.1796875" style="26"/>
  </cols>
  <sheetData>
    <row r="1" spans="1:15" ht="31.5" thickBot="1" x14ac:dyDescent="0.4">
      <c r="A1" s="417" t="s">
        <v>148</v>
      </c>
      <c r="B1" s="418"/>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5" customWidth="1"/>
    <col min="2" max="2" width="14.8164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20" t="s">
        <v>171</v>
      </c>
      <c r="B2" s="420"/>
      <c r="C2" s="420"/>
      <c r="D2" s="420"/>
      <c r="E2" s="420"/>
    </row>
    <row r="3" spans="1:7" ht="14.25" customHeight="1" x14ac:dyDescent="0.35">
      <c r="A3" s="420" t="s">
        <v>235</v>
      </c>
      <c r="B3" s="420"/>
      <c r="C3" s="420"/>
      <c r="D3" s="420"/>
      <c r="E3" s="420"/>
    </row>
    <row r="4" spans="1:7" ht="14.25" customHeight="1" thickBot="1" x14ac:dyDescent="0.4">
      <c r="A4" s="57"/>
      <c r="B4" s="58"/>
      <c r="C4" s="59"/>
      <c r="D4" s="60"/>
    </row>
    <row r="5" spans="1:7" ht="14.25" customHeight="1" x14ac:dyDescent="0.35">
      <c r="A5" s="61" t="s">
        <v>172</v>
      </c>
      <c r="B5" s="419" t="s">
        <v>173</v>
      </c>
      <c r="C5" s="419"/>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autoPageBreaks="0"/>
  </sheetPr>
  <dimension ref="A1:J46"/>
  <sheetViews>
    <sheetView showGridLines="0" topLeftCell="A10" zoomScale="80" zoomScaleNormal="80" zoomScaleSheetLayoutView="40" zoomScalePageLayoutView="85" workbookViewId="0">
      <selection activeCell="H20" sqref="H20"/>
    </sheetView>
  </sheetViews>
  <sheetFormatPr defaultColWidth="0" defaultRowHeight="15.5" zeroHeight="1" x14ac:dyDescent="0.35"/>
  <cols>
    <col min="1" max="1" width="5.26953125" style="122" customWidth="1"/>
    <col min="2" max="2" width="12.54296875" style="119" customWidth="1"/>
    <col min="3" max="3" width="65.453125" style="119" customWidth="1"/>
    <col min="4" max="8" width="22.7265625" style="119" customWidth="1"/>
    <col min="9" max="9" width="24" style="119" bestFit="1" customWidth="1"/>
    <col min="10" max="10" width="18.26953125" style="122" hidden="1" customWidth="1"/>
    <col min="11" max="12" width="9.1796875" style="122" hidden="1" customWidth="1"/>
    <col min="13" max="16384" width="9.17968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2021 - 22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Imperial</v>
      </c>
      <c r="F9" s="210" t="s">
        <v>1</v>
      </c>
      <c r="G9" s="185">
        <f ca="1">IF(ISBLANK('1. Information'!D9),"",'1. Information'!D9)</f>
        <v>44958</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f>68773.45+1929.43</f>
        <v>70702.87999999999</v>
      </c>
      <c r="E14" s="149">
        <v>54512.08</v>
      </c>
      <c r="F14" s="149">
        <v>12029.21</v>
      </c>
      <c r="G14" s="149">
        <v>1263.98</v>
      </c>
      <c r="H14" s="149">
        <v>1366.04</v>
      </c>
      <c r="I14" s="186">
        <f>SUM(D14:H14)</f>
        <v>139874.19</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430047</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430047</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-219121</v>
      </c>
      <c r="E27" s="188">
        <f>'3. CSS'!F21</f>
        <v>0</v>
      </c>
      <c r="F27" s="186">
        <f>'3. CSS'!F22</f>
        <v>109312</v>
      </c>
      <c r="G27" s="194">
        <f>'3. CSS'!F23</f>
        <v>109809</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7323487.8272115532</v>
      </c>
      <c r="E31" s="194">
        <f>'4. PEI'!F22</f>
        <v>1303769.5999999999</v>
      </c>
      <c r="F31" s="194">
        <f>'5. INN'!F23</f>
        <v>770536.7</v>
      </c>
      <c r="G31" s="194">
        <f>'6. WET'!F21</f>
        <v>84955</v>
      </c>
      <c r="H31" s="194">
        <f>'7. CFTN'!F21</f>
        <v>75224.810000000012</v>
      </c>
      <c r="I31" s="194">
        <f t="shared" ref="I31:I35" si="0">SUM(D31:H31)</f>
        <v>9557973.9372115526</v>
      </c>
    </row>
    <row r="32" spans="2:10" x14ac:dyDescent="0.35">
      <c r="B32" s="211">
        <v>10</v>
      </c>
      <c r="C32" s="223" t="s">
        <v>4</v>
      </c>
      <c r="D32" s="189">
        <f>'3. CSS'!G27</f>
        <v>8591782.5050266609</v>
      </c>
      <c r="E32" s="189">
        <f>'4. PEI'!G22</f>
        <v>447715.14</v>
      </c>
      <c r="F32" s="189">
        <f>'5. INN'!G23</f>
        <v>0</v>
      </c>
      <c r="G32" s="189">
        <f>'6. WET'!G21</f>
        <v>0</v>
      </c>
      <c r="H32" s="189">
        <f>'7. CFTN'!G21</f>
        <v>0</v>
      </c>
      <c r="I32" s="194">
        <f t="shared" si="0"/>
        <v>9039497.6450266615</v>
      </c>
    </row>
    <row r="33" spans="2:9" x14ac:dyDescent="0.35">
      <c r="B33" s="211">
        <v>11</v>
      </c>
      <c r="C33" s="223" t="s">
        <v>5</v>
      </c>
      <c r="D33" s="189">
        <f>'3. CSS'!H27</f>
        <v>0</v>
      </c>
      <c r="E33" s="189">
        <f>'4. PEI'!H22</f>
        <v>0</v>
      </c>
      <c r="F33" s="189">
        <f>'5. INN'!H23</f>
        <v>0</v>
      </c>
      <c r="G33" s="189">
        <f>'6. WET'!H21</f>
        <v>0</v>
      </c>
      <c r="H33" s="189">
        <f>'7. CFTN'!H21</f>
        <v>0</v>
      </c>
      <c r="I33" s="194">
        <f t="shared" si="0"/>
        <v>0</v>
      </c>
    </row>
    <row r="34" spans="2:9" x14ac:dyDescent="0.35">
      <c r="B34" s="211">
        <v>12</v>
      </c>
      <c r="C34" s="223" t="s">
        <v>26</v>
      </c>
      <c r="D34" s="189">
        <f>'3. CSS'!I27</f>
        <v>4144090.4318250879</v>
      </c>
      <c r="E34" s="189">
        <f>'4. PEI'!I22</f>
        <v>414552.89</v>
      </c>
      <c r="F34" s="189">
        <f>'5. INN'!I23</f>
        <v>0</v>
      </c>
      <c r="G34" s="189">
        <f>'6. WET'!I21</f>
        <v>0</v>
      </c>
      <c r="H34" s="189">
        <f>'7. CFTN'!I21</f>
        <v>0</v>
      </c>
      <c r="I34" s="194">
        <f t="shared" si="0"/>
        <v>4558643.321825088</v>
      </c>
    </row>
    <row r="35" spans="2:9" x14ac:dyDescent="0.35">
      <c r="B35" s="211">
        <v>13</v>
      </c>
      <c r="C35" s="223" t="s">
        <v>12</v>
      </c>
      <c r="D35" s="189">
        <f>'3. CSS'!J27</f>
        <v>308748.92530633835</v>
      </c>
      <c r="E35" s="189">
        <f>'4. PEI'!J22</f>
        <v>1014.26</v>
      </c>
      <c r="F35" s="189">
        <f>'5. INN'!J23</f>
        <v>0</v>
      </c>
      <c r="G35" s="189">
        <f>'6. WET'!J21</f>
        <v>0</v>
      </c>
      <c r="H35" s="189">
        <f>'7. CFTN'!J21</f>
        <v>0</v>
      </c>
      <c r="I35" s="194">
        <f t="shared" si="0"/>
        <v>309763.18530633836</v>
      </c>
    </row>
    <row r="36" spans="2:9" x14ac:dyDescent="0.35">
      <c r="B36" s="211">
        <v>14</v>
      </c>
      <c r="C36" s="224" t="s">
        <v>21</v>
      </c>
      <c r="D36" s="195">
        <f>SUM(D31:D35)</f>
        <v>20368109.689369641</v>
      </c>
      <c r="E36" s="195">
        <f t="shared" ref="E36:H36" si="1">SUM(E31:E35)</f>
        <v>2167051.8899999997</v>
      </c>
      <c r="F36" s="195">
        <f t="shared" si="1"/>
        <v>770536.7</v>
      </c>
      <c r="G36" s="195">
        <f t="shared" si="1"/>
        <v>84955</v>
      </c>
      <c r="H36" s="195">
        <f t="shared" si="1"/>
        <v>75224.810000000012</v>
      </c>
      <c r="I36" s="196">
        <f>SUM(D36:H36)</f>
        <v>23465878.08936964</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129415.492206</v>
      </c>
      <c r="E40" s="154"/>
      <c r="F40" s="120"/>
      <c r="H40" s="120"/>
      <c r="I40" s="122"/>
    </row>
    <row r="41" spans="2:9" x14ac:dyDescent="0.35">
      <c r="B41" s="211">
        <v>16</v>
      </c>
      <c r="C41" s="162" t="s">
        <v>19</v>
      </c>
      <c r="D41" s="197">
        <f>'3. CSS'!F16+'4. PEI'!F16+'5. INN'!F20+'6. WET'!F16+'7. CFTN'!F16</f>
        <v>8225</v>
      </c>
      <c r="E41" s="121"/>
      <c r="F41" s="120"/>
      <c r="G41" s="120"/>
      <c r="H41" s="120"/>
      <c r="I41" s="122"/>
    </row>
    <row r="42" spans="2:9" x14ac:dyDescent="0.35">
      <c r="B42" s="211">
        <v>17</v>
      </c>
      <c r="C42" s="162" t="s">
        <v>20</v>
      </c>
      <c r="D42" s="198">
        <f>'3. CSS'!F17+'4. PEI'!F17+'5. INN'!F16+'5. INN'!F19+'6. WET'!F17+'7. CFTN'!F17</f>
        <v>2963633.8170565539</v>
      </c>
      <c r="E42" s="121"/>
      <c r="F42" s="120"/>
      <c r="G42" s="120"/>
      <c r="H42" s="120"/>
      <c r="I42" s="122"/>
    </row>
    <row r="43" spans="2:9" x14ac:dyDescent="0.35">
      <c r="B43" s="211">
        <v>18</v>
      </c>
      <c r="C43" s="225" t="s">
        <v>243</v>
      </c>
      <c r="D43" s="149">
        <v>0</v>
      </c>
    </row>
    <row r="44" spans="2:9" x14ac:dyDescent="0.35">
      <c r="B44" s="211">
        <v>19</v>
      </c>
      <c r="C44" s="162" t="s">
        <v>244</v>
      </c>
      <c r="D44" s="199">
        <f>'4. PEI'!F18</f>
        <v>0</v>
      </c>
    </row>
    <row r="45" spans="2:9" x14ac:dyDescent="0.35">
      <c r="B45" s="211">
        <v>20</v>
      </c>
      <c r="C45" s="225" t="s">
        <v>245</v>
      </c>
      <c r="D45" s="149">
        <v>0</v>
      </c>
    </row>
    <row r="46" spans="2:9" x14ac:dyDescent="0.35">
      <c r="B46" s="211">
        <v>21</v>
      </c>
      <c r="C46" s="162" t="s">
        <v>249</v>
      </c>
      <c r="D46" s="149">
        <v>0</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2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2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200-000002000000}">
      <formula1>F19-E20</formula1>
    </dataValidation>
    <dataValidation allowBlank="1" showInputMessage="1" showErrorMessage="1" prompt="Type in county name. " sqref="C9" xr:uid="{00000000-0002-0000-0200-000003000000}"/>
    <dataValidation allowBlank="1" showInputMessage="1" showErrorMessage="1" prompt="Type in date. " sqref="G9" xr:uid="{00000000-0002-0000-0200-000004000000}"/>
    <dataValidation allowBlank="1" showInputMessage="1" showErrorMessage="1" prompt="Type in the amount of Component Interest Earned for CSS." sqref="D14" xr:uid="{00000000-0002-0000-0200-000005000000}"/>
    <dataValidation allowBlank="1" showInputMessage="1" showErrorMessage="1" prompt="Type in the amount of Component Interest Earned for PEI." sqref="E14" xr:uid="{00000000-0002-0000-0200-000006000000}"/>
    <dataValidation allowBlank="1" showInputMessage="1" showErrorMessage="1" prompt="Type in the amount of Component Interest Earned for INN." sqref="F14" xr:uid="{00000000-0002-0000-0200-000007000000}"/>
    <dataValidation allowBlank="1" showInputMessage="1" showErrorMessage="1" prompt="Type in the amount of Component Interest Earned for WET." sqref="G14" xr:uid="{00000000-0002-0000-0200-000008000000}"/>
    <dataValidation allowBlank="1" showInputMessage="1" showErrorMessage="1" prompt="Type in the amount of Component Interest Earned for CFTN." sqref="H14" xr:uid="{00000000-0002-0000-0200-000009000000}"/>
    <dataValidation allowBlank="1" showInputMessage="1" showErrorMessage="1" prompt="Type in the Joint Powers Authority Interest Earned for CSS. " sqref="D15" xr:uid="{00000000-0002-0000-0200-00000A000000}"/>
    <dataValidation allowBlank="1" showInputMessage="1" showErrorMessage="1" prompt="Type in the Joint Powers Authority Interest Earned for PEI. " sqref="E15" xr:uid="{00000000-0002-0000-0200-00000B000000}"/>
    <dataValidation allowBlank="1" showInputMessage="1" showErrorMessage="1" prompt="Type in the Joint Powers Authority Interest Earned for INN. " sqref="F15" xr:uid="{00000000-0002-0000-0200-00000C000000}"/>
    <dataValidation allowBlank="1" showInputMessage="1" showErrorMessage="1" prompt="Type in the Joint Powers Authority Interest Earned for WET. " sqref="G15" xr:uid="{00000000-0002-0000-0200-00000D000000}"/>
    <dataValidation allowBlank="1" showInputMessage="1" showErrorMessage="1" prompt="Type in the Joint Powers Authority Interest Earned for CFTN. " sqref="H15" xr:uid="{00000000-0002-0000-0200-00000E000000}"/>
    <dataValidation allowBlank="1" showInputMessage="1" showErrorMessage="1" prompt="Type in the TOTAL for the Local Prudent Reserve Beginning Balance. " sqref="F19" xr:uid="{00000000-0002-0000-0200-00000F000000}"/>
    <dataValidation allowBlank="1" showInputMessage="1" showErrorMessage="1" prompt="Type in the Total WET RP." sqref="D43" xr:uid="{00000000-0002-0000-0200-000010000000}"/>
    <dataValidation allowBlank="1" showInputMessage="1" showErrorMessage="1" prompt="Type in the Total MHSA HP." sqref="D45" xr:uid="{00000000-0002-0000-0200-000011000000}"/>
    <dataValidation allowBlank="1" showInputMessage="1" showErrorMessage="1" prompt="Type in the amount for the Total Mental Health Services for Veterans. " sqref="D46" xr:uid="{00000000-0002-0000-02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200-000013000000}">
      <formula1>G19-F20</formula1>
    </dataValidation>
  </dataValidations>
  <pageMargins left="0.25" right="0.25" top="0.75" bottom="0.75" header="0.3" footer="0.3"/>
  <pageSetup paperSize="5" scale="60" fitToWidth="0" fitToHeight="0" orientation="landscape" r:id="rId4"/>
  <headerFooter>
    <oddFooter>&amp;C&amp;"Arial,Regular"&amp;14Page &amp;P of &amp;N&amp;R&amp;8&amp;Z&amp;F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M134"/>
  <sheetViews>
    <sheetView showGridLines="0" topLeftCell="A25" zoomScale="80" zoomScaleNormal="80" zoomScaleSheetLayoutView="40" zoomScalePageLayoutView="70" workbookViewId="0">
      <selection activeCell="D36" sqref="D36"/>
    </sheetView>
  </sheetViews>
  <sheetFormatPr defaultColWidth="0" defaultRowHeight="15.5" zeroHeight="1" x14ac:dyDescent="0.35"/>
  <cols>
    <col min="1" max="1" width="2.7265625" style="122" customWidth="1"/>
    <col min="2" max="2" width="6.7265625" style="122" customWidth="1"/>
    <col min="3" max="3" width="13.54296875" style="122" customWidth="1"/>
    <col min="4" max="5" width="50.7265625" style="122" customWidth="1"/>
    <col min="6" max="6" width="20.7265625" style="122" customWidth="1"/>
    <col min="7" max="7" width="27.54296875" style="122" bestFit="1" customWidth="1"/>
    <col min="8" max="8" width="21.54296875" style="122" customWidth="1"/>
    <col min="9" max="9" width="24.453125" style="122" customWidth="1"/>
    <col min="10" max="10" width="17.7265625" style="122" customWidth="1"/>
    <col min="11" max="11" width="23" style="122" customWidth="1"/>
    <col min="12" max="12" width="20.1796875" style="122" customWidth="1"/>
    <col min="13" max="13" width="40.26953125" style="175" hidden="1" customWidth="1"/>
    <col min="14" max="15" width="9.1796875" style="175" hidden="1" customWidth="1"/>
    <col min="16" max="16384" width="9.17968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2021 - 22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Imperial</v>
      </c>
      <c r="E9" s="123"/>
      <c r="F9" s="226" t="s">
        <v>1</v>
      </c>
      <c r="G9" s="227">
        <f ca="1">IF(ISBLANK('1. Information'!D9),"",'1. Information'!D9)</f>
        <v>44958</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v>30806.456155000003</v>
      </c>
      <c r="G15" s="136"/>
      <c r="H15" s="136"/>
      <c r="I15" s="136"/>
      <c r="J15" s="136"/>
      <c r="K15" s="241">
        <f>SUM(F15:J15)</f>
        <v>30806.456155000003</v>
      </c>
      <c r="L15" s="175"/>
    </row>
    <row r="16" spans="1:12" ht="15" customHeight="1" x14ac:dyDescent="0.35">
      <c r="A16" s="123"/>
      <c r="B16" s="234">
        <v>2</v>
      </c>
      <c r="C16" s="163" t="s">
        <v>7</v>
      </c>
      <c r="D16" s="242"/>
      <c r="E16" s="243"/>
      <c r="F16" s="136"/>
      <c r="G16" s="136"/>
      <c r="H16" s="136"/>
      <c r="I16" s="136"/>
      <c r="J16" s="136"/>
      <c r="K16" s="241">
        <f t="shared" ref="K16:K17" si="0">SUM(F16:J16)</f>
        <v>0</v>
      </c>
      <c r="L16" s="175"/>
    </row>
    <row r="17" spans="1:12" ht="15.75" customHeight="1" x14ac:dyDescent="0.35">
      <c r="A17" s="123"/>
      <c r="B17" s="234">
        <v>3</v>
      </c>
      <c r="C17" s="163" t="s">
        <v>117</v>
      </c>
      <c r="D17" s="242"/>
      <c r="E17" s="243"/>
      <c r="F17" s="136">
        <v>2851884.8310565543</v>
      </c>
      <c r="G17" s="136"/>
      <c r="H17" s="136"/>
      <c r="I17" s="136">
        <v>49981.201935207937</v>
      </c>
      <c r="J17" s="136"/>
      <c r="K17" s="241">
        <f t="shared" si="0"/>
        <v>2901866.0329917623</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109312</v>
      </c>
      <c r="G22" s="246"/>
      <c r="H22" s="246"/>
      <c r="I22" s="246"/>
      <c r="J22" s="246"/>
      <c r="K22" s="241">
        <f t="shared" si="1"/>
        <v>109312</v>
      </c>
      <c r="L22" s="175"/>
    </row>
    <row r="23" spans="1:12" x14ac:dyDescent="0.35">
      <c r="A23" s="124"/>
      <c r="B23" s="218">
        <v>9</v>
      </c>
      <c r="C23" s="242" t="s">
        <v>193</v>
      </c>
      <c r="D23" s="245"/>
      <c r="E23" s="243"/>
      <c r="F23" s="136">
        <v>109809</v>
      </c>
      <c r="G23" s="246"/>
      <c r="H23" s="246"/>
      <c r="I23" s="246"/>
      <c r="J23" s="246"/>
      <c r="K23" s="241">
        <f t="shared" si="1"/>
        <v>109809</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4440796.5399999991</v>
      </c>
      <c r="G25" s="246">
        <f>SUM(H34:H133)</f>
        <v>8591782.5050266609</v>
      </c>
      <c r="H25" s="246">
        <f>SUM(I34:I133)</f>
        <v>0</v>
      </c>
      <c r="I25" s="246">
        <f>SUM(J34:J133)</f>
        <v>4094109.2298898799</v>
      </c>
      <c r="J25" s="246">
        <f>SUM(K34:K133)</f>
        <v>308748.92530633835</v>
      </c>
      <c r="K25" s="246">
        <f>SUM(F25:J25)</f>
        <v>17435437.20022288</v>
      </c>
      <c r="L25" s="175"/>
    </row>
    <row r="26" spans="1:12" ht="31" customHeight="1" x14ac:dyDescent="0.35">
      <c r="A26" s="123"/>
      <c r="B26" s="234">
        <v>12</v>
      </c>
      <c r="C26" s="247" t="s">
        <v>190</v>
      </c>
      <c r="D26" s="248"/>
      <c r="E26" s="249"/>
      <c r="F26" s="250">
        <f t="shared" ref="F26" si="2">SUM(F15:F17,F19:F25)</f>
        <v>7542608.8272115532</v>
      </c>
      <c r="G26" s="250">
        <f>SUM(G15:G17,G25)</f>
        <v>8591782.5050266609</v>
      </c>
      <c r="H26" s="251">
        <f>SUM(H15:H17,H25)</f>
        <v>0</v>
      </c>
      <c r="I26" s="250">
        <f>SUM(I15:I17,I25)</f>
        <v>4144090.4318250879</v>
      </c>
      <c r="J26" s="250">
        <f>SUM(J15:J17,J25)</f>
        <v>308748.92530633835</v>
      </c>
      <c r="K26" s="250">
        <f>SUM(F26:J26)</f>
        <v>20587230.689369641</v>
      </c>
      <c r="L26" s="175"/>
    </row>
    <row r="27" spans="1:12" ht="31" customHeight="1" x14ac:dyDescent="0.35">
      <c r="A27" s="123"/>
      <c r="B27" s="234">
        <v>13</v>
      </c>
      <c r="C27" s="252" t="s">
        <v>675</v>
      </c>
      <c r="D27" s="252"/>
      <c r="E27" s="252"/>
      <c r="F27" s="250">
        <f>SUM(F15:F17,F19,F20,F25)</f>
        <v>7323487.8272115532</v>
      </c>
      <c r="G27" s="250">
        <f>SUM(G15:G17,G25)</f>
        <v>8591782.5050266609</v>
      </c>
      <c r="H27" s="250">
        <f t="shared" ref="H27:J27" si="3">SUM(H15:H17,H25)</f>
        <v>0</v>
      </c>
      <c r="I27" s="250">
        <f t="shared" si="3"/>
        <v>4144090.4318250879</v>
      </c>
      <c r="J27" s="250">
        <f t="shared" si="3"/>
        <v>308748.92530633835</v>
      </c>
      <c r="K27" s="250">
        <f>SUM(F27:J27)</f>
        <v>20368109.689369641</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13</v>
      </c>
      <c r="D34" s="144" t="s">
        <v>795</v>
      </c>
      <c r="E34" s="144"/>
      <c r="F34" s="127" t="s">
        <v>95</v>
      </c>
      <c r="G34" s="126">
        <v>1406736.46</v>
      </c>
      <c r="H34" s="126">
        <v>1974435.5</v>
      </c>
      <c r="I34" s="126"/>
      <c r="J34" s="129">
        <v>952333.14513518894</v>
      </c>
      <c r="K34" s="126">
        <v>18628.75</v>
      </c>
      <c r="L34" s="246">
        <f>SUM(G34:K34)</f>
        <v>4352133.8551351894</v>
      </c>
    </row>
    <row r="35" spans="1:12" x14ac:dyDescent="0.35">
      <c r="A35" s="123"/>
      <c r="B35" s="262">
        <v>15</v>
      </c>
      <c r="C35" s="263">
        <f t="shared" si="4"/>
        <v>13</v>
      </c>
      <c r="D35" s="144" t="s">
        <v>788</v>
      </c>
      <c r="E35" s="144"/>
      <c r="F35" s="127" t="s">
        <v>95</v>
      </c>
      <c r="G35" s="126">
        <v>207135.96</v>
      </c>
      <c r="H35" s="126">
        <v>5115811.1263757879</v>
      </c>
      <c r="I35" s="126"/>
      <c r="J35" s="129">
        <v>2467518.6926420811</v>
      </c>
      <c r="K35" s="126">
        <v>78845.789392966559</v>
      </c>
      <c r="L35" s="246">
        <f t="shared" ref="L35:L98" si="5">SUM(G35:K35)</f>
        <v>7869311.5684108362</v>
      </c>
    </row>
    <row r="36" spans="1:12" x14ac:dyDescent="0.35">
      <c r="A36" s="123"/>
      <c r="B36" s="262">
        <v>16</v>
      </c>
      <c r="C36" s="263">
        <f t="shared" si="4"/>
        <v>13</v>
      </c>
      <c r="D36" s="144" t="s">
        <v>789</v>
      </c>
      <c r="E36" s="144"/>
      <c r="F36" s="127" t="s">
        <v>96</v>
      </c>
      <c r="G36" s="126">
        <v>1344879.1</v>
      </c>
      <c r="H36" s="126"/>
      <c r="I36" s="126"/>
      <c r="J36" s="129"/>
      <c r="K36" s="126"/>
      <c r="L36" s="246">
        <f t="shared" si="5"/>
        <v>1344879.1</v>
      </c>
    </row>
    <row r="37" spans="1:12" x14ac:dyDescent="0.35">
      <c r="A37" s="123"/>
      <c r="B37" s="262">
        <v>17</v>
      </c>
      <c r="C37" s="263">
        <f t="shared" si="4"/>
        <v>13</v>
      </c>
      <c r="D37" s="144" t="s">
        <v>790</v>
      </c>
      <c r="E37" s="144"/>
      <c r="F37" s="127" t="s">
        <v>96</v>
      </c>
      <c r="G37" s="126">
        <v>872248.34</v>
      </c>
      <c r="H37" s="126"/>
      <c r="I37" s="126"/>
      <c r="J37" s="129"/>
      <c r="K37" s="126"/>
      <c r="L37" s="246">
        <f t="shared" si="5"/>
        <v>872248.34</v>
      </c>
    </row>
    <row r="38" spans="1:12" ht="31" x14ac:dyDescent="0.35">
      <c r="A38" s="123"/>
      <c r="B38" s="262">
        <v>18</v>
      </c>
      <c r="C38" s="263">
        <f t="shared" si="4"/>
        <v>13</v>
      </c>
      <c r="D38" s="144" t="s">
        <v>791</v>
      </c>
      <c r="E38" s="144"/>
      <c r="F38" s="127" t="s">
        <v>96</v>
      </c>
      <c r="G38" s="126">
        <v>562401.91</v>
      </c>
      <c r="H38" s="126">
        <v>537758.91136825248</v>
      </c>
      <c r="I38" s="126"/>
      <c r="J38" s="129">
        <v>259378.25559953009</v>
      </c>
      <c r="K38" s="126">
        <v>9287.9755138984274</v>
      </c>
      <c r="L38" s="246">
        <f t="shared" si="5"/>
        <v>1368827.0524816811</v>
      </c>
    </row>
    <row r="39" spans="1:12" ht="31" x14ac:dyDescent="0.35">
      <c r="A39" s="123"/>
      <c r="B39" s="262">
        <v>19</v>
      </c>
      <c r="C39" s="263">
        <f t="shared" si="4"/>
        <v>13</v>
      </c>
      <c r="D39" s="144" t="s">
        <v>792</v>
      </c>
      <c r="E39" s="144"/>
      <c r="F39" s="127" t="s">
        <v>96</v>
      </c>
      <c r="G39" s="126">
        <v>0</v>
      </c>
      <c r="H39" s="126">
        <v>831039.69257711386</v>
      </c>
      <c r="I39" s="126"/>
      <c r="J39" s="129">
        <v>350855.72</v>
      </c>
      <c r="K39" s="126">
        <v>5210.0277645814122</v>
      </c>
      <c r="L39" s="246">
        <f t="shared" si="5"/>
        <v>1187105.4403416952</v>
      </c>
    </row>
    <row r="40" spans="1:12" x14ac:dyDescent="0.35">
      <c r="A40" s="123"/>
      <c r="B40" s="262">
        <v>20</v>
      </c>
      <c r="C40" s="263">
        <f t="shared" si="4"/>
        <v>13</v>
      </c>
      <c r="D40" s="144" t="s">
        <v>793</v>
      </c>
      <c r="E40" s="144"/>
      <c r="F40" s="127" t="s">
        <v>95</v>
      </c>
      <c r="G40" s="126">
        <v>31321.97</v>
      </c>
      <c r="H40" s="126">
        <v>132737.27470550689</v>
      </c>
      <c r="I40" s="126"/>
      <c r="J40" s="129">
        <v>64023.416513079821</v>
      </c>
      <c r="K40" s="126">
        <v>196776.38263489198</v>
      </c>
      <c r="L40" s="246">
        <f t="shared" si="5"/>
        <v>424859.04385347874</v>
      </c>
    </row>
    <row r="41" spans="1:12" ht="31" x14ac:dyDescent="0.35">
      <c r="A41" s="123"/>
      <c r="B41" s="262">
        <v>21</v>
      </c>
      <c r="C41" s="263">
        <f t="shared" si="4"/>
        <v>13</v>
      </c>
      <c r="D41" s="144" t="s">
        <v>794</v>
      </c>
      <c r="E41" s="144" t="s">
        <v>817</v>
      </c>
      <c r="F41" s="127" t="s">
        <v>95</v>
      </c>
      <c r="G41" s="126">
        <v>16072.8</v>
      </c>
      <c r="H41" s="126"/>
      <c r="I41" s="126"/>
      <c r="J41" s="129"/>
      <c r="K41" s="126">
        <v>0</v>
      </c>
      <c r="L41" s="246">
        <f t="shared" si="5"/>
        <v>16072.8</v>
      </c>
    </row>
    <row r="42" spans="1:12" x14ac:dyDescent="0.35">
      <c r="A42" s="123"/>
      <c r="B42" s="262">
        <v>22</v>
      </c>
      <c r="C42" s="263" t="str">
        <f t="shared" si="4"/>
        <v/>
      </c>
      <c r="D42" s="144"/>
      <c r="E42" s="144"/>
      <c r="F42" s="127"/>
      <c r="G42" s="126"/>
      <c r="H42" s="126"/>
      <c r="I42" s="126"/>
      <c r="J42" s="129"/>
      <c r="K42" s="126"/>
      <c r="L42" s="246">
        <f t="shared" si="5"/>
        <v>0</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300-000000000000}"/>
    <dataValidation allowBlank="1" showInputMessage="1" showErrorMessage="1" prompt="Type in date. " sqref="G9" xr:uid="{00000000-0002-0000-0300-000001000000}"/>
    <dataValidation allowBlank="1" showInputMessage="1" showErrorMessage="1" prompt="Type in the Total MHSA Funds (Including Interest) for CSS Annual Planning Costs. " sqref="F15" xr:uid="{00000000-0002-0000-0300-000002000000}"/>
    <dataValidation allowBlank="1" showInputMessage="1" showErrorMessage="1" prompt="Type in the Medi-Cal FFP for CSS Annual Planning Costs. " sqref="G15" xr:uid="{00000000-0002-0000-0300-000003000000}"/>
    <dataValidation allowBlank="1" showInputMessage="1" showErrorMessage="1" prompt="Type in the 1991 Realignment for CSS Annual Planning Costs. " sqref="H15" xr:uid="{00000000-0002-0000-0300-000004000000}"/>
    <dataValidation allowBlank="1" showInputMessage="1" showErrorMessage="1" prompt="Type in the Behavioral Health Subaccount amount for CSS Annual Planning Costs. " sqref="I15" xr:uid="{00000000-0002-0000-0300-000005000000}"/>
    <dataValidation allowBlank="1" showInputMessage="1" showErrorMessage="1" prompt="Type in Other funds for CSS Annual Planning Costs. " sqref="J15" xr:uid="{00000000-0002-0000-0300-000006000000}"/>
    <dataValidation allowBlank="1" showInputMessage="1" showErrorMessage="1" prompt="Type in Other funds for CSS Evaluation Costs. " sqref="J16" xr:uid="{00000000-0002-0000-0300-000007000000}"/>
    <dataValidation allowBlank="1" showInputMessage="1" showErrorMessage="1" prompt="Type in Other funds for CSS Administration Costs." sqref="J17" xr:uid="{00000000-0002-0000-0300-000008000000}"/>
    <dataValidation allowBlank="1" showInputMessage="1" showErrorMessage="1" prompt="Type in the Behavioral Health Subaccount amount for CSS Evaluation Costs." sqref="I16" xr:uid="{00000000-0002-0000-0300-000009000000}"/>
    <dataValidation allowBlank="1" showInputMessage="1" showErrorMessage="1" prompt="Type in the Behavioral Health Subaccount amount for CSS Administration Costs. " sqref="I17" xr:uid="{00000000-0002-0000-0300-00000A000000}"/>
    <dataValidation allowBlank="1" showInputMessage="1" showErrorMessage="1" prompt="Type in the 1991 Realignment for CSS Evaluation Costs." sqref="H16" xr:uid="{00000000-0002-0000-0300-00000B000000}"/>
    <dataValidation allowBlank="1" showInputMessage="1" showErrorMessage="1" prompt="Type in the 1991 Realignment for CSS Administration Costs. " sqref="H17" xr:uid="{00000000-0002-0000-0300-00000C000000}"/>
    <dataValidation allowBlank="1" showInputMessage="1" showErrorMessage="1" prompt="Type in the Medi-Cal FFP for CSS Evaluation Costs. " sqref="G16" xr:uid="{00000000-0002-0000-0300-00000D000000}"/>
    <dataValidation allowBlank="1" showInputMessage="1" showErrorMessage="1" prompt="Type in the Medi-Cal FFP for CSS Administration Costs. " sqref="G17" xr:uid="{00000000-0002-0000-0300-00000E000000}"/>
    <dataValidation allowBlank="1" showInputMessage="1" showErrorMessage="1" prompt="Type in the Total MHSA Funds (Including Interest) for CSS Evaluation Costs. " sqref="F16" xr:uid="{00000000-0002-0000-0300-00000F000000}"/>
    <dataValidation allowBlank="1" showInputMessage="1" showErrorMessage="1" prompt="Type in the Total MHSA Funds (Including Interest) for CSS Administration Costs. " sqref="F17" xr:uid="{00000000-0002-0000-0300-000010000000}"/>
    <dataValidation allowBlank="1" showInputMessage="1" showErrorMessage="1" prompt="Type in the Total MHSA Funds (Including Interest) for CSS Funds Transferred to JPA." sqref="F18" xr:uid="{00000000-0002-0000-0300-000011000000}"/>
    <dataValidation allowBlank="1" showInputMessage="1" showErrorMessage="1" prompt="Type in the Total MHSA Funds (Including Interest) for CSS Expenditures Incurred by JPA." sqref="F19" xr:uid="{00000000-0002-0000-0300-000012000000}"/>
    <dataValidation allowBlank="1" showInputMessage="1" showErrorMessage="1" prompt="Type in the Total MHSA Funds (Including Interest) for CSS Funds Transferred to CalHFA." sqref="F20" xr:uid="{00000000-0002-0000-0300-000013000000}"/>
    <dataValidation allowBlank="1" showInputMessage="1" showErrorMessage="1" prompt="Type in the Total MHSA Funds (Including Interest) for CSS Funds Transferred to PEI." sqref="F21" xr:uid="{00000000-0002-0000-0300-000014000000}"/>
    <dataValidation allowBlank="1" showInputMessage="1" showErrorMessage="1" prompt="Type in the Total MHSA Funds (Including Interest) for CSS Funds Transferred to WET." sqref="F22" xr:uid="{00000000-0002-0000-0300-000015000000}"/>
    <dataValidation allowBlank="1" showInputMessage="1" showErrorMessage="1" prompt="Type in the Total MHSA Funds (Including Interest) for CSS Funds Transferred to CFTN." sqref="F23" xr:uid="{00000000-0002-0000-0300-000016000000}"/>
    <dataValidation allowBlank="1" showInputMessage="1" showErrorMessage="1" prompt="Type in the Total MHSA Funds (Including Interest) for CSS Funds Transferred to PR. " sqref="F24" xr:uid="{00000000-0002-0000-0300-000017000000}"/>
    <dataValidation allowBlank="1" showInputMessage="1" showErrorMessage="1" prompt="Type in Program Name. " sqref="D34:D133" xr:uid="{00000000-0002-0000-0300-000018000000}"/>
    <dataValidation allowBlank="1" showInputMessage="1" showErrorMessage="1" prompt="Type in Prior Program Name. " sqref="E34:E133" xr:uid="{00000000-0002-0000-0300-000019000000}"/>
    <dataValidation type="list" allowBlank="1" showInputMessage="1" showErrorMessage="1" prompt="Use drop down menu to select Program Type. " sqref="F34:F133" xr:uid="{00000000-0002-0000-0300-00001A000000}">
      <formula1>CSS_Service_Category</formula1>
    </dataValidation>
    <dataValidation allowBlank="1" showInputMessage="1" showErrorMessage="1" prompt="Type in Total MHSA Funds (Including Interest)" sqref="G34:G133" xr:uid="{00000000-0002-0000-0300-00001B000000}"/>
    <dataValidation allowBlank="1" showInputMessage="1" showErrorMessage="1" prompt="Type in Medi-Cal FFP. " sqref="H34:H133" xr:uid="{00000000-0002-0000-0300-00001C000000}"/>
    <dataValidation allowBlank="1" showInputMessage="1" showErrorMessage="1" prompt="Type in 1991 Realignment. " sqref="I34:I133" xr:uid="{00000000-0002-0000-0300-00001D000000}"/>
    <dataValidation allowBlank="1" showInputMessage="1" showErrorMessage="1" prompt="Type in Behavioral Health Subaccount. " sqref="J34:J133" xr:uid="{00000000-0002-0000-0300-00001E000000}"/>
    <dataValidation allowBlank="1" showInputMessage="1" showErrorMessage="1" prompt="Type in Other items. " sqref="K34:K133" xr:uid="{00000000-0002-0000-0300-00001F000000}"/>
  </dataValidations>
  <pageMargins left="0.25" right="0.25" top="0.75" bottom="0.75" header="0.3" footer="0.3"/>
  <pageSetup paperSize="5" scale="52" orientation="landscape" r:id="rId4"/>
  <headerFooter>
    <oddFooter>&amp;C&amp;"Arial,Regular"&amp;16Page &amp;P of &amp;N</oddFooter>
  </headerFooter>
  <rowBreaks count="4" manualBreakCount="4">
    <brk id="42" min="1" max="11" man="1"/>
    <brk id="58" min="1" max="11" man="1"/>
    <brk id="83" min="1" max="11" man="1"/>
    <brk id="108"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autoPageBreaks="0"/>
  </sheetPr>
  <dimension ref="A1:AN134"/>
  <sheetViews>
    <sheetView showGridLines="0" topLeftCell="A18" zoomScale="60" zoomScaleNormal="60" zoomScaleSheetLayoutView="40" zoomScalePageLayoutView="80" workbookViewId="0">
      <selection activeCell="K24" sqref="K24"/>
    </sheetView>
  </sheetViews>
  <sheetFormatPr defaultColWidth="0" defaultRowHeight="15.5" zeroHeight="1" x14ac:dyDescent="0.35"/>
  <cols>
    <col min="1" max="1" width="2.7265625" style="27" customWidth="1"/>
    <col min="2" max="2" width="6.7265625" style="27" customWidth="1"/>
    <col min="3" max="3" width="15.26953125" style="37" customWidth="1"/>
    <col min="4" max="5" width="46.81640625" style="402" customWidth="1"/>
    <col min="6" max="6" width="37" style="402" bestFit="1" customWidth="1"/>
    <col min="7" max="7" width="26" style="402" bestFit="1" customWidth="1"/>
    <col min="8" max="8" width="20.7265625" style="402" bestFit="1" customWidth="1"/>
    <col min="9" max="9" width="20" style="402" bestFit="1" customWidth="1"/>
    <col min="10" max="10" width="30.81640625" style="402" customWidth="1"/>
    <col min="11" max="11" width="31.54296875" style="27" bestFit="1" customWidth="1"/>
    <col min="12" max="12" width="27.453125" style="27" bestFit="1" customWidth="1"/>
    <col min="13" max="13" width="23.1796875" style="27" customWidth="1"/>
    <col min="14" max="15" width="26.453125" style="27" bestFit="1" customWidth="1"/>
    <col min="16" max="16" width="22.26953125" style="27" customWidth="1"/>
    <col min="17" max="17" width="18.81640625" style="27" bestFit="1" customWidth="1"/>
    <col min="18" max="18" width="15" style="176" hidden="1" customWidth="1"/>
    <col min="19" max="24" width="15" style="175" hidden="1" customWidth="1"/>
    <col min="25" max="40" width="9.1796875" style="175" hidden="1" customWidth="1"/>
    <col min="41" max="16384" width="9.17968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2021 - 22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Imperial</v>
      </c>
      <c r="E9" s="27" t="str">
        <f>IF(ISBLANK('1. Information'!D11),"",'1. Information'!D11)</f>
        <v>Imperial</v>
      </c>
      <c r="F9" s="226" t="s">
        <v>1</v>
      </c>
      <c r="G9" s="264">
        <f ca="1">IF(ISBLANK('1. Information'!D9),"",'1. Information'!D9)</f>
        <v>44958</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v>2820.5099999999998</v>
      </c>
      <c r="G15" s="136"/>
      <c r="H15" s="136"/>
      <c r="I15" s="136"/>
      <c r="J15" s="136"/>
      <c r="K15" s="241">
        <f>SUM(F15:J15)</f>
        <v>2820.5099999999998</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v>0</v>
      </c>
      <c r="G16" s="136"/>
      <c r="H16" s="136"/>
      <c r="I16" s="136"/>
      <c r="J16" s="136"/>
      <c r="K16" s="241">
        <f t="shared" ref="K16:K22" si="0">SUM(F16:J16)</f>
        <v>0</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v>87099.745999999592</v>
      </c>
      <c r="G17" s="136"/>
      <c r="H17" s="136"/>
      <c r="I17" s="136"/>
      <c r="J17" s="136"/>
      <c r="K17" s="241">
        <f t="shared" si="0"/>
        <v>87099.745999999592</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1213849.3440000003</v>
      </c>
      <c r="G21" s="275">
        <f>SUMIF($G$34:$G$133,"Combined Summary",M$34:M$133) + SUMIF($F$34:$F$133,"Standalone",M$34:M$133)</f>
        <v>447715.14</v>
      </c>
      <c r="H21" s="275">
        <f>SUMIF($G$34:$G$133,"Combined Summary",N$34:N$133) + SUMIF($F$34:$F$133,"Standalone",N$34:N$133)</f>
        <v>0</v>
      </c>
      <c r="I21" s="275">
        <f>SUMIF($G$34:$G$133,"Combined Summary",O$34:O$133) + SUMIF($F$34:$F$133,"Standalone",O$34:O$133)</f>
        <v>414552.89</v>
      </c>
      <c r="J21" s="275">
        <f>SUMIF($G$34:$G$133,"Combined Summary",P$34:P$133) + SUMIF($F$34:$F$133,"Standalone",P$34:P$133)</f>
        <v>1014.26</v>
      </c>
      <c r="K21" s="246">
        <f t="shared" si="0"/>
        <v>2077131.6340000003</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1" customHeight="1" x14ac:dyDescent="0.35">
      <c r="B22" s="276">
        <v>8</v>
      </c>
      <c r="C22" s="277" t="s">
        <v>304</v>
      </c>
      <c r="D22" s="212"/>
      <c r="E22" s="278"/>
      <c r="F22" s="279">
        <f>SUM(F15:F17,F20:F21)</f>
        <v>1303769.5999999999</v>
      </c>
      <c r="G22" s="279">
        <f t="shared" ref="G22:J22" si="2">SUM(G15:G17,G20:G21)</f>
        <v>447715.14</v>
      </c>
      <c r="H22" s="279">
        <f t="shared" si="2"/>
        <v>0</v>
      </c>
      <c r="I22" s="279">
        <f t="shared" si="2"/>
        <v>414552.89</v>
      </c>
      <c r="J22" s="279">
        <f t="shared" si="2"/>
        <v>1014.26</v>
      </c>
      <c r="K22" s="279">
        <f t="shared" si="0"/>
        <v>2167051.8899999997</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0.74085532011254163</v>
      </c>
      <c r="F28" s="18"/>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1" x14ac:dyDescent="0.35">
      <c r="B34" s="300">
        <v>10</v>
      </c>
      <c r="C34" s="301">
        <f t="shared" ref="C34:C65" si="3">IF(AND(NOT(COUNTA(D34:J34)),(NOT(COUNTA(L34:P34)))),"",VLOOKUP($D$9,Info_County_Code,2,FALSE))</f>
        <v>13</v>
      </c>
      <c r="D34" s="144" t="s">
        <v>796</v>
      </c>
      <c r="E34" s="144"/>
      <c r="F34" s="147" t="s">
        <v>125</v>
      </c>
      <c r="G34" s="148" t="s">
        <v>121</v>
      </c>
      <c r="H34" s="33"/>
      <c r="I34" s="36">
        <v>0</v>
      </c>
      <c r="J34" s="36">
        <v>1</v>
      </c>
      <c r="K34" s="302">
        <f>IF(OR(G34="Combined Summary",F34="Standalone"),(SUMPRODUCT(--(D$34:D$133=D34),I$34:I$133,J$34:J$133)),"")</f>
        <v>1</v>
      </c>
      <c r="L34" s="126">
        <v>74282.507854800177</v>
      </c>
      <c r="M34" s="133">
        <v>0</v>
      </c>
      <c r="N34" s="30"/>
      <c r="O34" s="30">
        <v>217549.80405259985</v>
      </c>
      <c r="P34" s="30">
        <v>0</v>
      </c>
      <c r="Q34" s="303">
        <f>SUM(L34:P34)</f>
        <v>291832.31190740003</v>
      </c>
      <c r="R34" s="178">
        <f>IF(OR(G34="Combined Summary",F34="Standalone"),(SUMIF(D$34:D$133,D34,I$34:I$133)),"")</f>
        <v>1</v>
      </c>
      <c r="S34" s="179" t="str">
        <f>IF(AND(F34="Standalone",NOT(R34=1)),"ERROR",IF(AND(G34="Combined Summary",NOT(R34=1)),"ERROR",""))</f>
        <v/>
      </c>
      <c r="T34" s="177"/>
      <c r="AL34" s="27"/>
      <c r="AM34" s="27"/>
      <c r="AN34" s="27"/>
    </row>
    <row r="35" spans="2:40" x14ac:dyDescent="0.35">
      <c r="B35" s="300">
        <v>11</v>
      </c>
      <c r="C35" s="301">
        <f t="shared" si="3"/>
        <v>13</v>
      </c>
      <c r="D35" s="144" t="s">
        <v>797</v>
      </c>
      <c r="E35" s="144"/>
      <c r="F35" s="147" t="s">
        <v>125</v>
      </c>
      <c r="G35" s="148" t="s">
        <v>121</v>
      </c>
      <c r="H35" s="33"/>
      <c r="I35" s="36">
        <v>0</v>
      </c>
      <c r="J35" s="36">
        <v>1</v>
      </c>
      <c r="K35" s="302">
        <f t="shared" ref="K35:K98" si="4">IF(OR(G35="Combined Summary",F35="Standalone"),(SUMPRODUCT(--(D$34:D$133=D35),I$34:I$133,J$34:J$133)),"")</f>
        <v>1</v>
      </c>
      <c r="L35" s="126">
        <v>218437.02394000001</v>
      </c>
      <c r="M35" s="133">
        <v>0</v>
      </c>
      <c r="N35" s="30"/>
      <c r="O35" s="30">
        <v>0</v>
      </c>
      <c r="P35" s="30">
        <v>0</v>
      </c>
      <c r="Q35" s="303">
        <f t="shared" ref="Q35:Q98" si="5">SUM(L35:P35)</f>
        <v>218437.02394000001</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35">
      <c r="B36" s="300">
        <v>12</v>
      </c>
      <c r="C36" s="301">
        <f t="shared" si="3"/>
        <v>13</v>
      </c>
      <c r="D36" s="144" t="s">
        <v>798</v>
      </c>
      <c r="E36" s="144"/>
      <c r="F36" s="147" t="s">
        <v>125</v>
      </c>
      <c r="G36" s="148" t="s">
        <v>121</v>
      </c>
      <c r="H36" s="33"/>
      <c r="I36" s="36">
        <v>0.13</v>
      </c>
      <c r="J36" s="36">
        <v>0.87</v>
      </c>
      <c r="K36" s="302">
        <f t="shared" si="4"/>
        <v>0.11310000000000001</v>
      </c>
      <c r="L36" s="126">
        <v>279563.31</v>
      </c>
      <c r="M36" s="133">
        <v>0</v>
      </c>
      <c r="N36" s="30"/>
      <c r="O36" s="30">
        <v>0</v>
      </c>
      <c r="P36" s="30">
        <v>0</v>
      </c>
      <c r="Q36" s="303">
        <f t="shared" si="5"/>
        <v>279563.31</v>
      </c>
      <c r="R36" s="178">
        <f t="shared" si="6"/>
        <v>0.13</v>
      </c>
      <c r="S36" s="180" t="str">
        <f t="shared" si="7"/>
        <v>ERROR</v>
      </c>
      <c r="AL36" s="27"/>
      <c r="AM36" s="27"/>
      <c r="AN36" s="27"/>
    </row>
    <row r="37" spans="2:40" x14ac:dyDescent="0.35">
      <c r="B37" s="300">
        <v>13</v>
      </c>
      <c r="C37" s="301">
        <f t="shared" si="3"/>
        <v>13</v>
      </c>
      <c r="D37" s="144" t="s">
        <v>799</v>
      </c>
      <c r="E37" s="144"/>
      <c r="F37" s="147" t="s">
        <v>126</v>
      </c>
      <c r="G37" s="148" t="s">
        <v>194</v>
      </c>
      <c r="H37" s="33" t="s">
        <v>121</v>
      </c>
      <c r="I37" s="36">
        <v>1</v>
      </c>
      <c r="J37" s="36">
        <v>1</v>
      </c>
      <c r="K37" s="302">
        <f t="shared" si="4"/>
        <v>1</v>
      </c>
      <c r="L37" s="126">
        <v>364334.03000000009</v>
      </c>
      <c r="M37" s="133">
        <v>0</v>
      </c>
      <c r="N37" s="30"/>
      <c r="O37" s="30">
        <v>0</v>
      </c>
      <c r="P37" s="30">
        <v>0</v>
      </c>
      <c r="Q37" s="303">
        <f t="shared" si="5"/>
        <v>364334.03000000009</v>
      </c>
      <c r="R37" s="178">
        <f t="shared" si="6"/>
        <v>1</v>
      </c>
      <c r="S37" s="180" t="str">
        <f t="shared" si="7"/>
        <v/>
      </c>
      <c r="AL37" s="27"/>
      <c r="AM37" s="27"/>
      <c r="AN37" s="27"/>
    </row>
    <row r="38" spans="2:40" ht="31" x14ac:dyDescent="0.35">
      <c r="B38" s="300">
        <v>14</v>
      </c>
      <c r="C38" s="301">
        <f t="shared" si="3"/>
        <v>13</v>
      </c>
      <c r="D38" s="144" t="s">
        <v>796</v>
      </c>
      <c r="E38" s="144"/>
      <c r="F38" s="147" t="s">
        <v>125</v>
      </c>
      <c r="G38" s="148" t="s">
        <v>122</v>
      </c>
      <c r="H38" s="33"/>
      <c r="I38" s="36">
        <v>1</v>
      </c>
      <c r="J38" s="36">
        <v>1</v>
      </c>
      <c r="K38" s="302">
        <f t="shared" si="4"/>
        <v>1</v>
      </c>
      <c r="L38" s="126">
        <v>0</v>
      </c>
      <c r="M38" s="133">
        <v>93214.823789893562</v>
      </c>
      <c r="N38" s="30"/>
      <c r="O38" s="30">
        <v>166588.95595150653</v>
      </c>
      <c r="P38" s="30">
        <v>0</v>
      </c>
      <c r="Q38" s="303">
        <f t="shared" si="5"/>
        <v>259803.7797414001</v>
      </c>
      <c r="R38" s="178">
        <f t="shared" si="6"/>
        <v>1</v>
      </c>
      <c r="S38" s="180" t="str">
        <f t="shared" si="7"/>
        <v/>
      </c>
      <c r="AL38" s="27"/>
      <c r="AM38" s="27"/>
      <c r="AN38" s="27"/>
    </row>
    <row r="39" spans="2:40" x14ac:dyDescent="0.35">
      <c r="B39" s="300">
        <v>15</v>
      </c>
      <c r="C39" s="301">
        <f t="shared" si="3"/>
        <v>13</v>
      </c>
      <c r="D39" s="144" t="s">
        <v>797</v>
      </c>
      <c r="E39" s="144"/>
      <c r="F39" s="147" t="s">
        <v>126</v>
      </c>
      <c r="G39" s="148" t="s">
        <v>194</v>
      </c>
      <c r="H39" s="33" t="s">
        <v>122</v>
      </c>
      <c r="I39" s="36">
        <v>1</v>
      </c>
      <c r="J39" s="36">
        <v>1</v>
      </c>
      <c r="K39" s="302">
        <f t="shared" si="4"/>
        <v>1</v>
      </c>
      <c r="L39" s="126">
        <v>0</v>
      </c>
      <c r="M39" s="133">
        <v>354500.31621010642</v>
      </c>
      <c r="N39" s="30"/>
      <c r="O39" s="30">
        <v>30414.129995893629</v>
      </c>
      <c r="P39" s="30">
        <v>1014.26</v>
      </c>
      <c r="Q39" s="303">
        <f t="shared" si="5"/>
        <v>385928.70620600006</v>
      </c>
      <c r="R39" s="178">
        <f t="shared" si="6"/>
        <v>1</v>
      </c>
      <c r="S39" s="180" t="str">
        <f t="shared" si="7"/>
        <v/>
      </c>
      <c r="AL39" s="27"/>
      <c r="AM39" s="27"/>
      <c r="AN39" s="27"/>
    </row>
    <row r="40" spans="2:40" x14ac:dyDescent="0.35">
      <c r="B40" s="300">
        <v>16</v>
      </c>
      <c r="C40" s="301">
        <f t="shared" si="3"/>
        <v>13</v>
      </c>
      <c r="D40" s="144" t="s">
        <v>128</v>
      </c>
      <c r="E40" s="144"/>
      <c r="F40" s="147" t="s">
        <v>125</v>
      </c>
      <c r="G40" s="148" t="s">
        <v>128</v>
      </c>
      <c r="H40" s="33"/>
      <c r="I40" s="36">
        <v>1</v>
      </c>
      <c r="J40" s="36">
        <v>1</v>
      </c>
      <c r="K40" s="302">
        <f t="shared" si="4"/>
        <v>1</v>
      </c>
      <c r="L40" s="126">
        <v>179265.98131839998</v>
      </c>
      <c r="M40" s="133">
        <v>0</v>
      </c>
      <c r="N40" s="30"/>
      <c r="O40" s="30">
        <v>0</v>
      </c>
      <c r="P40" s="30">
        <v>0</v>
      </c>
      <c r="Q40" s="303">
        <f t="shared" si="5"/>
        <v>179265.98131839998</v>
      </c>
      <c r="R40" s="178">
        <f t="shared" si="6"/>
        <v>1</v>
      </c>
      <c r="S40" s="180" t="str">
        <f t="shared" si="7"/>
        <v/>
      </c>
      <c r="AL40" s="27"/>
      <c r="AM40" s="27"/>
      <c r="AN40" s="27"/>
    </row>
    <row r="41" spans="2:40" x14ac:dyDescent="0.35">
      <c r="B41" s="300">
        <v>17</v>
      </c>
      <c r="C41" s="301">
        <f t="shared" si="3"/>
        <v>13</v>
      </c>
      <c r="D41" s="144" t="s">
        <v>800</v>
      </c>
      <c r="E41" s="144"/>
      <c r="F41" s="147" t="s">
        <v>125</v>
      </c>
      <c r="G41" s="148" t="s">
        <v>127</v>
      </c>
      <c r="H41" s="33"/>
      <c r="I41" s="36">
        <v>1</v>
      </c>
      <c r="J41" s="36">
        <v>1</v>
      </c>
      <c r="K41" s="302">
        <f t="shared" si="4"/>
        <v>1</v>
      </c>
      <c r="L41" s="126">
        <v>49116.788635999997</v>
      </c>
      <c r="M41" s="133">
        <v>0</v>
      </c>
      <c r="N41" s="30"/>
      <c r="O41" s="30">
        <v>0</v>
      </c>
      <c r="P41" s="30">
        <v>0</v>
      </c>
      <c r="Q41" s="303">
        <f t="shared" si="5"/>
        <v>49116.788635999997</v>
      </c>
      <c r="R41" s="178">
        <f t="shared" si="6"/>
        <v>1</v>
      </c>
      <c r="S41" s="180" t="str">
        <f t="shared" si="7"/>
        <v/>
      </c>
      <c r="AL41" s="27"/>
      <c r="AM41" s="27"/>
      <c r="AN41" s="27"/>
    </row>
    <row r="42" spans="2:40" x14ac:dyDescent="0.35">
      <c r="B42" s="300">
        <v>18</v>
      </c>
      <c r="C42" s="301">
        <f t="shared" si="3"/>
        <v>13</v>
      </c>
      <c r="D42" s="144" t="s">
        <v>801</v>
      </c>
      <c r="E42" s="144"/>
      <c r="F42" s="147" t="s">
        <v>125</v>
      </c>
      <c r="G42" s="148" t="s">
        <v>118</v>
      </c>
      <c r="H42" s="33"/>
      <c r="I42" s="36">
        <v>1</v>
      </c>
      <c r="J42" s="36">
        <v>1</v>
      </c>
      <c r="K42" s="302">
        <f t="shared" si="4"/>
        <v>1</v>
      </c>
      <c r="L42" s="126">
        <v>48849.702250799986</v>
      </c>
      <c r="M42" s="133">
        <v>0</v>
      </c>
      <c r="N42" s="30"/>
      <c r="O42" s="30">
        <v>0</v>
      </c>
      <c r="P42" s="30">
        <v>0</v>
      </c>
      <c r="Q42" s="303">
        <f t="shared" si="5"/>
        <v>48849.702250799986</v>
      </c>
      <c r="R42" s="178">
        <f t="shared" si="6"/>
        <v>1</v>
      </c>
      <c r="S42" s="180" t="str">
        <f t="shared" si="7"/>
        <v/>
      </c>
      <c r="AL42" s="27"/>
      <c r="AM42" s="27"/>
      <c r="AN42" s="27"/>
    </row>
    <row r="43" spans="2:40" x14ac:dyDescent="0.3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3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3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3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3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3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3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400-000000000000}"/>
    <dataValidation allowBlank="1" showInputMessage="1" showErrorMessage="1" prompt="Type in the Total MHSA Funds (Including Interest) for PEI Expenditures Incurred by JPA." sqref="F19" xr:uid="{00000000-0002-0000-0400-000001000000}"/>
    <dataValidation allowBlank="1" showInputMessage="1" showErrorMessage="1" prompt="Type in the Total MHSA Funds (Including Interest) for PEI Funds Transferred to JPA." sqref="F18" xr:uid="{00000000-0002-0000-0400-000002000000}"/>
    <dataValidation allowBlank="1" showInputMessage="1" showErrorMessage="1" prompt="Type in the Total MHSA Funds (Including Interest) for PEI Administration Costs. " sqref="F17" xr:uid="{00000000-0002-0000-0400-000003000000}"/>
    <dataValidation allowBlank="1" showInputMessage="1" showErrorMessage="1" prompt="Type in the Total MHSA Funds (Including Interest) for PEI Evaluation Costs. " sqref="F16" xr:uid="{00000000-0002-0000-0400-000004000000}"/>
    <dataValidation allowBlank="1" showInputMessage="1" showErrorMessage="1" prompt="Type in the Medi-Cal FFP for PEI Administration Costs. " sqref="G17" xr:uid="{00000000-0002-0000-0400-000005000000}"/>
    <dataValidation allowBlank="1" showInputMessage="1" showErrorMessage="1" prompt="Type in the Medi-Cal FFP for PEI Evaluation Costs. " sqref="G16" xr:uid="{00000000-0002-0000-0400-000006000000}"/>
    <dataValidation allowBlank="1" showInputMessage="1" showErrorMessage="1" prompt="Type in the 1991 Realignment for PEI Administration Costs. " sqref="H17" xr:uid="{00000000-0002-0000-0400-000007000000}"/>
    <dataValidation allowBlank="1" showInputMessage="1" showErrorMessage="1" prompt="Type in the 1991 Realignment for PEI Evaluation Costs." sqref="H16" xr:uid="{00000000-0002-0000-0400-000008000000}"/>
    <dataValidation allowBlank="1" showInputMessage="1" showErrorMessage="1" prompt="Type in the Behavioral Health Subaccount amount for PEI Administration Costs. " sqref="I17" xr:uid="{00000000-0002-0000-0400-000009000000}"/>
    <dataValidation allowBlank="1" showInputMessage="1" showErrorMessage="1" prompt="Type in the Behavioral Health Subaccount amount for PEI Evaluation Costs." sqref="I16" xr:uid="{00000000-0002-0000-0400-00000A000000}"/>
    <dataValidation allowBlank="1" showInputMessage="1" showErrorMessage="1" prompt="Type in Other funds for PEI Administration Costs." sqref="J17" xr:uid="{00000000-0002-0000-0400-00000B000000}"/>
    <dataValidation allowBlank="1" showInputMessage="1" showErrorMessage="1" prompt="Type in Other funds for PEI Evaluation Costs. " sqref="J16" xr:uid="{00000000-0002-0000-0400-00000C000000}"/>
    <dataValidation allowBlank="1" showInputMessage="1" showErrorMessage="1" prompt="Type in Other funds for PEI Annual Planning Costs. " sqref="J15" xr:uid="{00000000-0002-0000-0400-00000D000000}"/>
    <dataValidation allowBlank="1" showInputMessage="1" showErrorMessage="1" prompt="Type in the Behavioral Health Subaccount amount for PEI Annual Planning Costs. " sqref="I15" xr:uid="{00000000-0002-0000-0400-00000E000000}"/>
    <dataValidation allowBlank="1" showInputMessage="1" showErrorMessage="1" prompt="Type in the 1991 Realignment for PEI Annual Planning Costs. " sqref="H15" xr:uid="{00000000-0002-0000-0400-00000F000000}"/>
    <dataValidation allowBlank="1" showInputMessage="1" showErrorMessage="1" prompt="Type in the Medi-Cal FFP for PEI Annual Planning Costs. " sqref="G15" xr:uid="{00000000-0002-0000-0400-000010000000}"/>
    <dataValidation allowBlank="1" showInputMessage="1" showErrorMessage="1" prompt="Type in the Total MHSA Funds (Including Interest) for PEI Annual Planning Costs. " sqref="F15" xr:uid="{00000000-0002-0000-0400-000011000000}"/>
    <dataValidation allowBlank="1" showInputMessage="1" showErrorMessage="1" prompt="Type in Percent Expended for Clients Age 25 and Under" sqref="F28" xr:uid="{00000000-0002-0000-0400-000012000000}"/>
    <dataValidation allowBlank="1" showInputMessage="1" showErrorMessage="1" prompt="Type in Program Name." sqref="D34:D133" xr:uid="{00000000-0002-0000-0400-000013000000}"/>
    <dataValidation allowBlank="1" showInputMessage="1" showErrorMessage="1" prompt="Type in Prior Program Name." sqref="E34:E133" xr:uid="{00000000-0002-0000-0400-000014000000}"/>
    <dataValidation type="list" allowBlank="1" showInputMessage="1" showErrorMessage="1" prompt="Select whether Combined or Standalone Program from the drop down list. " sqref="F34:F133" xr:uid="{00000000-0002-0000-0400-000015000000}">
      <formula1>PEI_Combined_Standalone</formula1>
    </dataValidation>
    <dataValidation type="list" allowBlank="1" showInputMessage="1" showErrorMessage="1" prompt="Select Program Type from the drop down list. " sqref="G34:G133" xr:uid="{00000000-0002-0000-0400-000016000000}">
      <formula1>PEI_Program_Type</formula1>
    </dataValidation>
    <dataValidation allowBlank="1" showInputMessage="1" showErrorMessage="1" prompt="Type in Program Activity Name (in Combined Program)." sqref="H34:H133" xr:uid="{00000000-0002-0000-0400-000017000000}"/>
    <dataValidation allowBlank="1" showInputMessage="1" showErrorMessage="1" prompt="Type in subtotal percentage for Conbined Program. " sqref="I34:I133" xr:uid="{00000000-0002-0000-0400-000018000000}"/>
    <dataValidation allowBlank="1" showInputMessage="1" showErrorMessage="1" prompt="Type in Percent of PEI Expended on Clients Age 25 and Under (Standalone and Program Activities in Combined Program)" sqref="J34:J133" xr:uid="{00000000-0002-0000-0400-000019000000}"/>
    <dataValidation allowBlank="1" showInputMessage="1" showErrorMessage="1" prompt="Type in Total MHSA Funds (Including Interest)" sqref="L34:L133" xr:uid="{00000000-0002-0000-0400-00001A000000}"/>
    <dataValidation allowBlank="1" showInputMessage="1" showErrorMessage="1" prompt="Type in Medi-Cal FFP" sqref="M34:M133" xr:uid="{00000000-0002-0000-0400-00001B000000}"/>
    <dataValidation allowBlank="1" showInputMessage="1" showErrorMessage="1" prompt="Type in 1991 Realignment." sqref="N34:N133" xr:uid="{00000000-0002-0000-0400-00001C000000}"/>
    <dataValidation allowBlank="1" showInputMessage="1" showErrorMessage="1" prompt="Type in Behavioral Health Subaccount." sqref="O34:O133" xr:uid="{00000000-0002-0000-0400-00001D000000}"/>
    <dataValidation allowBlank="1" showInputMessage="1" showErrorMessage="1" prompt="Type in Other Funds. " sqref="P34:P133" xr:uid="{00000000-0002-0000-04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43" min="1" max="16" man="1"/>
    <brk id="62" min="1" max="16" man="1"/>
    <brk id="83" min="1" max="16" man="1"/>
    <brk id="108" min="1" max="1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autoPageBreaks="0"/>
  </sheetPr>
  <dimension ref="A1:Q128"/>
  <sheetViews>
    <sheetView showGridLines="0" topLeftCell="A7" zoomScale="80" zoomScaleNormal="80" zoomScaleSheetLayoutView="40" workbookViewId="0">
      <selection activeCell="I34" sqref="I34"/>
    </sheetView>
  </sheetViews>
  <sheetFormatPr defaultColWidth="9.1796875" defaultRowHeight="15.5" zeroHeight="1" x14ac:dyDescent="0.35"/>
  <cols>
    <col min="1" max="1" width="2.7265625" style="27" customWidth="1"/>
    <col min="2" max="2" width="6.7265625" style="28" customWidth="1"/>
    <col min="3" max="3" width="9.54296875" style="28" customWidth="1"/>
    <col min="4" max="4" width="9.453125" style="28" bestFit="1" customWidth="1"/>
    <col min="5" max="5" width="55.1796875" style="28" customWidth="1"/>
    <col min="6" max="7" width="17.7265625" style="28" customWidth="1"/>
    <col min="8" max="8" width="31" style="28" bestFit="1" customWidth="1"/>
    <col min="9" max="9" width="24.81640625" style="28" customWidth="1"/>
    <col min="10" max="10" width="24.453125" style="28" bestFit="1" customWidth="1"/>
    <col min="11" max="11" width="20.81640625" style="28" bestFit="1" customWidth="1"/>
    <col min="12" max="12" width="25.1796875" style="28" bestFit="1" customWidth="1"/>
    <col min="13" max="13" width="26.54296875" style="28" customWidth="1"/>
    <col min="14" max="14" width="21.1796875" style="28" bestFit="1" customWidth="1"/>
    <col min="15" max="15" width="20.1796875" style="28" bestFit="1" customWidth="1"/>
    <col min="16" max="16" width="17.7265625" style="28" customWidth="1"/>
    <col min="17" max="17" width="18" style="27" bestFit="1" customWidth="1"/>
    <col min="18" max="16384" width="9.17968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2021 - 22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Imperial</v>
      </c>
      <c r="G9" s="226" t="s">
        <v>1</v>
      </c>
      <c r="H9" s="264">
        <f ca="1">IF(ISBLANK('1. Information'!D9),"",'1. Information'!D9)</f>
        <v>44958</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v>95788.526050999993</v>
      </c>
      <c r="G15" s="136"/>
      <c r="H15" s="136"/>
      <c r="I15" s="136"/>
      <c r="J15" s="136"/>
      <c r="K15" s="246">
        <f>SUM(F15:J15)</f>
        <v>95788.526050999993</v>
      </c>
      <c r="L15" s="175"/>
      <c r="M15" s="175"/>
      <c r="N15" s="175"/>
      <c r="O15" s="27"/>
      <c r="P15" s="27"/>
    </row>
    <row r="16" spans="1:17" x14ac:dyDescent="0.35">
      <c r="B16" s="300">
        <v>2</v>
      </c>
      <c r="C16" s="308" t="s">
        <v>143</v>
      </c>
      <c r="D16" s="242"/>
      <c r="E16" s="243"/>
      <c r="F16" s="136">
        <v>24622.759999999926</v>
      </c>
      <c r="G16" s="136"/>
      <c r="H16" s="136"/>
      <c r="I16" s="136"/>
      <c r="J16" s="136"/>
      <c r="K16" s="246">
        <f>SUM(F16:J16)</f>
        <v>24622.759999999926</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x14ac:dyDescent="0.35">
      <c r="B20" s="300">
        <v>6</v>
      </c>
      <c r="C20" s="308" t="s">
        <v>145</v>
      </c>
      <c r="D20" s="242"/>
      <c r="E20" s="243"/>
      <c r="F20" s="310">
        <f>SUMIF($K$29:$K$128,"Project Evaluation",L$29:L$128)</f>
        <v>8225</v>
      </c>
      <c r="G20" s="313">
        <f>SUMIF($K$29:$K$128,"Project Evaluation",M$29:M$128)</f>
        <v>0</v>
      </c>
      <c r="H20" s="310">
        <f>SUMIF($K$29:$K$128,"Project Evaluation",N$29:N$128)</f>
        <v>0</v>
      </c>
      <c r="I20" s="310">
        <f>SUMIF($K$29:$K$128,"Project Evaluation",O$29:O$128)</f>
        <v>0</v>
      </c>
      <c r="J20" s="310">
        <f>SUMIF($K$29:$K$128,"Project Evaluation",P$29:P$128)</f>
        <v>0</v>
      </c>
      <c r="K20" s="246">
        <f t="shared" si="0"/>
        <v>8225</v>
      </c>
      <c r="L20" s="175"/>
      <c r="M20" s="175"/>
      <c r="N20" s="175"/>
      <c r="O20" s="27"/>
      <c r="P20" s="27"/>
    </row>
    <row r="21" spans="2:17" x14ac:dyDescent="0.35">
      <c r="B21" s="300">
        <v>7</v>
      </c>
      <c r="C21" s="308" t="s">
        <v>196</v>
      </c>
      <c r="D21" s="242"/>
      <c r="E21" s="243"/>
      <c r="F21" s="310">
        <f>SUMIF($K$29:$K$128,"Project Direct",L$29:L$128)</f>
        <v>641900.41394900007</v>
      </c>
      <c r="G21" s="313">
        <f>SUMIF($K$29:$K$128,"Project Direct",M$29:M$128)</f>
        <v>0</v>
      </c>
      <c r="H21" s="310">
        <f>SUMIF($K$29:$K$128,"Project Direct",N$29:N$128)</f>
        <v>0</v>
      </c>
      <c r="I21" s="310">
        <f>SUMIF($K$29:$K$128,"Project Direct",O$29:O$128)</f>
        <v>0</v>
      </c>
      <c r="J21" s="310">
        <f>SUMIF($K$29:$K$128,"Project Direct",P$29:P$128)</f>
        <v>0</v>
      </c>
      <c r="K21" s="246">
        <f t="shared" si="0"/>
        <v>641900.41394900007</v>
      </c>
      <c r="L21" s="175"/>
      <c r="M21" s="175"/>
      <c r="N21" s="175"/>
      <c r="O21" s="27"/>
      <c r="P21" s="27"/>
    </row>
    <row r="22" spans="2:17" x14ac:dyDescent="0.35">
      <c r="B22" s="300">
        <v>8</v>
      </c>
      <c r="C22" s="308" t="s">
        <v>146</v>
      </c>
      <c r="D22" s="314"/>
      <c r="F22" s="315">
        <f>SUM(F19:F21)</f>
        <v>650125.41394900007</v>
      </c>
      <c r="G22" s="316">
        <f>SUM(G19:G21)</f>
        <v>0</v>
      </c>
      <c r="H22" s="315">
        <f>SUM(H19:H21)</f>
        <v>0</v>
      </c>
      <c r="I22" s="315">
        <f>SUM(I19:I21)</f>
        <v>0</v>
      </c>
      <c r="J22" s="315">
        <f t="shared" ref="J22" si="1">SUM(J19:J21)</f>
        <v>0</v>
      </c>
      <c r="K22" s="246">
        <f t="shared" si="0"/>
        <v>650125.41394900007</v>
      </c>
      <c r="L22" s="175"/>
      <c r="M22" s="175"/>
      <c r="N22" s="175"/>
      <c r="O22" s="27"/>
      <c r="P22" s="27"/>
    </row>
    <row r="23" spans="2:17" ht="31" customHeight="1" x14ac:dyDescent="0.35">
      <c r="B23" s="300">
        <v>9</v>
      </c>
      <c r="C23" s="317" t="s">
        <v>239</v>
      </c>
      <c r="D23" s="318"/>
      <c r="E23" s="319"/>
      <c r="F23" s="320">
        <f>SUM(F15:F16,F18:F21)</f>
        <v>770536.7</v>
      </c>
      <c r="G23" s="320">
        <f>SUM(G15:G16,G19:G21)</f>
        <v>0</v>
      </c>
      <c r="H23" s="320">
        <f t="shared" ref="H23:J23" si="2">SUM(H15:H16,H19:H21)</f>
        <v>0</v>
      </c>
      <c r="I23" s="320">
        <f t="shared" si="2"/>
        <v>0</v>
      </c>
      <c r="J23" s="320">
        <f t="shared" si="2"/>
        <v>0</v>
      </c>
      <c r="K23" s="279">
        <f t="shared" si="0"/>
        <v>770536.7</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13</v>
      </c>
      <c r="E29" s="144" t="s">
        <v>806</v>
      </c>
      <c r="F29" s="38"/>
      <c r="G29" s="415">
        <v>43524</v>
      </c>
      <c r="H29" s="415">
        <v>43524</v>
      </c>
      <c r="I29" s="416">
        <v>2165138</v>
      </c>
      <c r="J29" s="30"/>
      <c r="K29" s="326" t="s">
        <v>140</v>
      </c>
      <c r="L29" s="32"/>
      <c r="M29" s="32"/>
      <c r="N29" s="30"/>
      <c r="O29" s="30"/>
      <c r="P29" s="34"/>
      <c r="Q29" s="246">
        <f>SUM(L29:P29)</f>
        <v>0</v>
      </c>
    </row>
    <row r="30" spans="2:17" x14ac:dyDescent="0.35">
      <c r="B30" s="276">
        <v>10</v>
      </c>
      <c r="C30" s="218" t="s">
        <v>25</v>
      </c>
      <c r="D30" s="327">
        <f t="shared" ref="D30:J31" si="3">IF(ISBLANK(D29),"",D29)</f>
        <v>13</v>
      </c>
      <c r="E30" s="328" t="str">
        <f t="shared" si="3"/>
        <v>Positive Engagement Team (PET)</v>
      </c>
      <c r="F30" s="329" t="str">
        <f t="shared" si="3"/>
        <v/>
      </c>
      <c r="G30" s="329">
        <f t="shared" si="3"/>
        <v>43524</v>
      </c>
      <c r="H30" s="329">
        <f t="shared" si="3"/>
        <v>43524</v>
      </c>
      <c r="I30" s="330">
        <f t="shared" si="3"/>
        <v>2165138</v>
      </c>
      <c r="J30" s="330" t="str">
        <f t="shared" si="3"/>
        <v/>
      </c>
      <c r="K30" s="275" t="s">
        <v>141</v>
      </c>
      <c r="L30" s="32">
        <v>8225</v>
      </c>
      <c r="M30" s="32"/>
      <c r="N30" s="30"/>
      <c r="O30" s="30"/>
      <c r="P30" s="34"/>
      <c r="Q30" s="246">
        <f t="shared" ref="Q30:Q60" si="4">SUM(L30:P30)</f>
        <v>8225</v>
      </c>
    </row>
    <row r="31" spans="2:17" x14ac:dyDescent="0.35">
      <c r="B31" s="276">
        <v>10</v>
      </c>
      <c r="C31" s="218" t="s">
        <v>27</v>
      </c>
      <c r="D31" s="327">
        <f t="shared" ref="D31:I31" si="5">IF(ISBLANK(D29),"",D29)</f>
        <v>13</v>
      </c>
      <c r="E31" s="331" t="str">
        <f t="shared" si="5"/>
        <v>Positive Engagement Team (PET)</v>
      </c>
      <c r="F31" s="332" t="str">
        <f t="shared" si="5"/>
        <v/>
      </c>
      <c r="G31" s="332">
        <f t="shared" si="5"/>
        <v>43524</v>
      </c>
      <c r="H31" s="332">
        <f t="shared" si="5"/>
        <v>43524</v>
      </c>
      <c r="I31" s="275">
        <f t="shared" si="5"/>
        <v>2165138</v>
      </c>
      <c r="J31" s="275" t="str">
        <f t="shared" si="3"/>
        <v/>
      </c>
      <c r="K31" s="275" t="s">
        <v>197</v>
      </c>
      <c r="L31" s="32">
        <v>359649.79894900008</v>
      </c>
      <c r="M31" s="32"/>
      <c r="N31" s="30"/>
      <c r="O31" s="30"/>
      <c r="P31" s="34"/>
      <c r="Q31" s="246">
        <f t="shared" si="4"/>
        <v>359649.79894900008</v>
      </c>
    </row>
    <row r="32" spans="2:17" x14ac:dyDescent="0.35">
      <c r="B32" s="333">
        <v>10</v>
      </c>
      <c r="C32" s="333" t="s">
        <v>202</v>
      </c>
      <c r="D32" s="334">
        <f t="shared" ref="D32:J32" si="6">IF(ISBLANK(D29),"",D29)</f>
        <v>13</v>
      </c>
      <c r="E32" s="335" t="str">
        <f t="shared" si="6"/>
        <v>Positive Engagement Team (PET)</v>
      </c>
      <c r="F32" s="336" t="str">
        <f t="shared" si="6"/>
        <v/>
      </c>
      <c r="G32" s="336">
        <f t="shared" si="6"/>
        <v>43524</v>
      </c>
      <c r="H32" s="336">
        <f t="shared" si="6"/>
        <v>43524</v>
      </c>
      <c r="I32" s="337">
        <f t="shared" si="6"/>
        <v>2165138</v>
      </c>
      <c r="J32" s="337" t="str">
        <f t="shared" si="6"/>
        <v/>
      </c>
      <c r="K32" s="279" t="s">
        <v>217</v>
      </c>
      <c r="L32" s="338">
        <f>SUM(L29:L31)</f>
        <v>367874.79894900008</v>
      </c>
      <c r="M32" s="338">
        <f>SUM(M29:M31)</f>
        <v>0</v>
      </c>
      <c r="N32" s="339">
        <f t="shared" ref="N32:P32" si="7">SUM(N29:N31)</f>
        <v>0</v>
      </c>
      <c r="O32" s="339">
        <f t="shared" si="7"/>
        <v>0</v>
      </c>
      <c r="P32" s="340">
        <f t="shared" si="7"/>
        <v>0</v>
      </c>
      <c r="Q32" s="279">
        <f t="shared" si="4"/>
        <v>367874.79894900008</v>
      </c>
    </row>
    <row r="33" spans="2:17" x14ac:dyDescent="0.35">
      <c r="B33" s="276">
        <v>11</v>
      </c>
      <c r="C33" s="293" t="s">
        <v>23</v>
      </c>
      <c r="D33" s="325">
        <f>IF(Q36&lt;&gt;0,VLOOKUP($E$9,Info_County_Code,2,FALSE),"")</f>
        <v>13</v>
      </c>
      <c r="E33" s="144" t="s">
        <v>807</v>
      </c>
      <c r="F33" s="38"/>
      <c r="G33" s="38">
        <v>44371</v>
      </c>
      <c r="H33" s="38">
        <v>44378</v>
      </c>
      <c r="I33" s="30">
        <v>3455605</v>
      </c>
      <c r="J33" s="30"/>
      <c r="K33" s="326" t="str">
        <f>IF(NOT(ISBLANK(E33)),$K$29,"")</f>
        <v>Project Administration</v>
      </c>
      <c r="L33" s="32"/>
      <c r="M33" s="32"/>
      <c r="N33" s="30"/>
      <c r="O33" s="30"/>
      <c r="P33" s="34"/>
      <c r="Q33" s="246">
        <f t="shared" ref="Q33:Q36" si="8">SUM(L33:P33)</f>
        <v>0</v>
      </c>
    </row>
    <row r="34" spans="2:17" x14ac:dyDescent="0.35">
      <c r="B34" s="276">
        <v>11</v>
      </c>
      <c r="C34" s="218" t="s">
        <v>25</v>
      </c>
      <c r="D34" s="327">
        <f t="shared" ref="D34:J34" si="9">IF(ISBLANK(D33),"",D33)</f>
        <v>13</v>
      </c>
      <c r="E34" s="328" t="str">
        <f t="shared" si="9"/>
        <v>Holistic Outreach Prevention &amp; Engagement (HOPE)</v>
      </c>
      <c r="F34" s="329" t="str">
        <f t="shared" si="9"/>
        <v/>
      </c>
      <c r="G34" s="329">
        <f t="shared" si="9"/>
        <v>44371</v>
      </c>
      <c r="H34" s="329">
        <f t="shared" si="9"/>
        <v>44378</v>
      </c>
      <c r="I34" s="330">
        <f t="shared" si="9"/>
        <v>3455605</v>
      </c>
      <c r="J34" s="330" t="str">
        <f t="shared" si="9"/>
        <v/>
      </c>
      <c r="K34" s="275" t="str">
        <f>IF(NOT(ISBLANK(E33)),$K$30,"")</f>
        <v>Project Evaluation</v>
      </c>
      <c r="L34" s="32"/>
      <c r="M34" s="32"/>
      <c r="N34" s="30"/>
      <c r="O34" s="30"/>
      <c r="P34" s="34"/>
      <c r="Q34" s="246">
        <f t="shared" si="8"/>
        <v>0</v>
      </c>
    </row>
    <row r="35" spans="2:17" x14ac:dyDescent="0.35">
      <c r="B35" s="276">
        <v>11</v>
      </c>
      <c r="C35" s="218" t="s">
        <v>27</v>
      </c>
      <c r="D35" s="327">
        <f t="shared" ref="D35:J35" si="10">IF(ISBLANK(D33),"",D33)</f>
        <v>13</v>
      </c>
      <c r="E35" s="331" t="str">
        <f t="shared" si="10"/>
        <v>Holistic Outreach Prevention &amp; Engagement (HOPE)</v>
      </c>
      <c r="F35" s="332" t="str">
        <f t="shared" si="10"/>
        <v/>
      </c>
      <c r="G35" s="332">
        <f t="shared" si="10"/>
        <v>44371</v>
      </c>
      <c r="H35" s="332">
        <f t="shared" si="10"/>
        <v>44378</v>
      </c>
      <c r="I35" s="275">
        <f t="shared" si="10"/>
        <v>3455605</v>
      </c>
      <c r="J35" s="275" t="str">
        <f t="shared" si="10"/>
        <v/>
      </c>
      <c r="K35" s="275" t="str">
        <f>IF(NOT(ISBLANK(E33)),$K$31,"")</f>
        <v>Project Direct</v>
      </c>
      <c r="L35" s="32">
        <v>282250.61499999999</v>
      </c>
      <c r="M35" s="32"/>
      <c r="N35" s="30"/>
      <c r="O35" s="30"/>
      <c r="P35" s="34"/>
      <c r="Q35" s="246">
        <f t="shared" si="8"/>
        <v>282250.61499999999</v>
      </c>
    </row>
    <row r="36" spans="2:17" ht="31" x14ac:dyDescent="0.35">
      <c r="B36" s="333">
        <v>11</v>
      </c>
      <c r="C36" s="333" t="s">
        <v>202</v>
      </c>
      <c r="D36" s="334">
        <f t="shared" ref="D36:J36" si="11">IF(ISBLANK(D33),"",D33)</f>
        <v>13</v>
      </c>
      <c r="E36" s="335" t="str">
        <f t="shared" si="11"/>
        <v>Holistic Outreach Prevention &amp; Engagement (HOPE)</v>
      </c>
      <c r="F36" s="336" t="str">
        <f t="shared" si="11"/>
        <v/>
      </c>
      <c r="G36" s="336">
        <f t="shared" si="11"/>
        <v>44371</v>
      </c>
      <c r="H36" s="336">
        <f t="shared" si="11"/>
        <v>44378</v>
      </c>
      <c r="I36" s="337">
        <f t="shared" si="11"/>
        <v>3455605</v>
      </c>
      <c r="J36" s="337" t="str">
        <f t="shared" si="11"/>
        <v/>
      </c>
      <c r="K36" s="279" t="str">
        <f>IF(NOT(ISBLANK(E33)),$K$32,"")</f>
        <v>Project Subtotal</v>
      </c>
      <c r="L36" s="338">
        <f t="shared" ref="L36" si="12">SUM(L33:L35)</f>
        <v>282250.61499999999</v>
      </c>
      <c r="M36" s="338">
        <f>SUM(M33:M35)</f>
        <v>0</v>
      </c>
      <c r="N36" s="339">
        <f t="shared" ref="N36:P36" si="13">SUM(N33:N35)</f>
        <v>0</v>
      </c>
      <c r="O36" s="339">
        <f t="shared" si="13"/>
        <v>0</v>
      </c>
      <c r="P36" s="340">
        <f t="shared" si="13"/>
        <v>0</v>
      </c>
      <c r="Q36" s="279">
        <f t="shared" si="8"/>
        <v>282250.61499999999</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500-000000000000}"/>
    <dataValidation allowBlank="1" showInputMessage="1" showErrorMessage="1" prompt="Type in the Medi-Cal FFP for INN Annual Planning Costs. " sqref="G15" xr:uid="{00000000-0002-0000-0500-000001000000}"/>
    <dataValidation allowBlank="1" showInputMessage="1" showErrorMessage="1" prompt="Type in the 1991 Realignment for INN Annual Planning Costs. " sqref="H15" xr:uid="{00000000-0002-0000-0500-000002000000}"/>
    <dataValidation allowBlank="1" showInputMessage="1" showErrorMessage="1" prompt="Type in the Behavioral Health Subaccount amount for INN Annual Planning Costs. " sqref="I15" xr:uid="{00000000-0002-0000-0500-000003000000}"/>
    <dataValidation allowBlank="1" showInputMessage="1" showErrorMessage="1" prompt="Type in Other funds for INN Annual Planning Costs. " sqref="J15" xr:uid="{00000000-0002-0000-0500-000004000000}"/>
    <dataValidation allowBlank="1" showInputMessage="1" showErrorMessage="1" prompt="Type in Other funds for INN Indirect Administration." sqref="J16" xr:uid="{00000000-0002-0000-0500-000005000000}"/>
    <dataValidation allowBlank="1" showInputMessage="1" showErrorMessage="1" prompt="Type in the Behavioral Health Subaccount amount for INN Indirect Administration." sqref="I16" xr:uid="{00000000-0002-0000-0500-000006000000}"/>
    <dataValidation allowBlank="1" showInputMessage="1" showErrorMessage="1" prompt="Type in the 1991 Realignment for INN Indirect Administration. " sqref="H16" xr:uid="{00000000-0002-0000-0500-000007000000}"/>
    <dataValidation allowBlank="1" showInputMessage="1" showErrorMessage="1" prompt="Type in the Medi-Cal FFP for INN Indirect Administration." sqref="G16" xr:uid="{00000000-0002-0000-0500-000008000000}"/>
    <dataValidation allowBlank="1" showInputMessage="1" showErrorMessage="1" prompt="Type in the Total MHSA Funds (Including Interest) for INN Project Adminstration. " sqref="F18" xr:uid="{00000000-0002-0000-0500-000009000000}"/>
    <dataValidation allowBlank="1" showInputMessage="1" showErrorMessage="1" prompt="Type in the Total MHSA Funds (Including Interest) for INN Indirect Administration." sqref="F16" xr:uid="{00000000-0002-0000-0500-00000A000000}"/>
    <dataValidation allowBlank="1" showInputMessage="1" showErrorMessage="1" prompt="Type in the Total MHSA Funds (Including Interest) for INN Funds Transferred to JPA." sqref="F17" xr:uid="{00000000-0002-0000-0500-00000B000000}"/>
    <dataValidation allowBlank="1" showInputMessage="1" showErrorMessage="1" prompt="Type in Project Name. " sqref="E29 E33 E37 E41 E45 E49 E53 E57 E61 E65 E69 E73 E77 E81 E85 E89 E93 E97 E101 E105 E109 E113 E117 E121 E125" xr:uid="{00000000-0002-0000-0500-00000C000000}"/>
    <dataValidation allowBlank="1" showInputMessage="1" showErrorMessage="1" prompt="Type in Prior Project Name. " sqref="F29 F33 F37 F41 F45 F49 F53 F57 F61 F65 F69 F73 F77 F81 F85 F89 F93 F97 F101 F105 F109 F113 F117 F121 F125" xr:uid="{00000000-0002-0000-0500-00000D000000}"/>
    <dataValidation allowBlank="1" showInputMessage="1" showErrorMessage="1" prompt="Type in Project MHSOAC Approval Date. " sqref="G29 G33 G37 G41 G45 G49 G53 G57 G61 G65 G69 G73 G77 G81 G85 G89 G93 G97 G101 G105 G109 G113 G117 G121 G125" xr:uid="{00000000-0002-0000-0500-00000E000000}"/>
    <dataValidation allowBlank="1" showInputMessage="1" showErrorMessage="1" prompt="Type in Project Start Date. " sqref="H29 H33 H37 H41 H45 H49 H53 H57 H61 H65 H69 H73 H77 H81 H85 H89 H93 H97 H101 H105 H109 H113 H117 H121 H125" xr:uid="{00000000-0002-0000-0500-00000F000000}"/>
    <dataValidation allowBlank="1" showInputMessage="1" showErrorMessage="1" prompt="Type in MHSOAC-Authorized MHSA INN Project Budget." sqref="I29 I33 I37 I41 I45 I49 I53 I57 I61 I65 I69 I73 I77 I81 I85 I89 I93 I97 I101 I105 I109 I113 I117 I121 I125" xr:uid="{00000000-0002-0000-0500-000010000000}"/>
    <dataValidation allowBlank="1" showInputMessage="1" showErrorMessage="1" prompt="Type in Amended MHSOAC-Authorized MHSA INN Project Budget. " sqref="J29 J33 J37 J41 J45 J49 J53 J57 J61 J65 J69 J73 J77 J81 J85 J89 J93 J97 J101 J105 J109 J113 J117 J121 J125" xr:uid="{00000000-0002-0000-0500-000011000000}"/>
    <dataValidation allowBlank="1" showInputMessage="1" showErrorMessage="1" prompt="Type in Total MHSA Funds used for Project Administration." sqref="L29" xr:uid="{00000000-0002-0000-0500-000012000000}"/>
    <dataValidation allowBlank="1" showInputMessage="1" showErrorMessage="1" prompt="Type in Total Medi-Cal FFP used for Project Administration. " sqref="M29" xr:uid="{00000000-0002-0000-0500-000013000000}"/>
    <dataValidation allowBlank="1" showInputMessage="1" showErrorMessage="1" prompt="Type in Total 1991 Realignment funds used for Project Administration. " sqref="N29" xr:uid="{00000000-0002-0000-0500-000014000000}"/>
    <dataValidation allowBlank="1" showInputMessage="1" showErrorMessage="1" prompt="Type in Behavioral Health Subaccount funds used for Project Administration. " sqref="O29" xr:uid="{00000000-0002-0000-0500-000015000000}"/>
    <dataValidation allowBlank="1" showInputMessage="1" showErrorMessage="1" prompt="Type in Other funds used for Project Administration. " sqref="P29" xr:uid="{00000000-0002-0000-0500-000016000000}"/>
    <dataValidation allowBlank="1" showInputMessage="1" showErrorMessage="1" prompt="Type in Total MHSA Funds used for Project Evaluation." sqref="L30" xr:uid="{00000000-0002-0000-0500-000017000000}"/>
    <dataValidation allowBlank="1" showInputMessage="1" showErrorMessage="1" prompt="Type in Total Medi-Cal FFP used for Project Evaluation." sqref="M30" xr:uid="{00000000-0002-0000-0500-000018000000}"/>
    <dataValidation allowBlank="1" showInputMessage="1" showErrorMessage="1" prompt="Type in Total 1991 Realignment funds used for Project Evaluation." sqref="N30" xr:uid="{00000000-0002-0000-0500-000019000000}"/>
    <dataValidation allowBlank="1" showInputMessage="1" showErrorMessage="1" prompt="Type in Behavioral Health Subaccount funds used for Project Evaluation." sqref="O30" xr:uid="{00000000-0002-0000-0500-00001A000000}"/>
    <dataValidation allowBlank="1" showInputMessage="1" showErrorMessage="1" prompt="Type in Other funds used for Project Evaluation." sqref="P30" xr:uid="{00000000-0002-0000-0500-00001B000000}"/>
    <dataValidation allowBlank="1" showInputMessage="1" showErrorMessage="1" prompt="Type in Total MHSA Funds used for Project Direct." sqref="L31" xr:uid="{00000000-0002-0000-0500-00001C000000}"/>
    <dataValidation allowBlank="1" showInputMessage="1" showErrorMessage="1" prompt="Type in Total Medi-Cal FFP used for Project Direct." sqref="M31" xr:uid="{00000000-0002-0000-0500-00001D000000}"/>
    <dataValidation allowBlank="1" showInputMessage="1" showErrorMessage="1" prompt="Type in Total 1991 Realignment funds used for Project Direct." sqref="N31" xr:uid="{00000000-0002-0000-0500-00001E000000}"/>
    <dataValidation allowBlank="1" showInputMessage="1" showErrorMessage="1" prompt="Type in Behavioral Health Subaccount funds used for Project Direct." sqref="O31" xr:uid="{00000000-0002-0000-0500-00001F000000}"/>
    <dataValidation allowBlank="1" showInputMessage="1" showErrorMessage="1" prompt="Type in Other funds used for Project Direct." sqref="P31" xr:uid="{00000000-0002-0000-05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autoPageBreaks="0"/>
  </sheetPr>
  <dimension ref="A1:V32"/>
  <sheetViews>
    <sheetView showGridLines="0" topLeftCell="A7" zoomScale="80" zoomScaleNormal="80" zoomScaleSheetLayoutView="55" workbookViewId="0">
      <selection activeCell="E30" sqref="E30"/>
    </sheetView>
  </sheetViews>
  <sheetFormatPr defaultColWidth="0" defaultRowHeight="15.5" zeroHeight="1" x14ac:dyDescent="0.35"/>
  <cols>
    <col min="1" max="1" width="2.7265625" style="25" customWidth="1"/>
    <col min="2" max="2" width="6.7265625" style="25" customWidth="1"/>
    <col min="3" max="3" width="11.81640625" style="25" customWidth="1"/>
    <col min="4" max="4" width="42" style="25" customWidth="1"/>
    <col min="5" max="5" width="29.7265625" style="25" customWidth="1"/>
    <col min="6" max="6" width="28.7265625" style="25" bestFit="1" customWidth="1"/>
    <col min="7" max="7" width="22" style="25" customWidth="1"/>
    <col min="8" max="8" width="20.1796875" style="25" customWidth="1"/>
    <col min="9" max="9" width="19.1796875" style="25" customWidth="1"/>
    <col min="10" max="11" width="17.7265625" style="25" customWidth="1"/>
    <col min="12" max="12" width="17.7265625" style="25" hidden="1" customWidth="1"/>
    <col min="13" max="14" width="22.453125" style="25" hidden="1" customWidth="1"/>
    <col min="15" max="15" width="21" style="25" hidden="1" customWidth="1"/>
    <col min="16" max="16" width="21.26953125" style="25" hidden="1" customWidth="1"/>
    <col min="17" max="17" width="21.1796875" style="25" hidden="1" customWidth="1"/>
    <col min="18" max="21" width="22.453125" style="25" hidden="1" customWidth="1"/>
    <col min="22" max="22" width="19" style="25" hidden="1" customWidth="1"/>
    <col min="23" max="16384" width="9.17968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2021 - 22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Imperial</v>
      </c>
      <c r="F9" s="226" t="s">
        <v>1</v>
      </c>
      <c r="G9" s="346">
        <f ca="1">IF(ISBLANK('1. Information'!D9),"",'1. Information'!D9)</f>
        <v>44958</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c r="G15" s="136"/>
      <c r="H15" s="136"/>
      <c r="I15" s="136"/>
      <c r="J15" s="136"/>
      <c r="K15" s="241">
        <f>SUM(F15:J15)</f>
        <v>0</v>
      </c>
      <c r="L15" s="175"/>
      <c r="M15" s="175"/>
      <c r="N15" s="27"/>
      <c r="O15" s="27"/>
    </row>
    <row r="16" spans="1:22" x14ac:dyDescent="0.35">
      <c r="A16" s="27"/>
      <c r="B16" s="300">
        <v>2</v>
      </c>
      <c r="C16" s="163" t="s">
        <v>14</v>
      </c>
      <c r="D16" s="242"/>
      <c r="E16" s="350"/>
      <c r="F16" s="136"/>
      <c r="G16" s="136"/>
      <c r="H16" s="136"/>
      <c r="I16" s="136"/>
      <c r="J16" s="136"/>
      <c r="K16" s="241">
        <f t="shared" ref="K16:K21" si="0">SUM(F16:J16)</f>
        <v>0</v>
      </c>
      <c r="L16" s="175"/>
      <c r="M16" s="175"/>
      <c r="N16" s="27"/>
      <c r="O16" s="27"/>
    </row>
    <row r="17" spans="1:22" x14ac:dyDescent="0.35">
      <c r="A17" s="27"/>
      <c r="B17" s="300">
        <v>3</v>
      </c>
      <c r="C17" s="163" t="s">
        <v>198</v>
      </c>
      <c r="D17" s="242"/>
      <c r="E17" s="350"/>
      <c r="F17" s="136"/>
      <c r="G17" s="136"/>
      <c r="H17" s="136"/>
      <c r="I17" s="136"/>
      <c r="J17" s="136"/>
      <c r="K17" s="241">
        <f t="shared" si="0"/>
        <v>0</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84955</v>
      </c>
      <c r="G20" s="351">
        <f t="shared" ref="G20:I20" si="1">SUM(F28:F32)</f>
        <v>0</v>
      </c>
      <c r="H20" s="330">
        <f t="shared" si="1"/>
        <v>0</v>
      </c>
      <c r="I20" s="330">
        <f t="shared" si="1"/>
        <v>0</v>
      </c>
      <c r="J20" s="330">
        <f>SUM(I28:I32)</f>
        <v>0</v>
      </c>
      <c r="K20" s="246">
        <f t="shared" si="0"/>
        <v>84955</v>
      </c>
      <c r="L20" s="175"/>
      <c r="M20" s="175"/>
      <c r="N20" s="27"/>
      <c r="O20" s="27"/>
    </row>
    <row r="21" spans="1:22" ht="31" customHeight="1" x14ac:dyDescent="0.35">
      <c r="A21" s="27"/>
      <c r="B21" s="300">
        <v>7</v>
      </c>
      <c r="C21" s="277" t="s">
        <v>188</v>
      </c>
      <c r="D21" s="277"/>
      <c r="E21" s="277"/>
      <c r="F21" s="279">
        <f>SUM(F15:F17,F19:F20)</f>
        <v>84955</v>
      </c>
      <c r="G21" s="251">
        <f>SUM(G15:G17,G20)</f>
        <v>0</v>
      </c>
      <c r="H21" s="250">
        <f>SUM(H15:H17,H20)</f>
        <v>0</v>
      </c>
      <c r="I21" s="250">
        <f>SUM(I15:I17,I20)</f>
        <v>0</v>
      </c>
      <c r="J21" s="250">
        <f>SUM(J15:J17,J20)</f>
        <v>0</v>
      </c>
      <c r="K21" s="279">
        <f t="shared" si="0"/>
        <v>84955</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13</v>
      </c>
      <c r="D29" s="355" t="s">
        <v>99</v>
      </c>
      <c r="E29" s="31">
        <v>19946</v>
      </c>
      <c r="F29" s="32"/>
      <c r="G29" s="31"/>
      <c r="H29" s="31"/>
      <c r="I29" s="128"/>
      <c r="J29" s="275">
        <f t="shared" ref="J29:J32" si="3">SUM(E29:I29)</f>
        <v>19946</v>
      </c>
      <c r="K29" s="175"/>
      <c r="L29" s="175"/>
      <c r="M29" s="175"/>
      <c r="N29" s="175"/>
      <c r="O29" s="175"/>
      <c r="P29" s="175"/>
      <c r="Q29" s="175"/>
      <c r="R29" s="175"/>
    </row>
    <row r="30" spans="1:22" x14ac:dyDescent="0.35">
      <c r="A30" s="27"/>
      <c r="B30" s="300">
        <v>10</v>
      </c>
      <c r="C30" s="301">
        <f t="shared" si="2"/>
        <v>13</v>
      </c>
      <c r="D30" s="219" t="s">
        <v>295</v>
      </c>
      <c r="E30" s="31">
        <v>65009</v>
      </c>
      <c r="F30" s="32"/>
      <c r="G30" s="31"/>
      <c r="H30" s="31"/>
      <c r="I30" s="128"/>
      <c r="J30" s="275">
        <f t="shared" si="3"/>
        <v>65009</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600-000000000000}"/>
    <dataValidation allowBlank="1" showInputMessage="1" showErrorMessage="1" prompt="Type in the Medi-Cal FFP for WET Annual Planning Costs. " sqref="G15" xr:uid="{00000000-0002-0000-0600-000001000000}"/>
    <dataValidation allowBlank="1" showInputMessage="1" showErrorMessage="1" prompt="Type in the 1991 Realignment for WET Annual Planning Costs. " sqref="H15" xr:uid="{00000000-0002-0000-0600-000002000000}"/>
    <dataValidation allowBlank="1" showInputMessage="1" showErrorMessage="1" prompt="Type in the Behavioral Health Subaccount amount for WET Annual Planning Costs. " sqref="I15" xr:uid="{00000000-0002-0000-0600-000003000000}"/>
    <dataValidation allowBlank="1" showInputMessage="1" showErrorMessage="1" prompt="Type in Other funds for WET Annual Planning Costs. " sqref="J15" xr:uid="{00000000-0002-0000-0600-000004000000}"/>
    <dataValidation allowBlank="1" showInputMessage="1" showErrorMessage="1" prompt="Type in Other funds for WET Evaluation Costs. " sqref="J16" xr:uid="{00000000-0002-0000-0600-000005000000}"/>
    <dataValidation allowBlank="1" showInputMessage="1" showErrorMessage="1" prompt="Type in Other funds for WET Administration Costs." sqref="J17" xr:uid="{00000000-0002-0000-0600-000006000000}"/>
    <dataValidation allowBlank="1" showInputMessage="1" showErrorMessage="1" prompt="Type in the Behavioral Health Subaccount amount for WET Evaluation Costs." sqref="I16" xr:uid="{00000000-0002-0000-0600-000007000000}"/>
    <dataValidation allowBlank="1" showInputMessage="1" showErrorMessage="1" prompt="Type in the Behavioral Health Subaccount amount for WET Administration Costs. " sqref="I17" xr:uid="{00000000-0002-0000-0600-000008000000}"/>
    <dataValidation allowBlank="1" showInputMessage="1" showErrorMessage="1" prompt="Type in the 1991 Realignment for WET Evaluation Costs." sqref="H16" xr:uid="{00000000-0002-0000-0600-000009000000}"/>
    <dataValidation allowBlank="1" showInputMessage="1" showErrorMessage="1" prompt="Type in the 1991 Realignment for WET Administration Costs. " sqref="H17" xr:uid="{00000000-0002-0000-0600-00000A000000}"/>
    <dataValidation allowBlank="1" showInputMessage="1" showErrorMessage="1" prompt="Type in the Medi-Cal FFP for WET Evaluation Costs. " sqref="G16" xr:uid="{00000000-0002-0000-0600-00000B000000}"/>
    <dataValidation allowBlank="1" showInputMessage="1" showErrorMessage="1" prompt="Type in the Medi-Cal FFP for WET Administration Costs. " sqref="G17" xr:uid="{00000000-0002-0000-0600-00000C000000}"/>
    <dataValidation allowBlank="1" showInputMessage="1" showErrorMessage="1" prompt="Type in the Total MHSA Funds (Including Interest) for WET Evaluation Costs. " sqref="F16" xr:uid="{00000000-0002-0000-0600-00000D000000}"/>
    <dataValidation allowBlank="1" showInputMessage="1" showErrorMessage="1" prompt="Type in the Total MHSA Funds (Including Interest) for WET Administration Costs. " sqref="F17" xr:uid="{00000000-0002-0000-0600-00000E000000}"/>
    <dataValidation allowBlank="1" showInputMessage="1" showErrorMessage="1" prompt="Type in the Total MHSA Funds (Including Interest) for WET Funds Transferred to JPA." sqref="F18" xr:uid="{00000000-0002-0000-0600-00000F000000}"/>
    <dataValidation allowBlank="1" showInputMessage="1" showErrorMessage="1" prompt="Type in the Total MHSA Funds (Including Interest) for WET Expenditures Incurred by JPA." sqref="F19" xr:uid="{00000000-0002-0000-0600-000010000000}"/>
    <dataValidation allowBlank="1" showInputMessage="1" showErrorMessage="1" prompt="Type in Total MHSA Funds (Including Interest) in Workforce Staffing. " sqref="E28" xr:uid="{00000000-0002-0000-0600-000011000000}"/>
    <dataValidation allowBlank="1" showInputMessage="1" showErrorMessage="1" prompt="Type in Medi-Cal FFP funds in Workforce Staffing. " sqref="F28" xr:uid="{00000000-0002-0000-0600-000012000000}"/>
    <dataValidation allowBlank="1" showInputMessage="1" showErrorMessage="1" prompt="Type in 1991 Realignment funds in Workforce Staffing. " sqref="G28" xr:uid="{00000000-0002-0000-0600-000013000000}"/>
    <dataValidation allowBlank="1" showInputMessage="1" showErrorMessage="1" prompt="Type in Behavioral Health Subaccount funds in Workforce Staffing." sqref="H28" xr:uid="{00000000-0002-0000-0600-000014000000}"/>
    <dataValidation allowBlank="1" showInputMessage="1" showErrorMessage="1" prompt="Type in Other funds in Workforce Staffing. " sqref="I28" xr:uid="{00000000-0002-0000-0600-000015000000}"/>
    <dataValidation allowBlank="1" showInputMessage="1" showErrorMessage="1" prompt="Type in Total MHSA Funds (Including Interest) in Training/Technical Assistance. " sqref="E29" xr:uid="{00000000-0002-0000-0600-000016000000}"/>
    <dataValidation allowBlank="1" showInputMessage="1" showErrorMessage="1" prompt="Type in Medi-Cal FFP funds in Training/Technical Assistance." sqref="F29" xr:uid="{00000000-0002-0000-0600-000017000000}"/>
    <dataValidation allowBlank="1" showInputMessage="1" showErrorMessage="1" prompt="Type in 1991 Realignment funds in Training/Technical Assistance." sqref="G29" xr:uid="{00000000-0002-0000-0600-000018000000}"/>
    <dataValidation allowBlank="1" showInputMessage="1" showErrorMessage="1" prompt="Type in Behavioral Health Subaccount funds in Training/Technical Assistance." sqref="H29" xr:uid="{00000000-0002-0000-0600-000019000000}"/>
    <dataValidation allowBlank="1" showInputMessage="1" showErrorMessage="1" prompt="Type in Other funds in Training/Technical Assistance." sqref="I29" xr:uid="{00000000-0002-0000-0600-00001A000000}"/>
    <dataValidation allowBlank="1" showInputMessage="1" showErrorMessage="1" prompt="Type in Total MHSA Funds (Including Interest) in Mental Health Career Pathways." sqref="E30" xr:uid="{00000000-0002-0000-0600-00001B000000}"/>
    <dataValidation allowBlank="1" showInputMessage="1" showErrorMessage="1" prompt="Type in Medi-Cal FFP funds in Mental Health Career Pathways." sqref="F30" xr:uid="{00000000-0002-0000-0600-00001C000000}"/>
    <dataValidation allowBlank="1" showInputMessage="1" showErrorMessage="1" prompt="Type in 1991 Realignment funds in Mental Health Career Pathways. " sqref="G30" xr:uid="{00000000-0002-0000-0600-00001D000000}"/>
    <dataValidation allowBlank="1" showInputMessage="1" showErrorMessage="1" prompt="Type in Behavioral Health Subaccount funds in Mental Health Career Pathways. " sqref="H30" xr:uid="{00000000-0002-0000-0600-00001E000000}"/>
    <dataValidation allowBlank="1" showInputMessage="1" showErrorMessage="1" prompt="Type in Other funds in Mental Health Career Pathways. _x000a_" sqref="I30" xr:uid="{00000000-0002-0000-0600-00001F000000}"/>
    <dataValidation allowBlank="1" showInputMessage="1" showErrorMessage="1" prompt="Type in Total MHSA Funds (Including Interest) in Residency/Internship." sqref="E31" xr:uid="{00000000-0002-0000-0600-000020000000}"/>
    <dataValidation allowBlank="1" showInputMessage="1" showErrorMessage="1" prompt="Type in Medi-Cal FFP funds in Residency/Internship." sqref="F31" xr:uid="{00000000-0002-0000-0600-000021000000}"/>
    <dataValidation allowBlank="1" showInputMessage="1" showErrorMessage="1" prompt="Type in 1991 Realignment funds in Residency/Internship." sqref="G31" xr:uid="{00000000-0002-0000-0600-000022000000}"/>
    <dataValidation allowBlank="1" showInputMessage="1" showErrorMessage="1" prompt="Type in Behavioral Health Subaccount funds in Residency/Internship." sqref="H31" xr:uid="{00000000-0002-0000-0600-000023000000}"/>
    <dataValidation allowBlank="1" showInputMessage="1" showErrorMessage="1" prompt="Type in Other funds in Residency/Internship." sqref="I31" xr:uid="{00000000-0002-0000-0600-000024000000}"/>
    <dataValidation allowBlank="1" showInputMessage="1" showErrorMessage="1" prompt="Type in Total MHSA Funds (Including Interest) in Financial Incentive. " sqref="E32" xr:uid="{00000000-0002-0000-0600-000025000000}"/>
    <dataValidation allowBlank="1" showInputMessage="1" showErrorMessage="1" prompt="Type in Medi-Cal FFP funds in Financial Incentive." sqref="F32" xr:uid="{00000000-0002-0000-0600-000026000000}"/>
    <dataValidation allowBlank="1" showInputMessage="1" showErrorMessage="1" prompt="Type in 1991 Realignment funds in Financial Incentive." sqref="G32" xr:uid="{00000000-0002-0000-0600-000027000000}"/>
    <dataValidation allowBlank="1" showInputMessage="1" showErrorMessage="1" prompt="Type in Behavioral Health Subaccount funds in Financial Incentive." sqref="H32" xr:uid="{00000000-0002-0000-0600-000028000000}"/>
    <dataValidation allowBlank="1" showInputMessage="1" showErrorMessage="1" prompt="Type in Other funds in Financial Incentive. " sqref="I32" xr:uid="{00000000-0002-0000-06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Z46"/>
  <sheetViews>
    <sheetView showGridLines="0" topLeftCell="A16" zoomScale="80" zoomScaleNormal="80" zoomScaleSheetLayoutView="40" workbookViewId="0">
      <selection activeCell="F17" sqref="F17"/>
    </sheetView>
  </sheetViews>
  <sheetFormatPr defaultColWidth="0" defaultRowHeight="15.5" zeroHeight="1" x14ac:dyDescent="0.35"/>
  <cols>
    <col min="1" max="1" width="2.7265625" style="27" customWidth="1"/>
    <col min="2" max="2" width="6.7265625" style="27" customWidth="1"/>
    <col min="3" max="3" width="10.1796875" style="27" bestFit="1" customWidth="1"/>
    <col min="4" max="5" width="50.7265625" style="27" customWidth="1"/>
    <col min="6" max="6" width="37.1796875" style="27" bestFit="1" customWidth="1"/>
    <col min="7" max="7" width="20.1796875" style="27" customWidth="1"/>
    <col min="8" max="8" width="21.54296875" style="27" customWidth="1"/>
    <col min="9" max="9" width="20.26953125" style="27" customWidth="1"/>
    <col min="10" max="12" width="17.7265625" style="27" customWidth="1"/>
    <col min="13" max="13" width="17.54296875" style="27" hidden="1" customWidth="1"/>
    <col min="14" max="14" width="18.26953125" style="175" hidden="1" customWidth="1"/>
    <col min="15" max="15" width="18.7265625" style="175" hidden="1" customWidth="1"/>
    <col min="16" max="17" width="19" style="175" hidden="1" customWidth="1"/>
    <col min="18" max="19" width="18.453125" style="175" hidden="1" customWidth="1"/>
    <col min="20" max="21" width="18.26953125" style="175" hidden="1" customWidth="1"/>
    <col min="22" max="22" width="18.1796875" style="175" hidden="1" customWidth="1"/>
    <col min="23" max="23" width="18.453125" style="175" hidden="1" customWidth="1"/>
    <col min="24" max="24" width="16.54296875" style="27" hidden="1" customWidth="1"/>
    <col min="25" max="26" width="22.1796875" style="27" hidden="1" customWidth="1"/>
    <col min="27" max="16384" width="9.17968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2021 - 22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Imperial</v>
      </c>
      <c r="E9" s="8"/>
      <c r="F9" s="162" t="s">
        <v>1</v>
      </c>
      <c r="G9" s="264">
        <f ca="1">IF(ISBLANK('1. Information'!D9),"",'1. Information'!D9)</f>
        <v>44958</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v>26.48</v>
      </c>
      <c r="G17" s="136"/>
      <c r="H17" s="136"/>
      <c r="I17" s="136"/>
      <c r="J17" s="136"/>
      <c r="K17" s="326">
        <f t="shared" si="0"/>
        <v>26.48</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75198.330000000016</v>
      </c>
      <c r="G20" s="351">
        <f>SUM(H27:H46)</f>
        <v>0</v>
      </c>
      <c r="H20" s="330">
        <f t="shared" ref="H20" si="1">SUM(I27:I46)</f>
        <v>0</v>
      </c>
      <c r="I20" s="330">
        <f>SUM(J27:J46)</f>
        <v>0</v>
      </c>
      <c r="J20" s="275">
        <f>SUM(K27:K46)</f>
        <v>0</v>
      </c>
      <c r="K20" s="326">
        <f t="shared" si="0"/>
        <v>75198.330000000016</v>
      </c>
      <c r="L20" s="175"/>
      <c r="M20" s="175"/>
      <c r="U20" s="27"/>
      <c r="V20" s="27"/>
      <c r="W20" s="27"/>
    </row>
    <row r="21" spans="1:23" ht="31" customHeight="1" x14ac:dyDescent="0.35">
      <c r="B21" s="300">
        <v>7</v>
      </c>
      <c r="C21" s="359" t="s">
        <v>768</v>
      </c>
      <c r="D21" s="360"/>
      <c r="E21" s="361"/>
      <c r="F21" s="279">
        <f>SUM(F15:F17,F19:F20)</f>
        <v>75224.810000000012</v>
      </c>
      <c r="G21" s="251">
        <f>SUM(G15:G17,G20)</f>
        <v>0</v>
      </c>
      <c r="H21" s="251">
        <f t="shared" ref="H21:J21" si="2">SUM(H15:H17,H20)</f>
        <v>0</v>
      </c>
      <c r="I21" s="251">
        <f t="shared" si="2"/>
        <v>0</v>
      </c>
      <c r="J21" s="251">
        <f t="shared" si="2"/>
        <v>0</v>
      </c>
      <c r="K21" s="250">
        <f>SUM(F21:J21)</f>
        <v>75224.810000000012</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t="str">
        <f t="shared" ref="C27:C46" si="3">IF(L27&lt;&gt;0,VLOOKUP($D$9,Info_County_Code,2,FALSE),"")</f>
        <v/>
      </c>
      <c r="D27" s="144" t="s">
        <v>802</v>
      </c>
      <c r="E27" s="144"/>
      <c r="F27" s="127"/>
      <c r="G27" s="126">
        <v>0</v>
      </c>
      <c r="H27" s="126"/>
      <c r="I27" s="126"/>
      <c r="J27" s="129"/>
      <c r="K27" s="126"/>
      <c r="L27" s="364">
        <f>SUM(G27:K27)</f>
        <v>0</v>
      </c>
      <c r="M27" s="175"/>
      <c r="U27" s="27"/>
      <c r="V27" s="27"/>
      <c r="W27" s="27"/>
    </row>
    <row r="28" spans="1:23" x14ac:dyDescent="0.35">
      <c r="B28" s="300">
        <v>9</v>
      </c>
      <c r="C28" s="301">
        <f t="shared" si="3"/>
        <v>13</v>
      </c>
      <c r="D28" s="144" t="s">
        <v>803</v>
      </c>
      <c r="E28" s="144"/>
      <c r="F28" s="127"/>
      <c r="G28" s="126">
        <v>9062.8799999999992</v>
      </c>
      <c r="H28" s="126"/>
      <c r="I28" s="126"/>
      <c r="J28" s="129"/>
      <c r="K28" s="126"/>
      <c r="L28" s="364">
        <f t="shared" ref="L28:L46" si="4">SUM(G28:K28)</f>
        <v>9062.8799999999992</v>
      </c>
      <c r="M28" s="175"/>
      <c r="U28" s="27"/>
      <c r="V28" s="27"/>
      <c r="W28" s="27"/>
    </row>
    <row r="29" spans="1:23" x14ac:dyDescent="0.35">
      <c r="B29" s="300">
        <v>10</v>
      </c>
      <c r="C29" s="301">
        <f t="shared" si="3"/>
        <v>13</v>
      </c>
      <c r="D29" s="144" t="s">
        <v>804</v>
      </c>
      <c r="E29" s="144"/>
      <c r="F29" s="127"/>
      <c r="G29" s="126">
        <v>66135.450000000012</v>
      </c>
      <c r="H29" s="126"/>
      <c r="I29" s="126"/>
      <c r="J29" s="129"/>
      <c r="K29" s="126"/>
      <c r="L29" s="364">
        <f t="shared" si="4"/>
        <v>66135.450000000012</v>
      </c>
      <c r="M29" s="175"/>
      <c r="U29" s="27"/>
      <c r="V29" s="27"/>
      <c r="W29" s="27"/>
    </row>
    <row r="30" spans="1:23" x14ac:dyDescent="0.35">
      <c r="B30" s="300">
        <v>11</v>
      </c>
      <c r="C30" s="301" t="str">
        <f t="shared" si="3"/>
        <v/>
      </c>
      <c r="D30" s="144" t="s">
        <v>805</v>
      </c>
      <c r="E30" s="144"/>
      <c r="F30" s="127"/>
      <c r="G30" s="126">
        <v>0</v>
      </c>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700-000000000000}"/>
    <dataValidation allowBlank="1" showInputMessage="1" showErrorMessage="1" prompt="Type in the Total MHSA Funds (Including Interest) for CFTN Evaluation Costs. " sqref="F16" xr:uid="{00000000-0002-0000-0700-000001000000}"/>
    <dataValidation allowBlank="1" showInputMessage="1" showErrorMessage="1" prompt="Type in the Medi-Cal FFP for CFTN Administration Costs. " sqref="G17" xr:uid="{00000000-0002-0000-0700-000002000000}"/>
    <dataValidation allowBlank="1" showInputMessage="1" showErrorMessage="1" prompt="Type in the Medi-Cal FFP for CFTN Evaluation Costs. " sqref="G16" xr:uid="{00000000-0002-0000-0700-000003000000}"/>
    <dataValidation allowBlank="1" showInputMessage="1" showErrorMessage="1" prompt="Type in the 1991 Realignment for CFTN Administration Costs. " sqref="H17" xr:uid="{00000000-0002-0000-0700-000004000000}"/>
    <dataValidation allowBlank="1" showInputMessage="1" showErrorMessage="1" prompt="Type in the 1991 Realignment for CFTN Evaluation Costs." sqref="H16" xr:uid="{00000000-0002-0000-0700-000005000000}"/>
    <dataValidation allowBlank="1" showInputMessage="1" showErrorMessage="1" prompt="Type in the Behavioral Health Subaccount amount for CFTN Administration Costs. " sqref="I17" xr:uid="{00000000-0002-0000-0700-000006000000}"/>
    <dataValidation allowBlank="1" showInputMessage="1" showErrorMessage="1" prompt="Type in the Behavioral Health Subaccount amount for CFTN Evaluation Costs." sqref="I16" xr:uid="{00000000-0002-0000-0700-000007000000}"/>
    <dataValidation allowBlank="1" showInputMessage="1" showErrorMessage="1" prompt="Type in Other funds for CFTN Administration Costs." sqref="J17" xr:uid="{00000000-0002-0000-0700-000008000000}"/>
    <dataValidation allowBlank="1" showInputMessage="1" showErrorMessage="1" prompt="Type in Other funds for CFTN Evaluation Costs. " sqref="J16" xr:uid="{00000000-0002-0000-0700-000009000000}"/>
    <dataValidation allowBlank="1" showInputMessage="1" showErrorMessage="1" prompt="Type in Other funds for CFTN Annual Planning Costs. " sqref="J15" xr:uid="{00000000-0002-0000-0700-00000A000000}"/>
    <dataValidation allowBlank="1" showInputMessage="1" showErrorMessage="1" prompt="Type in the Behavioral Health Subaccount amount for CFTN Annual Planning Costs. " sqref="I15" xr:uid="{00000000-0002-0000-0700-00000B000000}"/>
    <dataValidation allowBlank="1" showInputMessage="1" showErrorMessage="1" prompt="Type in the 1991 Realignment for CFTN Annual Planning Costs. " sqref="H15" xr:uid="{00000000-0002-0000-0700-00000C000000}"/>
    <dataValidation allowBlank="1" showInputMessage="1" showErrorMessage="1" prompt="Type in the Medi-Cal FFP for CFTN Annual Planning Costs. " sqref="G15" xr:uid="{00000000-0002-0000-0700-00000D000000}"/>
    <dataValidation allowBlank="1" showInputMessage="1" showErrorMessage="1" prompt="Type in the Total MHSA Funds (Including Interest) for CFTN Annual Planning Costs. " sqref="F15" xr:uid="{00000000-0002-0000-0700-00000E000000}"/>
    <dataValidation allowBlank="1" showInputMessage="1" showErrorMessage="1" prompt="Type in the Total MHSA Funds (Including Interest) for CFTN Expenditures Incurred by JPA. " sqref="F18" xr:uid="{00000000-0002-0000-0700-00000F000000}"/>
    <dataValidation allowBlank="1" showInputMessage="1" showErrorMessage="1" prompt="Type in the Total MHSA Funds (Including Interest) for CFTN Project Expenditures. " sqref="F19" xr:uid="{00000000-0002-0000-0700-000010000000}"/>
    <dataValidation allowBlank="1" showInputMessage="1" showErrorMessage="1" prompt="Type in Other items. " sqref="K27:K46" xr:uid="{00000000-0002-0000-0700-000011000000}"/>
    <dataValidation allowBlank="1" showInputMessage="1" showErrorMessage="1" prompt="Type in Behavioral Health Subaccount. " sqref="J27:J46" xr:uid="{00000000-0002-0000-0700-000012000000}"/>
    <dataValidation allowBlank="1" showInputMessage="1" showErrorMessage="1" prompt="Type in 1991 Realignment. " sqref="I27:I46" xr:uid="{00000000-0002-0000-0700-000013000000}"/>
    <dataValidation allowBlank="1" showInputMessage="1" showErrorMessage="1" prompt="Type in Medi-Cal FFP. " sqref="H27:H46" xr:uid="{00000000-0002-0000-0700-000014000000}"/>
    <dataValidation allowBlank="1" showInputMessage="1" showErrorMessage="1" prompt="Type in Total MHSA Funds (Including Interest)" sqref="G27:G46" xr:uid="{00000000-0002-0000-0700-000015000000}"/>
    <dataValidation allowBlank="1" showInputMessage="1" showErrorMessage="1" prompt="Type in Prior Program Name. " sqref="E27:E46" xr:uid="{00000000-0002-0000-0700-000016000000}"/>
    <dataValidation allowBlank="1" showInputMessage="1" showErrorMessage="1" prompt="Type in Program Name. " sqref="D27:D46" xr:uid="{00000000-0002-0000-0700-000017000000}"/>
    <dataValidation type="list" allowBlank="1" showInputMessage="1" showErrorMessage="1" prompt="Use drop down menu to select Project Type. " sqref="F27:F46" xr:uid="{00000000-0002-0000-07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autoPageBreaks="0"/>
  </sheetPr>
  <dimension ref="A1:M80"/>
  <sheetViews>
    <sheetView showGridLines="0" zoomScale="85" zoomScaleNormal="85" workbookViewId="0">
      <selection activeCell="G17" sqref="G17"/>
    </sheetView>
  </sheetViews>
  <sheetFormatPr defaultColWidth="0" defaultRowHeight="15.5" zeroHeight="1" x14ac:dyDescent="0.35"/>
  <cols>
    <col min="1" max="1" width="2.7265625" style="27" customWidth="1"/>
    <col min="2" max="2" width="6.7265625" style="27" customWidth="1"/>
    <col min="3" max="3" width="9.26953125" style="27" bestFit="1" customWidth="1"/>
    <col min="4" max="4" width="28.26953125" style="27" customWidth="1"/>
    <col min="5" max="5" width="26.1796875" style="402" customWidth="1"/>
    <col min="6" max="6" width="20.1796875" style="402" customWidth="1"/>
    <col min="7" max="7" width="30" style="402" customWidth="1"/>
    <col min="8" max="8" width="54.26953125" style="27" customWidth="1"/>
    <col min="9" max="13" width="11.7265625" style="27" hidden="1" customWidth="1"/>
    <col min="14" max="16384" width="9.17968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2021 - 22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Imperial</v>
      </c>
      <c r="E9" s="2"/>
      <c r="F9" s="365" t="s">
        <v>156</v>
      </c>
      <c r="G9" s="264">
        <f ca="1">IF(ISBLANK('1. Information'!D9),"",'1. Information'!D9)</f>
        <v>44958</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ht="232.5" x14ac:dyDescent="0.35">
      <c r="B15" s="300">
        <v>1</v>
      </c>
      <c r="C15" s="301">
        <f t="shared" ref="C15:C44" si="0">IF(G15&lt;&gt;0,VLOOKUP($D$9,Info_County_Code,2,FALSE),"")</f>
        <v>13</v>
      </c>
      <c r="D15" s="40" t="s">
        <v>31</v>
      </c>
      <c r="E15" s="40" t="s">
        <v>808</v>
      </c>
      <c r="F15" s="150" t="s">
        <v>809</v>
      </c>
      <c r="G15" s="132">
        <v>166831</v>
      </c>
      <c r="H15" s="134" t="s">
        <v>813</v>
      </c>
    </row>
    <row r="16" spans="1:11" ht="31" x14ac:dyDescent="0.35">
      <c r="B16" s="300">
        <v>2</v>
      </c>
      <c r="C16" s="301">
        <f t="shared" si="0"/>
        <v>13</v>
      </c>
      <c r="D16" s="40" t="s">
        <v>28</v>
      </c>
      <c r="E16" s="40" t="s">
        <v>810</v>
      </c>
      <c r="F16" s="150" t="s">
        <v>811</v>
      </c>
      <c r="G16" s="132">
        <v>-28100</v>
      </c>
      <c r="H16" s="134" t="s">
        <v>812</v>
      </c>
    </row>
    <row r="17" spans="2:8" ht="31" x14ac:dyDescent="0.35">
      <c r="B17" s="300">
        <v>3</v>
      </c>
      <c r="C17" s="301">
        <f t="shared" si="0"/>
        <v>13</v>
      </c>
      <c r="D17" s="40" t="s">
        <v>28</v>
      </c>
      <c r="E17" s="40" t="s">
        <v>810</v>
      </c>
      <c r="F17" s="150" t="s">
        <v>811</v>
      </c>
      <c r="G17" s="132">
        <v>-379346</v>
      </c>
      <c r="H17" s="134" t="s">
        <v>812</v>
      </c>
    </row>
    <row r="18" spans="2:8" ht="31" x14ac:dyDescent="0.35">
      <c r="B18" s="300">
        <v>4</v>
      </c>
      <c r="C18" s="301">
        <f t="shared" si="0"/>
        <v>13</v>
      </c>
      <c r="D18" s="40" t="s">
        <v>31</v>
      </c>
      <c r="E18" s="40" t="s">
        <v>808</v>
      </c>
      <c r="F18" s="150" t="s">
        <v>811</v>
      </c>
      <c r="G18" s="132">
        <v>-28100</v>
      </c>
      <c r="H18" s="134" t="s">
        <v>812</v>
      </c>
    </row>
    <row r="19" spans="2:8" ht="31" x14ac:dyDescent="0.35">
      <c r="B19" s="300">
        <v>5</v>
      </c>
      <c r="C19" s="301">
        <f t="shared" si="0"/>
        <v>13</v>
      </c>
      <c r="D19" s="40" t="s">
        <v>32</v>
      </c>
      <c r="E19" s="40" t="s">
        <v>808</v>
      </c>
      <c r="F19" s="150" t="s">
        <v>811</v>
      </c>
      <c r="G19" s="132">
        <v>-379346</v>
      </c>
      <c r="H19" s="134" t="s">
        <v>812</v>
      </c>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800-000000000000}">
      <formula1>"CSS, PEI, INN, WET, CFTN"</formula1>
    </dataValidation>
    <dataValidation type="list" allowBlank="1" showInputMessage="1" showErrorMessage="1" prompt="Select Adjustment Type from drop down list. " sqref="E15:E44" xr:uid="{00000000-0002-0000-0800-000001000000}">
      <formula1>"Expenditure, Interest Revenue"</formula1>
    </dataValidation>
    <dataValidation allowBlank="1" showInputMessage="1" showErrorMessage="1" prompt="Type in the Fiscal Year for this adjustment. " sqref="F15:F44 E51:E80" xr:uid="{00000000-0002-0000-0800-000002000000}"/>
    <dataValidation allowBlank="1" showInputMessage="1" showErrorMessage="1" prompt="Type in the amount of adjustment. " sqref="G15:G44 F51:F80" xr:uid="{00000000-0002-0000-0800-000003000000}"/>
    <dataValidation allowBlank="1" showInputMessage="1" showErrorMessage="1" prompt="Type in the reason for the adjustment. " sqref="H15:H44 G51:G80" xr:uid="{00000000-0002-0000-08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DHCSDOC-1797567310-6303</_dlc_DocId>
    <_dlc_DocIdUrl xmlns="69bc34b3-1921-46c7-8c7a-d18363374b4b">
      <Url>https://dhcscagovauthoring/_layouts/15/DocIdRedir.aspx?ID=DHCSDOC-1797567310-6303</Url>
      <Description>DHCSDOC-1797567310-6303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elements/1.1/"/>
    <ds:schemaRef ds:uri="c1c1dc04-eeda-4b6e-b2df-40979f5da1d3"/>
    <ds:schemaRef ds:uri="http://schemas.microsoft.com/office/2006/metadata/properties"/>
    <ds:schemaRef ds:uri="69bc34b3-1921-46c7-8c7a-d18363374b4b"/>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2D7ECB43-4764-494C-A65A-90E32C449C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2. Component Summary</vt:lpstr>
      <vt:lpstr>3. CSS</vt:lpstr>
      <vt:lpstr>4. PEI</vt:lpstr>
      <vt:lpstr>5. INN</vt:lpstr>
      <vt:lpstr>6. WET</vt:lpstr>
      <vt:lpstr>7. CFTN</vt:lpstr>
      <vt:lpstr>8. Adjustment (MHSA)</vt:lpstr>
      <vt:lpstr>9. Adjustment (FFP)</vt:lpstr>
      <vt:lpstr>10. Comments</vt:lpstr>
      <vt:lpstr>Instructions 8. Adjust (MHSA)</vt:lpstr>
      <vt:lpstr>Instructions 1. Information</vt:lpstr>
      <vt:lpstr>Instructions 2. Component Summa</vt:lpstr>
      <vt:lpstr>Instructions 3. CSS</vt:lpstr>
      <vt:lpstr>Instructions 4. PEI</vt:lpstr>
      <vt:lpstr>Instructions 5. INN</vt:lpstr>
      <vt:lpstr>Instructions 6. WET</vt:lpstr>
      <vt:lpstr>Instructions 7. CFTN</vt:lpstr>
      <vt:lpstr>Instructions 9. Adjust (FFP)</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Imperial-FY-21-22</dc:title>
  <dc:creator>Donna Ures</dc:creator>
  <cp:keywords/>
  <cp:lastModifiedBy>Ward, Jennifer@DHCS</cp:lastModifiedBy>
  <cp:lastPrinted>2023-01-12T22:42:28Z</cp:lastPrinted>
  <dcterms:created xsi:type="dcterms:W3CDTF">2017-07-05T19:48:18Z</dcterms:created>
  <dcterms:modified xsi:type="dcterms:W3CDTF">2023-02-01T17:33:16Z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298959de-5de5-4670-87df-e1104d04c5af</vt:lpwstr>
  </property>
  <property fmtid="{D5CDD505-2E9C-101B-9397-08002B2CF9AE}" pid="4" name="Remediated">
    <vt:bool>false</vt:bool>
  </property>
  <property fmtid="{D5CDD505-2E9C-101B-9397-08002B2CF9AE}" pid="5" name="Division">
    <vt:lpwstr>11;#Community Services|c23dee46-a4de-4c29-8bbc-79830d9e7d7c</vt:lpwstr>
  </property>
</Properties>
</file>