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showInkAnnotation="0" codeName="ThisWorkbook"/>
  <mc:AlternateContent xmlns:mc="http://schemas.openxmlformats.org/markup-compatibility/2006">
    <mc:Choice Requires="x15">
      <x15ac:absPath xmlns:x15ac="http://schemas.microsoft.com/office/spreadsheetml/2010/11/ac" url="S:\MH Finance\03-MHSA\1. MHSA Finance\02 MHSA REV and EXP Reports\FY2021 MHSA RER\1. Final to State\"/>
    </mc:Choice>
  </mc:AlternateContent>
  <xr:revisionPtr revIDLastSave="0" documentId="13_ncr:1_{3685D404-D156-4D4F-86F0-0C7BCB036A82}" xr6:coauthVersionLast="47" xr6:coauthVersionMax="47" xr10:uidLastSave="{00000000-0000-0000-0000-000000000000}"/>
  <bookViews>
    <workbookView xWindow="-120" yWindow="-120" windowWidth="29040" windowHeight="15840" tabRatio="823"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F16" i="6"/>
  <c r="F17" i="5"/>
  <c r="F17" i="4" l="1"/>
  <c r="L31" i="6" l="1"/>
  <c r="L43" i="6"/>
  <c r="L37"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<sst xmlns="http://schemas.openxmlformats.org/spreadsheetml/2006/main" count="1578" uniqueCount="862">
  <si>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</si>
  <si>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</si>
  <si>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</si>
  <si>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</si>
  <si>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</si>
  <si>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</si>
  <si>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</si>
  <si>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</si>
  <si>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</si>
  <si>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</si>
  <si>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</si>
  <si>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</si>
  <si>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</si>
  <si>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</si>
  <si>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</si>
  <si>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</si>
  <si>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</si>
  <si>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</si>
  <si>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</si>
  <si>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</si>
  <si>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</si>
  <si>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</si>
  <si>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</si>
  <si>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</si>
  <si>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</si>
  <si>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</si>
  <si>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</si>
  <si>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</si>
  <si>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</si>
  <si>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</si>
  <si>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</si>
  <si>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</si>
  <si>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</si>
  <si>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</si>
  <si>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</si>
  <si>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</si>
  <si>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</si>
  <si>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</si>
  <si>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</si>
  <si>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</si>
  <si>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</si>
  <si>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</si>
  <si>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</si>
  <si>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</si>
  <si>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</si>
  <si>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</si>
  <si>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</si>
  <si>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</si>
  <si>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</si>
  <si>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</si>
  <si>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</si>
  <si>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</si>
  <si>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</si>
  <si>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</si>
  <si>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</si>
  <si>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</si>
  <si>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</si>
  <si>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</si>
  <si>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</si>
  <si>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</si>
  <si>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</si>
  <si>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</si>
  <si>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</si>
  <si>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</si>
  <si>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</si>
  <si>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</si>
  <si>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</si>
  <si>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</si>
  <si>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</si>
  <si>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</si>
  <si>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</si>
  <si>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</si>
  <si>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</si>
  <si>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</si>
  <si>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</si>
  <si>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</si>
  <si>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</si>
  <si>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</si>
  <si>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</si>
  <si>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</si>
  <si>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</si>
  <si>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</si>
  <si>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</si>
  <si>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</si>
  <si>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</si>
  <si>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</si>
  <si>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</si>
  <si>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</si>
  <si>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</si>
  <si>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</si>
  <si>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</si>
  <si>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</si>
  <si>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</si>
  <si>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</si>
  <si>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</si>
  <si>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</si>
  <si>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</si>
  <si>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</si>
  <si>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</si>
  <si>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</si>
  <si>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</si>
  <si>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</si>
  <si>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</si>
  <si>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</si>
  <si>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</si>
  <si>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</si>
  <si>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</si>
  <si>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</si>
  <si>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</si>
  <si>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</si>
  <si>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</si>
  <si>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</si>
  <si>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</si>
  <si>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</si>
  <si>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</si>
  <si>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</si>
  <si>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</si>
  <si>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</si>
  <si>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</si>
  <si>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</si>
  <si>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</si>
  <si>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</si>
  <si>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</si>
  <si>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</si>
  <si>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</si>
  <si>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</si>
  <si>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</si>
  <si>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</si>
  <si>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</si>
  <si>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</si>
  <si>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</si>
  <si>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</si>
  <si>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</si>
  <si>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</si>
  <si>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</si>
  <si>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</si>
  <si>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</si>
  <si>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</si>
  <si>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</si>
  <si>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</si>
  <si>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</si>
  <si>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</si>
  <si>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</si>
  <si>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</si>
  <si>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</si>
  <si>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</si>
  <si>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</si>
  <si>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</si>
  <si>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</si>
  <si>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</si>
  <si>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</si>
  <si>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</si>
  <si>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</si>
  <si>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</si>
  <si>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</si>
  <si>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</si>
  <si>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</si>
  <si>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</si>
  <si>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</si>
  <si>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</si>
  <si>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</si>
  <si>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</si>
  <si>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</si>
  <si>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</si>
  <si>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</si>
  <si>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</si>
  <si>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</si>
  <si>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</si>
  <si>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</si>
  <si>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</si>
  <si>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</si>
  <si>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</si>
  <si>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</si>
  <si>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</si>
  <si>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</si>
  <si>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</si>
  <si>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</si>
  <si>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</si>
  <si>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</si>
  <si>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</si>
  <si>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</si>
  <si>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</si>
  <si>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</si>
  <si>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</si>
  <si>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</si>
  <si>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</si>
  <si>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</si>
  <si>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</si>
  <si>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</si>
  <si>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</si>
  <si>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</si>
  <si>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</si>
  <si>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</si>
  <si>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</si>
  <si>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</si>
  <si>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</si>
  <si>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</si>
  <si>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</si>
  <si>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</si>
  <si>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</si>
  <si>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</si>
  <si>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</si>
  <si>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</si>
  <si>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</si>
  <si>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</si>
  <si>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</si>
  <si>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</si>
  <si>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</si>
  <si>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</si>
  <si>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</si>
  <si>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</si>
  <si>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</si>
  <si>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</si>
  <si>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</si>
  <si>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</si>
  <si>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</si>
  <si>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</si>
  <si>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</si>
  <si>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</si>
  <si>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</si>
  <si>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</si>
  <si>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</si>
  <si>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</si>
  <si>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</si>
  <si>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</si>
  <si>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</si>
  <si>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</si>
  <si>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</si>
  <si>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</si>
  <si>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</si>
  <si>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</si>
  <si>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</si>
  <si>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</si>
  <si>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</si>
  <si>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</si>
  <si>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</si>
  <si>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</si>
  <si>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</si>
  <si>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</si>
  <si>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</si>
  <si>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</si>
  <si>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</si>
  <si>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</si>
  <si>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</si>
  <si>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</si>
  <si>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</si>
  <si>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</si>
  <si>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</si>
  <si>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</si>
  <si>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</si>
  <si>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</si>
  <si>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</si>
  <si>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</si>
  <si>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</si>
  <si>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</si>
  <si>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</si>
  <si>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</si>
  <si>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</si>
  <si>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</si>
  <si>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</si>
  <si>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</si>
  <si>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</si>
  <si>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</si>
  <si>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</si>
  <si>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</si>
  <si>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</si>
  <si>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</si>
  <si>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</si>
  <si>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</si>
  <si>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</si>
  <si>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</si>
  <si>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</si>
  <si>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</si>
  <si>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</si>
  <si>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</si>
  <si>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</si>
  <si>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</si>
  <si>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</si>
  <si>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</si>
  <si>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</si>
  <si>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</si>
  <si>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</si>
  <si>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</si>
  <si>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</si>
  <si>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</si>
  <si>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</si>
  <si>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</si>
  <si>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</si>
  <si>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</si>
  <si>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</si>
  <si>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</si>
  <si>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</si>
  <si>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</si>
  <si>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</si>
  <si>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</si>
  <si>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</si>
  <si>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</si>
  <si>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</si>
  <si>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</si>
  <si>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</si>
  <si>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</si>
  <si>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</si>
  <si>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</si>
  <si>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</si>
  <si>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</si>
  <si>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</si>
  <si>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</si>
  <si>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</si>
  <si>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</si>
  <si>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</si>
  <si>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</si>
  <si>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</si>
  <si>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</si>
  <si>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</si>
  <si>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</si>
  <si>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</si>
  <si>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</si>
  <si>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</si>
  <si>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</si>
  <si>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</si>
  <si>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</si>
  <si>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</si>
  <si>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</si>
  <si>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</si>
  <si>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</si>
  <si>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</si>
  <si>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</si>
  <si>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</si>
  <si>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</si>
  <si>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</si>
  <si>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</si>
  <si>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</si>
  <si>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</si>
  <si>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</si>
  <si>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</si>
  <si>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</si>
  <si>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</si>
  <si>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</si>
  <si>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</si>
  <si>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</si>
  <si>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</si>
  <si>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</si>
  <si>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</si>
  <si>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</si>
  <si>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</si>
  <si>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</si>
  <si>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</si>
  <si>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</si>
  <si>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</si>
  <si>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</si>
  <si>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</si>
  <si>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</si>
  <si>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</si>
  <si>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</si>
  <si>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</si>
  <si>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</si>
  <si>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</si>
  <si>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</si>
  <si>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</si>
  <si>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</si>
  <si>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</si>
  <si>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</si>
  <si>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</si>
  <si>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</si>
  <si>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</si>
  <si>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</si>
  <si>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</si>
  <si>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</si>
  <si>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</si>
  <si>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</si>
  <si>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</si>
  <si>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</si>
  <si>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</si>
  <si>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</si>
  <si>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</si>
  <si>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</si>
  <si>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</si>
  <si>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</si>
  <si>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</si>
  <si>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</si>
  <si>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</si>
  <si>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</si>
  <si>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</si>
  <si>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</si>
  <si>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</si>
  <si>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</si>
  <si>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</si>
  <si>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</si>
  <si>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</si>
  <si>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</si>
  <si>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</si>
  <si>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</si>
  <si>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</si>
  <si>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</si>
  <si>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</si>
  <si>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</si>
  <si>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</si>
  <si>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</si>
  <si>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</si>
  <si>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</si>
  <si>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</si>
  <si>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</si>
  <si>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</si>
  <si>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</si>
  <si>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</si>
  <si>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</si>
  <si>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</si>
  <si>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</si>
  <si>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</si>
  <si>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</si>
  <si>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</si>
  <si>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</si>
  <si>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</si>
  <si>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</si>
  <si>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</si>
  <si>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</si>
  <si>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</si>
  <si>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</si>
  <si>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</si>
  <si>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</si>
  <si>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</si>
  <si>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</si>
  <si>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</si>
  <si>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</si>
  <si>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</si>
  <si>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</si>
  <si>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</si>
  <si>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</si>
  <si>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</si>
  <si>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</si>
  <si>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</si>
  <si>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</si>
  <si>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</si>
  <si>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</si>
  <si>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</si>
  <si>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</si>
  <si>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</si>
  <si>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</si>
  <si>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</si>
  <si>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</si>
  <si>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</si>
  <si>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</si>
  <si>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</si>
  <si>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</si>
  <si>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</si>
  <si>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</si>
  <si>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</si>
  <si>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</si>
  <si>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</si>
  <si>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</si>
  <si>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</si>
  <si>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</si>
  <si>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</si>
  <si>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</si>
  <si>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</si>
  <si>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</si>
  <si>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</si>
  <si>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</si>
  <si>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</si>
  <si>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</si>
  <si>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</si>
  <si>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</si>
  <si>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</si>
  <si>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</si>
  <si>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</si>
  <si>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</si>
  <si>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</si>
  <si>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</si>
  <si>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</si>
  <si>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</si>
  <si>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</si>
  <si>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</si>
  <si>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</si>
  <si>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</si>
  <si>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</si>
  <si>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</si>
  <si>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</si>
  <si>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</si>
  <si>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</si>
  <si>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</si>
  <si>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</si>
  <si>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</si>
  <si>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</si>
  <si>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</si>
  <si>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</si>
  <si>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</si>
  <si>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</si>
  <si>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</si>
  <si>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</si>
  <si>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</si>
  <si>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</si>
  <si>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</si>
  <si>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</si>
  <si>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</si>
  <si>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</si>
  <si>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</si>
  <si>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</si>
  <si>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</si>
  <si>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</si>
  <si>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</si>
  <si>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</si>
  <si>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</si>
  <si>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</si>
  <si>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</si>
  <si>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</si>
  <si>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</si>
  <si>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</si>
  <si>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</si>
  <si>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</si>
  <si>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</si>
  <si>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</si>
  <si>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</si>
  <si>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</si>
  <si>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</si>
  <si>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</si>
  <si>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</si>
  <si>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</si>
  <si>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</si>
  <si>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</si>
  <si>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</si>
  <si>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</si>
  <si>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</si>
  <si>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</si>
  <si>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</si>
  <si>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</si>
  <si>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</si>
  <si>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</si>
  <si>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</si>
  <si>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</si>
  <si>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</si>
  <si>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</si>
  <si>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</si>
  <si>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</si>
  <si>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</si>
  <si>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</si>
  <si>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</si>
  <si>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</si>
  <si>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</si>
  <si>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</si>
  <si>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</si>
  <si>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</si>
  <si>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</si>
  <si>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</si>
  <si>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</si>
  <si>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</si>
  <si>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</si>
  <si>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</si>
  <si>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</si>
  <si>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</si>
  <si>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</si>
  <si>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</si>
  <si>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</si>
  <si>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</si>
  <si>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</si>
  <si>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</si>
  <si>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</si>
  <si>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</si>
  <si>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</si>
  <si>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</si>
  <si>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</si>
  <si>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</si>
  <si>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</si>
  <si>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</si>
  <si>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</si>
  <si>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</si>
  <si>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</si>
  <si>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</si>
  <si>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</si>
  <si>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</si>
  <si>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</si>
  <si>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</si>
  <si>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</si>
  <si>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</si>
  <si>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</si>
  <si>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</si>
  <si>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</si>
  <si>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</si>
  <si>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</si>
  <si>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</si>
  <si>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</si>
  <si>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</si>
  <si>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</si>
  <si>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</si>
  <si>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</si>
  <si>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</si>
  <si>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</si>
  <si>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</si>
  <si>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</si>
  <si>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</si>
  <si>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</si>
  <si>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</si>
  <si>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</si>
  <si>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</si>
  <si>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</si>
  <si>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</si>
  <si>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</si>
  <si>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</si>
  <si>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</si>
  <si>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</si>
  <si>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</si>
  <si>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</si>
  <si>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</si>
  <si>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</si>
  <si>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</si>
  <si>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</si>
  <si>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</si>
  <si>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</si>
  <si>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</si>
  <si>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</si>
  <si>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</si>
  <si>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</si>
  <si>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</si>
  <si>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</si>
  <si>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</si>
  <si>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</si>
  <si>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</si>
  <si>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</si>
  <si>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</si>
  <si>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</si>
  <si>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</si>
  <si>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</si>
  <si>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</si>
  <si>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</si>
  <si>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</si>
  <si>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</si>
  <si>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</si>
  <si>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</si>
  <si>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</si>
  <si>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</si>
  <si>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</si>
  <si>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</si>
  <si>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</si>
  <si>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</si>
  <si>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</si>
  <si>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</si>
  <si>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</si>
  <si>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</si>
  <si>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</si>
  <si>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</si>
  <si>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</si>
  <si>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</si>
  <si>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</si>
  <si>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</si>
  <si>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</si>
  <si>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</si>
  <si>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</si>
  <si>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</si>
  <si>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</si>
  <si>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</si>
  <si>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</si>
  <si>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</si>
  <si>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</si>
  <si>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</si>
  <si>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</si>
  <si>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</si>
  <si>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</si>
  <si>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</si>
  <si>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</si>
  <si>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</si>
  <si>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</si>
  <si>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</si>
  <si>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</si>
  <si>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</si>
  <si>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</si>
  <si>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</si>
  <si>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</si>
  <si>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</si>
  <si>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</si>
  <si>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</si>
  <si>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</si>
  <si>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</si>
  <si>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</si>
  <si>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</si>
  <si>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</si>
  <si>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</si>
  <si>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</si>
  <si>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</si>
  <si>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</si>
  <si>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</si>
  <si>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</si>
  <si>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</si>
  <si>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</si>
  <si>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</si>
  <si>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</si>
  <si>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</si>
  <si>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</si>
  <si>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</si>
  <si>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</si>
  <si>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</si>
  <si>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</si>
  <si>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</si>
  <si>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</si>
  <si>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</si>
  <si>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</si>
  <si>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</si>
  <si>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</si>
  <si>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</si>
  <si>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</si>
  <si>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</si>
  <si>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</si>
  <si>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</si>
  <si>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</si>
  <si>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</si>
  <si>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</si>
  <si>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</si>
  <si>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</si>
  <si>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</si>
  <si>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</si>
  <si>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</si>
  <si>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</si>
  <si>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</si>
  <si>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</si>
  <si>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</si>
  <si>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</si>
  <si>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</si>
  <si>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</si>
  <si>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</si>
  <si>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</si>
  <si>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</si>
  <si>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</si>
  <si>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</si>
  <si>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</si>
  <si>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</si>
  <si>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</si>
  <si>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</si>
  <si>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</si>
  <si>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</si>
  <si>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</si>
  <si>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</si>
  <si>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</si>
  <si>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</si>
  <si>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</si>
  <si>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</si>
  <si>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</si>
  <si>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</si>
  <si>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</si>
  <si>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</si>
  <si>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</si>
  <si>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</si>
  <si>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</si>
  <si>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</si>
  <si>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</si>
  <si>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</si>
  <si>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</si>
  <si>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</si>
  <si>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</si>
  <si>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</si>
  <si>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</si>
  <si>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</si>
  <si>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</si>
  <si>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</si>
  <si>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</si>
  <si>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</si>
  <si>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</si>
  <si>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</si>
  <si>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</si>
  <si>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</si>
  <si>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</si>
  <si>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</si>
  <si>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</si>
  <si>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</si>
  <si>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</si>
  <si>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</si>
  <si>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</si>
  <si>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</si>
  <si>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</si>
  <si>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</si>
  <si>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</si>
  <si>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</si>
  <si>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</si>
  <si>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</si>
  <si>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</si>
  <si>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</si>
  <si>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</si>
  <si>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</si>
  <si>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</si>
  <si>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</si>
  <si>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</si>
  <si>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</si>
  <si>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</si>
  <si>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</si>
  <si>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</si>
  <si>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FY2020-21</t>
  </si>
  <si>
    <t>828 S. Bascom Avenue</t>
  </si>
  <si>
    <t>San Jose</t>
  </si>
  <si>
    <t>Tina Cordero</t>
  </si>
  <si>
    <t>Chief Fiscal Officer</t>
  </si>
  <si>
    <t>tina.cordero@hhs.sccgov.org</t>
  </si>
  <si>
    <t>(408)885-7535</t>
  </si>
  <si>
    <t>Residential Facilities</t>
  </si>
  <si>
    <t>CFTN Support Staff</t>
  </si>
  <si>
    <t>Faith Based Training and Supports Project</t>
  </si>
  <si>
    <t>Client and Consumer Employment</t>
  </si>
  <si>
    <t>Psychiatric Emergency Response Team (PERT) and Peer Linkage</t>
  </si>
  <si>
    <t>Allcove Implementation Project</t>
  </si>
  <si>
    <t>Independent Living Facilities Project</t>
  </si>
  <si>
    <t>P2 Violence Prevention Program</t>
  </si>
  <si>
    <t>P2 Intimate Partner Violence Prevention</t>
  </si>
  <si>
    <t>P2 Support for Parents</t>
  </si>
  <si>
    <t>P9 Promotores</t>
  </si>
  <si>
    <t>P3 Raising Early Awareness Creating Hope (REACH)</t>
  </si>
  <si>
    <t>P4 Integrated Prevention Services for Cultural Communities</t>
  </si>
  <si>
    <t>P9 Elder Story Telling</t>
  </si>
  <si>
    <t>P2 School Linked Services (SLS) Initiative</t>
  </si>
  <si>
    <t>P9 Older Adult In-Home Peer Respite Program</t>
  </si>
  <si>
    <t>P1 Community Wide Outreach and Training</t>
  </si>
  <si>
    <t>P9 Law Enforcement Training</t>
  </si>
  <si>
    <t xml:space="preserve">P4 New Refugees Program   </t>
  </si>
  <si>
    <t>P1 Cultural Communities Wellness Program</t>
  </si>
  <si>
    <t xml:space="preserve">P2 Services for Children 0-5 </t>
  </si>
  <si>
    <t>P8 Office of Consumer Affairs</t>
  </si>
  <si>
    <t>P8 Office of Family Affairs</t>
  </si>
  <si>
    <t>P6 Re-Entry</t>
  </si>
  <si>
    <t>P7 LGBTQ</t>
  </si>
  <si>
    <t xml:space="preserve">P5 Suicide Prevention Strategic Plan   </t>
  </si>
  <si>
    <t xml:space="preserve">P1 Culture-Specific Wellness Centers   </t>
  </si>
  <si>
    <t>C01 Child Full Service Partnership</t>
  </si>
  <si>
    <t>T01 Transitional Age Youth FSP</t>
  </si>
  <si>
    <t>C02 Children's (Uplift) Mobile Crisis</t>
  </si>
  <si>
    <t>C02 CSEC Program</t>
  </si>
  <si>
    <t>C02 Specialty Services - Integrated MH/SUD</t>
  </si>
  <si>
    <t>C03 Foster Care Development</t>
  </si>
  <si>
    <t>C03 Independent Living Program (ILP)</t>
  </si>
  <si>
    <t>C03 Services for Juvenile Justice Involved Youth</t>
  </si>
  <si>
    <t>C03 Children &amp; Family Behavioral Health Outpatient/IOP Services</t>
  </si>
  <si>
    <t>T02-04 TAY Triage to Support Reentry</t>
  </si>
  <si>
    <t>T02-04 TAY Outpatient Services</t>
  </si>
  <si>
    <t>T02-04 TAY Crisis and Drop In Center</t>
  </si>
  <si>
    <t xml:space="preserve">T02-04 TAY Interdisciplinary Service Teams  </t>
  </si>
  <si>
    <t>A01 Adult Full Service Partnership</t>
  </si>
  <si>
    <t>A02 Assertive Community Treatment</t>
  </si>
  <si>
    <t>A02 Community Placement Team Services and IMD Alternative Program</t>
  </si>
  <si>
    <t>A02 Crisis Stabilization Unit and Crisis Residential Treatment</t>
  </si>
  <si>
    <t>A02 Adult Residential Treatment</t>
  </si>
  <si>
    <t>A02/A04 County Clinics</t>
  </si>
  <si>
    <t>A02 Hope Services: Integrated Mental Health and Autism Services</t>
  </si>
  <si>
    <t>A02 CalWORKs Community Health Alliance</t>
  </si>
  <si>
    <t>A03 Criminal Justice FSP</t>
  </si>
  <si>
    <t>A03 Forensic Assertive Community Treatment</t>
  </si>
  <si>
    <t>A03 Criminal Justice Residential and Outpatient Treatment Programs</t>
  </si>
  <si>
    <t>A03 Criminal Justice Outpatient Services</t>
  </si>
  <si>
    <t>A03 Faith Based Resource Centers</t>
  </si>
  <si>
    <t>A04 Mental Health Urgent Care</t>
  </si>
  <si>
    <t>OA01 Older Adult Full Service Partnership</t>
  </si>
  <si>
    <t>OA02-04 In-Home Outreach Teams</t>
  </si>
  <si>
    <t>OA02-04 Outpatient Services for Older Adults</t>
  </si>
  <si>
    <t>OA02-04 Clinical Case Management for Older Adults</t>
  </si>
  <si>
    <t>OA02-04 Connections Program</t>
  </si>
  <si>
    <t>LP01 Learning Partnership</t>
  </si>
  <si>
    <t>HO01 Permanent Supportive Housing</t>
  </si>
  <si>
    <t>Specialty Services- Eating Disorders --- Child/Adult/Other combined</t>
  </si>
  <si>
    <t xml:space="preserve">P1 Ethnic and Cultural Communities Advisory Committees (ECCACs)   </t>
  </si>
  <si>
    <t>P1 Promotores</t>
  </si>
  <si>
    <t>P1 Older Adult In-Home Peer Respite Program</t>
  </si>
  <si>
    <t>P1 Law Enforcement Training</t>
  </si>
  <si>
    <t xml:space="preserve">P1 Office of Consumer Affairs </t>
  </si>
  <si>
    <t xml:space="preserve">P1 Office of Family Affairs </t>
  </si>
  <si>
    <t>P1 Re-Entry</t>
  </si>
  <si>
    <t xml:space="preserve">P1 LGBTQ </t>
  </si>
  <si>
    <t>Intensive Outpatient Program (IOP)</t>
  </si>
  <si>
    <t>P4 Integrated Behavioral Health</t>
  </si>
  <si>
    <t>Headspace Implementation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</si>
</sst>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22" zoomScale="70" zoomScaleNormal="70" zoomScaleSheetLayoutView="40" workbookViewId="0">
      <selection activeCell="J38" sqref="J38"/>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FY2020-21</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Santa Clara</v>
      </c>
      <c r="G9" s="226" t="s">
        <v>1</v>
      </c>
      <c r="H9" s="264">
        <f>IF(ISBLANK('1. Information'!D9),"",'1. Information'!D9)</f>
        <v>44592</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138796</v>
      </c>
      <c r="G15" s="136"/>
      <c r="H15" s="136"/>
      <c r="I15" s="136"/>
      <c r="J15" s="136"/>
      <c r="K15" s="246">
        <f>SUM(F15:J15)</f>
        <v>138796</v>
      </c>
      <c r="L15" s="175"/>
      <c r="M15" s="175"/>
      <c r="N15" s="175"/>
      <c r="O15" s="27"/>
      <c r="P15" s="27"/>
    </row>
    <row r="16" spans="1:17" ht="15.75" x14ac:dyDescent="0.25">
      <c r="B16" s="300">
        <v>2</v>
      </c>
      <c r="C16" s="308" t="s">
        <v>143</v>
      </c>
      <c r="D16" s="242"/>
      <c r="E16" s="243"/>
      <c r="F16" s="136">
        <f>307832.34-F15</f>
        <v>169036.34000000003</v>
      </c>
      <c r="G16" s="136"/>
      <c r="H16" s="136"/>
      <c r="I16" s="136"/>
      <c r="J16" s="136"/>
      <c r="K16" s="246">
        <f>SUM(F16:J16)</f>
        <v>169036.34000000003</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238546.49999999994</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238546.49999999994</v>
      </c>
      <c r="L19" s="175"/>
      <c r="M19" s="175"/>
      <c r="N19" s="175"/>
      <c r="O19" s="27"/>
      <c r="P19" s="27"/>
    </row>
    <row r="20" spans="2:17" ht="15.75" x14ac:dyDescent="0.25">
      <c r="B20" s="300">
        <v>6</v>
      </c>
      <c r="C20" s="308" t="s">
        <v>145</v>
      </c>
      <c r="D20" s="242"/>
      <c r="E20" s="243"/>
      <c r="F20" s="310">
        <f>SUMIF($K$29:$K$128,"Project Evaluation",L$29:L$128)</f>
        <v>165439.57</v>
      </c>
      <c r="G20" s="313">
        <f>SUMIF($K$29:$K$128,"Project Evaluation",M$29:M$128)</f>
        <v>0</v>
      </c>
      <c r="H20" s="310">
        <f>SUMIF($K$29:$K$128,"Project Evaluation",N$29:N$128)</f>
        <v>0</v>
      </c>
      <c r="I20" s="310">
        <f>SUMIF($K$29:$K$128,"Project Evaluation",O$29:O$128)</f>
        <v>0</v>
      </c>
      <c r="J20" s="310">
        <f>SUMIF($K$29:$K$128,"Project Evaluation",P$29:P$128)</f>
        <v>0</v>
      </c>
      <c r="K20" s="246">
        <f t="shared" si="0"/>
        <v>165439.57</v>
      </c>
      <c r="L20" s="175"/>
      <c r="M20" s="175"/>
      <c r="N20" s="175"/>
      <c r="O20" s="27"/>
      <c r="P20" s="27"/>
    </row>
    <row r="21" spans="2:17" ht="15.75" x14ac:dyDescent="0.25">
      <c r="B21" s="300">
        <v>7</v>
      </c>
      <c r="C21" s="308" t="s">
        <v>196</v>
      </c>
      <c r="D21" s="242"/>
      <c r="E21" s="243"/>
      <c r="F21" s="310">
        <f>SUMIF($K$29:$K$128,"Project Direct",L$29:L$128)</f>
        <v>3625618.9299999997</v>
      </c>
      <c r="G21" s="313">
        <f>SUMIF($K$29:$K$128,"Project Direct",M$29:M$128)</f>
        <v>0</v>
      </c>
      <c r="H21" s="310">
        <f>SUMIF($K$29:$K$128,"Project Direct",N$29:N$128)</f>
        <v>0</v>
      </c>
      <c r="I21" s="310">
        <f>SUMIF($K$29:$K$128,"Project Direct",O$29:O$128)</f>
        <v>0</v>
      </c>
      <c r="J21" s="310">
        <f>SUMIF($K$29:$K$128,"Project Direct",P$29:P$128)</f>
        <v>0</v>
      </c>
      <c r="K21" s="246">
        <f t="shared" si="0"/>
        <v>3625618.9299999997</v>
      </c>
      <c r="L21" s="175"/>
      <c r="M21" s="175"/>
      <c r="N21" s="175"/>
      <c r="O21" s="27"/>
      <c r="P21" s="27"/>
    </row>
    <row r="22" spans="2:17" ht="15.75" x14ac:dyDescent="0.25">
      <c r="B22" s="300">
        <v>8</v>
      </c>
      <c r="C22" s="308" t="s">
        <v>146</v>
      </c>
      <c r="D22" s="314"/>
      <c r="F22" s="315">
        <f>SUM(F19:F21)</f>
        <v>4029604.9999999995</v>
      </c>
      <c r="G22" s="316">
        <f>SUM(G19:G21)</f>
        <v>0</v>
      </c>
      <c r="H22" s="315">
        <f>SUM(H19:H21)</f>
        <v>0</v>
      </c>
      <c r="I22" s="315">
        <f>SUM(I19:I21)</f>
        <v>0</v>
      </c>
      <c r="J22" s="315">
        <f t="shared" ref="J22" si="1">SUM(J19:J21)</f>
        <v>0</v>
      </c>
      <c r="K22" s="246">
        <f t="shared" si="0"/>
        <v>4029604.9999999995</v>
      </c>
      <c r="L22" s="175"/>
      <c r="M22" s="175"/>
      <c r="N22" s="175"/>
      <c r="O22" s="27"/>
      <c r="P22" s="27"/>
    </row>
    <row r="23" spans="2:17" ht="30.95" customHeight="1" x14ac:dyDescent="0.25">
      <c r="B23" s="300">
        <v>9</v>
      </c>
      <c r="C23" s="317" t="s">
        <v>239</v>
      </c>
      <c r="D23" s="318"/>
      <c r="E23" s="319"/>
      <c r="F23" s="320">
        <f>SUM(F15:F16,F18:F21)</f>
        <v>4337437.34</v>
      </c>
      <c r="G23" s="320">
        <f>SUM(G15:G16,G19:G21)</f>
        <v>0</v>
      </c>
      <c r="H23" s="320">
        <f t="shared" ref="H23:J23" si="2">SUM(H15:H16,H19:H21)</f>
        <v>0</v>
      </c>
      <c r="I23" s="320">
        <f t="shared" si="2"/>
        <v>0</v>
      </c>
      <c r="J23" s="320">
        <f t="shared" si="2"/>
        <v>0</v>
      </c>
      <c r="K23" s="279">
        <f t="shared" si="0"/>
        <v>4337437.34</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43</v>
      </c>
      <c r="E29" s="144" t="s">
        <v>791</v>
      </c>
      <c r="F29" s="38"/>
      <c r="G29" s="415">
        <v>43055</v>
      </c>
      <c r="H29" s="415">
        <v>43556</v>
      </c>
      <c r="I29" s="126">
        <v>608694</v>
      </c>
      <c r="J29" s="30"/>
      <c r="K29" s="326" t="s">
        <v>140</v>
      </c>
      <c r="L29" s="32"/>
      <c r="M29" s="32"/>
      <c r="N29" s="30"/>
      <c r="O29" s="30"/>
      <c r="P29" s="34"/>
      <c r="Q29" s="246">
        <f>SUM(L29:P29)</f>
        <v>0</v>
      </c>
    </row>
    <row r="30" spans="2:17" x14ac:dyDescent="0.2">
      <c r="B30" s="276">
        <v>10</v>
      </c>
      <c r="C30" s="218" t="s">
        <v>25</v>
      </c>
      <c r="D30" s="327">
        <f t="shared" ref="D30:J31" si="3">IF(ISBLANK(D29),"",D29)</f>
        <v>43</v>
      </c>
      <c r="E30" s="328" t="str">
        <f t="shared" si="3"/>
        <v>Faith Based Training and Supports Project</v>
      </c>
      <c r="F30" s="329" t="str">
        <f t="shared" si="3"/>
        <v/>
      </c>
      <c r="G30" s="329">
        <f t="shared" si="3"/>
        <v>43055</v>
      </c>
      <c r="H30" s="329">
        <f t="shared" si="3"/>
        <v>43556</v>
      </c>
      <c r="I30" s="330">
        <f t="shared" si="3"/>
        <v>608694</v>
      </c>
      <c r="J30" s="330" t="str">
        <f t="shared" si="3"/>
        <v/>
      </c>
      <c r="K30" s="275" t="s">
        <v>141</v>
      </c>
      <c r="L30" s="32">
        <v>50000</v>
      </c>
      <c r="M30" s="32"/>
      <c r="N30" s="30"/>
      <c r="O30" s="30"/>
      <c r="P30" s="34"/>
      <c r="Q30" s="246">
        <f t="shared" ref="Q30:Q60" si="4">SUM(L30:P30)</f>
        <v>50000</v>
      </c>
    </row>
    <row r="31" spans="2:17" x14ac:dyDescent="0.2">
      <c r="B31" s="276">
        <v>10</v>
      </c>
      <c r="C31" s="218" t="s">
        <v>27</v>
      </c>
      <c r="D31" s="327">
        <f t="shared" ref="D31:I31" si="5">IF(ISBLANK(D29),"",D29)</f>
        <v>43</v>
      </c>
      <c r="E31" s="331" t="str">
        <f t="shared" si="5"/>
        <v>Faith Based Training and Supports Project</v>
      </c>
      <c r="F31" s="332" t="str">
        <f t="shared" si="5"/>
        <v/>
      </c>
      <c r="G31" s="332">
        <f t="shared" si="5"/>
        <v>43055</v>
      </c>
      <c r="H31" s="332">
        <f t="shared" si="5"/>
        <v>43556</v>
      </c>
      <c r="I31" s="275">
        <f t="shared" si="5"/>
        <v>608694</v>
      </c>
      <c r="J31" s="275" t="str">
        <f t="shared" si="3"/>
        <v/>
      </c>
      <c r="K31" s="275" t="s">
        <v>197</v>
      </c>
      <c r="L31" s="32">
        <f>226353.69-L30</f>
        <v>176353.69</v>
      </c>
      <c r="M31" s="32"/>
      <c r="N31" s="30"/>
      <c r="O31" s="30"/>
      <c r="P31" s="34"/>
      <c r="Q31" s="246">
        <f t="shared" si="4"/>
        <v>176353.69</v>
      </c>
    </row>
    <row r="32" spans="2:17" ht="15.75" x14ac:dyDescent="0.25">
      <c r="B32" s="333">
        <v>10</v>
      </c>
      <c r="C32" s="333" t="s">
        <v>202</v>
      </c>
      <c r="D32" s="334">
        <f t="shared" ref="D32:J32" si="6">IF(ISBLANK(D29),"",D29)</f>
        <v>43</v>
      </c>
      <c r="E32" s="335" t="str">
        <f t="shared" si="6"/>
        <v>Faith Based Training and Supports Project</v>
      </c>
      <c r="F32" s="336" t="str">
        <f t="shared" si="6"/>
        <v/>
      </c>
      <c r="G32" s="336">
        <f t="shared" si="6"/>
        <v>43055</v>
      </c>
      <c r="H32" s="336">
        <f t="shared" si="6"/>
        <v>43556</v>
      </c>
      <c r="I32" s="337">
        <f t="shared" si="6"/>
        <v>608694</v>
      </c>
      <c r="J32" s="337" t="str">
        <f t="shared" si="6"/>
        <v/>
      </c>
      <c r="K32" s="279" t="s">
        <v>217</v>
      </c>
      <c r="L32" s="338">
        <f>SUM(L29:L31)</f>
        <v>226353.69</v>
      </c>
      <c r="M32" s="338">
        <f>SUM(M29:M31)</f>
        <v>0</v>
      </c>
      <c r="N32" s="339">
        <f t="shared" ref="N32:P32" si="7">SUM(N29:N31)</f>
        <v>0</v>
      </c>
      <c r="O32" s="339">
        <f t="shared" si="7"/>
        <v>0</v>
      </c>
      <c r="P32" s="340">
        <f t="shared" si="7"/>
        <v>0</v>
      </c>
      <c r="Q32" s="279">
        <f t="shared" si="4"/>
        <v>226353.69</v>
      </c>
    </row>
    <row r="33" spans="2:17" x14ac:dyDescent="0.2">
      <c r="B33" s="276">
        <v>11</v>
      </c>
      <c r="C33" s="293" t="s">
        <v>23</v>
      </c>
      <c r="D33" s="325">
        <f>IF(Q36&lt;&gt;0,VLOOKUP($E$9,Info_County_Code,2,FALSE),"")</f>
        <v>43</v>
      </c>
      <c r="E33" s="144" t="s">
        <v>792</v>
      </c>
      <c r="F33" s="38"/>
      <c r="G33" s="415">
        <v>43055</v>
      </c>
      <c r="H33" s="415">
        <v>43497</v>
      </c>
      <c r="I33" s="126">
        <v>2525149</v>
      </c>
      <c r="J33" s="30"/>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43</v>
      </c>
      <c r="E34" s="328" t="str">
        <f t="shared" si="9"/>
        <v>Client and Consumer Employment</v>
      </c>
      <c r="F34" s="329" t="str">
        <f t="shared" si="9"/>
        <v/>
      </c>
      <c r="G34" s="329">
        <f t="shared" si="9"/>
        <v>43055</v>
      </c>
      <c r="H34" s="329">
        <f t="shared" si="9"/>
        <v>43497</v>
      </c>
      <c r="I34" s="330">
        <f t="shared" si="9"/>
        <v>2525149</v>
      </c>
      <c r="J34" s="330" t="str">
        <f t="shared" si="9"/>
        <v/>
      </c>
      <c r="K34" s="275" t="str">
        <f>IF(NOT(ISBLANK(E33)),$K$30,"")</f>
        <v>Project Evaluation</v>
      </c>
      <c r="L34" s="32">
        <v>27077.07</v>
      </c>
      <c r="M34" s="32"/>
      <c r="N34" s="30"/>
      <c r="O34" s="30"/>
      <c r="P34" s="34"/>
      <c r="Q34" s="246">
        <f t="shared" si="8"/>
        <v>27077.07</v>
      </c>
    </row>
    <row r="35" spans="2:17" x14ac:dyDescent="0.2">
      <c r="B35" s="276">
        <v>11</v>
      </c>
      <c r="C35" s="218" t="s">
        <v>27</v>
      </c>
      <c r="D35" s="327">
        <f t="shared" ref="D35:J35" si="10">IF(ISBLANK(D33),"",D33)</f>
        <v>43</v>
      </c>
      <c r="E35" s="331" t="str">
        <f t="shared" si="10"/>
        <v>Client and Consumer Employment</v>
      </c>
      <c r="F35" s="332" t="str">
        <f t="shared" si="10"/>
        <v/>
      </c>
      <c r="G35" s="332">
        <f t="shared" si="10"/>
        <v>43055</v>
      </c>
      <c r="H35" s="332">
        <f t="shared" si="10"/>
        <v>43497</v>
      </c>
      <c r="I35" s="275">
        <f t="shared" si="10"/>
        <v>2525149</v>
      </c>
      <c r="J35" s="275" t="str">
        <f t="shared" si="10"/>
        <v/>
      </c>
      <c r="K35" s="275" t="str">
        <f>IF(NOT(ISBLANK(E33)),$K$31,"")</f>
        <v>Project Direct</v>
      </c>
      <c r="L35" s="32">
        <v>672561.63</v>
      </c>
      <c r="M35" s="32"/>
      <c r="N35" s="30"/>
      <c r="O35" s="30"/>
      <c r="P35" s="34"/>
      <c r="Q35" s="246">
        <f t="shared" si="8"/>
        <v>672561.63</v>
      </c>
    </row>
    <row r="36" spans="2:17" ht="15.75" x14ac:dyDescent="0.25">
      <c r="B36" s="333">
        <v>11</v>
      </c>
      <c r="C36" s="333" t="s">
        <v>202</v>
      </c>
      <c r="D36" s="334">
        <f t="shared" ref="D36:J36" si="11">IF(ISBLANK(D33),"",D33)</f>
        <v>43</v>
      </c>
      <c r="E36" s="335" t="str">
        <f t="shared" si="11"/>
        <v>Client and Consumer Employment</v>
      </c>
      <c r="F36" s="336" t="str">
        <f t="shared" si="11"/>
        <v/>
      </c>
      <c r="G36" s="336">
        <f t="shared" si="11"/>
        <v>43055</v>
      </c>
      <c r="H36" s="336">
        <f t="shared" si="11"/>
        <v>43497</v>
      </c>
      <c r="I36" s="337">
        <f t="shared" si="11"/>
        <v>2525149</v>
      </c>
      <c r="J36" s="337" t="str">
        <f t="shared" si="11"/>
        <v/>
      </c>
      <c r="K36" s="279" t="str">
        <f>IF(NOT(ISBLANK(E33)),$K$32,"")</f>
        <v>Project Subtotal</v>
      </c>
      <c r="L36" s="338">
        <f t="shared" ref="L36" si="12">SUM(L33:L35)</f>
        <v>699638.7</v>
      </c>
      <c r="M36" s="338">
        <f>SUM(M33:M35)</f>
        <v>0</v>
      </c>
      <c r="N36" s="339">
        <f t="shared" ref="N36:P36" si="13">SUM(N33:N35)</f>
        <v>0</v>
      </c>
      <c r="O36" s="339">
        <f t="shared" si="13"/>
        <v>0</v>
      </c>
      <c r="P36" s="340">
        <f t="shared" si="13"/>
        <v>0</v>
      </c>
      <c r="Q36" s="279">
        <f t="shared" si="8"/>
        <v>699638.7</v>
      </c>
    </row>
    <row r="37" spans="2:17" ht="30" x14ac:dyDescent="0.2">
      <c r="B37" s="276">
        <v>12</v>
      </c>
      <c r="C37" s="293" t="s">
        <v>23</v>
      </c>
      <c r="D37" s="325">
        <f>IF(Q40&lt;&gt;0,VLOOKUP($E$9,Info_County_Code,2,FALSE),"")</f>
        <v>43</v>
      </c>
      <c r="E37" s="144" t="s">
        <v>793</v>
      </c>
      <c r="F37" s="38"/>
      <c r="G37" s="38">
        <v>43055</v>
      </c>
      <c r="H37" s="38">
        <v>43617</v>
      </c>
      <c r="I37" s="30">
        <v>3688511</v>
      </c>
      <c r="J37" s="30"/>
      <c r="K37" s="326" t="str">
        <f>IF(NOT(ISBLANK(E37)),$K$29,"")</f>
        <v>Project Administration</v>
      </c>
      <c r="L37" s="32">
        <f>125183.91+9941-L38</f>
        <v>127762.41</v>
      </c>
      <c r="M37" s="32"/>
      <c r="N37" s="30"/>
      <c r="O37" s="30"/>
      <c r="P37" s="34"/>
      <c r="Q37" s="246">
        <f t="shared" si="4"/>
        <v>127762.41</v>
      </c>
    </row>
    <row r="38" spans="2:17" ht="30" x14ac:dyDescent="0.2">
      <c r="B38" s="276">
        <v>12</v>
      </c>
      <c r="C38" s="218" t="s">
        <v>25</v>
      </c>
      <c r="D38" s="327">
        <f t="shared" ref="D38:J38" si="14">IF(ISBLANK(D37),"",D37)</f>
        <v>43</v>
      </c>
      <c r="E38" s="328" t="str">
        <f t="shared" si="14"/>
        <v>Psychiatric Emergency Response Team (PERT) and Peer Linkage</v>
      </c>
      <c r="F38" s="329" t="str">
        <f t="shared" si="14"/>
        <v/>
      </c>
      <c r="G38" s="329">
        <f t="shared" si="14"/>
        <v>43055</v>
      </c>
      <c r="H38" s="329">
        <f t="shared" si="14"/>
        <v>43617</v>
      </c>
      <c r="I38" s="330">
        <f t="shared" si="14"/>
        <v>3688511</v>
      </c>
      <c r="J38" s="330" t="str">
        <f t="shared" si="14"/>
        <v/>
      </c>
      <c r="K38" s="275" t="str">
        <f>IF(NOT(ISBLANK(E37)),$K$30,"")</f>
        <v>Project Evaluation</v>
      </c>
      <c r="L38" s="32">
        <v>7362.5</v>
      </c>
      <c r="M38" s="32"/>
      <c r="N38" s="30"/>
      <c r="O38" s="30"/>
      <c r="P38" s="34"/>
      <c r="Q38" s="246">
        <f t="shared" si="4"/>
        <v>7362.5</v>
      </c>
    </row>
    <row r="39" spans="2:17" ht="30" x14ac:dyDescent="0.2">
      <c r="B39" s="276">
        <v>12</v>
      </c>
      <c r="C39" s="218" t="s">
        <v>27</v>
      </c>
      <c r="D39" s="327">
        <f t="shared" ref="D39:J39" si="15">IF(ISBLANK(D37),"",D37)</f>
        <v>43</v>
      </c>
      <c r="E39" s="331" t="str">
        <f t="shared" si="15"/>
        <v>Psychiatric Emergency Response Team (PERT) and Peer Linkage</v>
      </c>
      <c r="F39" s="332" t="str">
        <f t="shared" si="15"/>
        <v/>
      </c>
      <c r="G39" s="332">
        <f t="shared" si="15"/>
        <v>43055</v>
      </c>
      <c r="H39" s="332">
        <f t="shared" si="15"/>
        <v>43617</v>
      </c>
      <c r="I39" s="275">
        <f t="shared" si="15"/>
        <v>3688511</v>
      </c>
      <c r="J39" s="275" t="str">
        <f t="shared" si="15"/>
        <v/>
      </c>
      <c r="K39" s="275" t="str">
        <f>IF(NOT(ISBLANK(E37)),$K$31,"")</f>
        <v>Project Direct</v>
      </c>
      <c r="L39" s="32">
        <v>0</v>
      </c>
      <c r="M39" s="32"/>
      <c r="N39" s="30"/>
      <c r="O39" s="30"/>
      <c r="P39" s="34"/>
      <c r="Q39" s="246">
        <f t="shared" si="4"/>
        <v>0</v>
      </c>
    </row>
    <row r="40" spans="2:17" ht="31.5" x14ac:dyDescent="0.25">
      <c r="B40" s="333">
        <v>12</v>
      </c>
      <c r="C40" s="333" t="s">
        <v>202</v>
      </c>
      <c r="D40" s="334">
        <f t="shared" ref="D40:J40" si="16">IF(ISBLANK(D37),"",D37)</f>
        <v>43</v>
      </c>
      <c r="E40" s="335" t="str">
        <f t="shared" si="16"/>
        <v>Psychiatric Emergency Response Team (PERT) and Peer Linkage</v>
      </c>
      <c r="F40" s="336" t="str">
        <f t="shared" si="16"/>
        <v/>
      </c>
      <c r="G40" s="336">
        <f t="shared" si="16"/>
        <v>43055</v>
      </c>
      <c r="H40" s="336">
        <f t="shared" si="16"/>
        <v>43617</v>
      </c>
      <c r="I40" s="337">
        <f t="shared" si="16"/>
        <v>3688511</v>
      </c>
      <c r="J40" s="337" t="str">
        <f t="shared" si="16"/>
        <v/>
      </c>
      <c r="K40" s="279" t="str">
        <f>IF(NOT(ISBLANK(E37)),$K$32,"")</f>
        <v>Project Subtotal</v>
      </c>
      <c r="L40" s="338">
        <f t="shared" ref="L40" si="17">SUM(L37:L39)</f>
        <v>135124.91</v>
      </c>
      <c r="M40" s="338">
        <f>SUM(M37:M39)</f>
        <v>0</v>
      </c>
      <c r="N40" s="339">
        <f t="shared" ref="N40" si="18">SUM(N37:N39)</f>
        <v>0</v>
      </c>
      <c r="O40" s="339">
        <f t="shared" ref="O40" si="19">SUM(O37:O39)</f>
        <v>0</v>
      </c>
      <c r="P40" s="340">
        <f t="shared" ref="P40" si="20">SUM(P37:P39)</f>
        <v>0</v>
      </c>
      <c r="Q40" s="279">
        <f t="shared" si="4"/>
        <v>135124.91</v>
      </c>
    </row>
    <row r="41" spans="2:17" x14ac:dyDescent="0.2">
      <c r="B41" s="276">
        <v>13</v>
      </c>
      <c r="C41" s="293" t="s">
        <v>23</v>
      </c>
      <c r="D41" s="325">
        <f>IF(Q44&lt;&gt;0,VLOOKUP($E$9,Info_County_Code,2,FALSE),"")</f>
        <v>43</v>
      </c>
      <c r="E41" s="144" t="s">
        <v>794</v>
      </c>
      <c r="F41" s="38" t="s">
        <v>861</v>
      </c>
      <c r="G41" s="38">
        <v>43335</v>
      </c>
      <c r="H41" s="38">
        <v>43342</v>
      </c>
      <c r="I41" s="30">
        <v>14960943</v>
      </c>
      <c r="J41" s="30"/>
      <c r="K41" s="326" t="str">
        <f>IF(NOT(ISBLANK(E41)),$K$29,"")</f>
        <v>Project Administration</v>
      </c>
      <c r="L41" s="32">
        <v>110784.08999999995</v>
      </c>
      <c r="M41" s="32"/>
      <c r="N41" s="30"/>
      <c r="O41" s="30"/>
      <c r="P41" s="34"/>
      <c r="Q41" s="246">
        <f t="shared" si="4"/>
        <v>110784.08999999995</v>
      </c>
    </row>
    <row r="42" spans="2:17" x14ac:dyDescent="0.2">
      <c r="B42" s="276">
        <v>13</v>
      </c>
      <c r="C42" s="218" t="s">
        <v>25</v>
      </c>
      <c r="D42" s="327">
        <f t="shared" ref="D42:J42" si="21">IF(ISBLANK(D41),"",D41)</f>
        <v>43</v>
      </c>
      <c r="E42" s="328" t="str">
        <f t="shared" si="21"/>
        <v>Allcove Implementation Project</v>
      </c>
      <c r="F42" s="329" t="str">
        <f t="shared" si="21"/>
        <v>Headspace Implementation Project</v>
      </c>
      <c r="G42" s="329">
        <f t="shared" si="21"/>
        <v>43335</v>
      </c>
      <c r="H42" s="329">
        <f t="shared" si="21"/>
        <v>43342</v>
      </c>
      <c r="I42" s="330">
        <f t="shared" si="21"/>
        <v>14960943</v>
      </c>
      <c r="J42" s="330" t="str">
        <f t="shared" si="21"/>
        <v/>
      </c>
      <c r="K42" s="275" t="str">
        <f>IF(NOT(ISBLANK(E41)),$K$30,"")</f>
        <v>Project Evaluation</v>
      </c>
      <c r="L42" s="32">
        <v>81000</v>
      </c>
      <c r="M42" s="32"/>
      <c r="N42" s="30"/>
      <c r="O42" s="30"/>
      <c r="P42" s="34"/>
      <c r="Q42" s="246">
        <f t="shared" si="4"/>
        <v>81000</v>
      </c>
    </row>
    <row r="43" spans="2:17" x14ac:dyDescent="0.2">
      <c r="B43" s="276">
        <v>13</v>
      </c>
      <c r="C43" s="218" t="s">
        <v>27</v>
      </c>
      <c r="D43" s="327">
        <f t="shared" ref="D43:J43" si="22">IF(ISBLANK(D41),"",D41)</f>
        <v>43</v>
      </c>
      <c r="E43" s="331" t="str">
        <f t="shared" si="22"/>
        <v>Allcove Implementation Project</v>
      </c>
      <c r="F43" s="332" t="str">
        <f t="shared" si="22"/>
        <v>Headspace Implementation Project</v>
      </c>
      <c r="G43" s="332">
        <f t="shared" si="22"/>
        <v>43335</v>
      </c>
      <c r="H43" s="332">
        <f t="shared" si="22"/>
        <v>43342</v>
      </c>
      <c r="I43" s="275">
        <f t="shared" si="22"/>
        <v>14960943</v>
      </c>
      <c r="J43" s="275" t="str">
        <f t="shared" si="22"/>
        <v/>
      </c>
      <c r="K43" s="275" t="str">
        <f>IF(NOT(ISBLANK(E41)),$K$31,"")</f>
        <v>Project Direct</v>
      </c>
      <c r="L43" s="32">
        <f>551000.94+2306702.67-L42</f>
        <v>2776703.61</v>
      </c>
      <c r="M43" s="32"/>
      <c r="N43" s="30"/>
      <c r="O43" s="30"/>
      <c r="P43" s="34"/>
      <c r="Q43" s="246">
        <f t="shared" si="4"/>
        <v>2776703.61</v>
      </c>
    </row>
    <row r="44" spans="2:17" ht="15.75" x14ac:dyDescent="0.25">
      <c r="B44" s="333">
        <v>13</v>
      </c>
      <c r="C44" s="333" t="s">
        <v>202</v>
      </c>
      <c r="D44" s="334">
        <f t="shared" ref="D44:J44" si="23">IF(ISBLANK(D41),"",D41)</f>
        <v>43</v>
      </c>
      <c r="E44" s="335" t="str">
        <f t="shared" si="23"/>
        <v>Allcove Implementation Project</v>
      </c>
      <c r="F44" s="336" t="str">
        <f t="shared" si="23"/>
        <v>Headspace Implementation Project</v>
      </c>
      <c r="G44" s="336">
        <f t="shared" si="23"/>
        <v>43335</v>
      </c>
      <c r="H44" s="336">
        <f t="shared" si="23"/>
        <v>43342</v>
      </c>
      <c r="I44" s="337">
        <f t="shared" si="23"/>
        <v>14960943</v>
      </c>
      <c r="J44" s="337" t="str">
        <f t="shared" si="23"/>
        <v/>
      </c>
      <c r="K44" s="279" t="str">
        <f>IF(NOT(ISBLANK(E41)),$K$32,"")</f>
        <v>Project Subtotal</v>
      </c>
      <c r="L44" s="338">
        <f t="shared" ref="L44" si="24">SUM(L41:L43)</f>
        <v>2968487.6999999997</v>
      </c>
      <c r="M44" s="338">
        <f>SUM(M41:M43)</f>
        <v>0</v>
      </c>
      <c r="N44" s="339">
        <f t="shared" ref="N44" si="25">SUM(N41:N43)</f>
        <v>0</v>
      </c>
      <c r="O44" s="339">
        <f t="shared" ref="O44" si="26">SUM(O41:O43)</f>
        <v>0</v>
      </c>
      <c r="P44" s="340">
        <f t="shared" ref="P44" si="27">SUM(P41:P43)</f>
        <v>0</v>
      </c>
      <c r="Q44" s="279">
        <f t="shared" si="4"/>
        <v>2968487.6999999997</v>
      </c>
    </row>
    <row r="45" spans="2:17" x14ac:dyDescent="0.2">
      <c r="B45" s="276">
        <v>14</v>
      </c>
      <c r="C45" s="293" t="s">
        <v>23</v>
      </c>
      <c r="D45" s="325" t="str">
        <f>IF(Q48&lt;&gt;0,VLOOKUP($E$9,Info_County_Code,2,FALSE),"")</f>
        <v/>
      </c>
      <c r="E45" s="144" t="s">
        <v>795</v>
      </c>
      <c r="F45" s="38"/>
      <c r="G45" s="38">
        <v>44344</v>
      </c>
      <c r="H45" s="38"/>
      <c r="I45" s="30">
        <v>990000</v>
      </c>
      <c r="J45" s="30"/>
      <c r="K45" s="326" t="str">
        <f>IF(NOT(ISBLANK(E45)),$K$29,"")</f>
        <v>Project Administration</v>
      </c>
      <c r="L45" s="32">
        <v>0</v>
      </c>
      <c r="M45" s="32"/>
      <c r="N45" s="30"/>
      <c r="O45" s="30"/>
      <c r="P45" s="34"/>
      <c r="Q45" s="246">
        <f t="shared" si="4"/>
        <v>0</v>
      </c>
    </row>
    <row r="46" spans="2:17" x14ac:dyDescent="0.2">
      <c r="B46" s="276">
        <v>14</v>
      </c>
      <c r="C46" s="218" t="s">
        <v>25</v>
      </c>
      <c r="D46" s="327" t="str">
        <f t="shared" ref="D46:J46" si="28">IF(ISBLANK(D45),"",D45)</f>
        <v/>
      </c>
      <c r="E46" s="328" t="str">
        <f t="shared" si="28"/>
        <v>Independent Living Facilities Project</v>
      </c>
      <c r="F46" s="329" t="str">
        <f t="shared" si="28"/>
        <v/>
      </c>
      <c r="G46" s="329">
        <f t="shared" si="28"/>
        <v>44344</v>
      </c>
      <c r="H46" s="329" t="str">
        <f t="shared" si="28"/>
        <v/>
      </c>
      <c r="I46" s="330">
        <f t="shared" si="28"/>
        <v>990000</v>
      </c>
      <c r="J46" s="330" t="str">
        <f t="shared" si="28"/>
        <v/>
      </c>
      <c r="K46" s="275" t="str">
        <f>IF(NOT(ISBLANK(E45)),$K$30,"")</f>
        <v>Project Evaluation</v>
      </c>
      <c r="L46" s="32">
        <v>0</v>
      </c>
      <c r="M46" s="32"/>
      <c r="N46" s="30"/>
      <c r="O46" s="30"/>
      <c r="P46" s="34"/>
      <c r="Q46" s="246">
        <f t="shared" si="4"/>
        <v>0</v>
      </c>
    </row>
    <row r="47" spans="2:17" x14ac:dyDescent="0.2">
      <c r="B47" s="276">
        <v>14</v>
      </c>
      <c r="C47" s="218" t="s">
        <v>27</v>
      </c>
      <c r="D47" s="327" t="str">
        <f t="shared" ref="D47:J47" si="29">IF(ISBLANK(D45),"",D45)</f>
        <v/>
      </c>
      <c r="E47" s="331" t="str">
        <f t="shared" si="29"/>
        <v>Independent Living Facilities Project</v>
      </c>
      <c r="F47" s="332" t="str">
        <f t="shared" si="29"/>
        <v/>
      </c>
      <c r="G47" s="332">
        <f t="shared" si="29"/>
        <v>44344</v>
      </c>
      <c r="H47" s="332" t="str">
        <f t="shared" si="29"/>
        <v/>
      </c>
      <c r="I47" s="275">
        <f t="shared" si="29"/>
        <v>990000</v>
      </c>
      <c r="J47" s="275" t="str">
        <f t="shared" si="29"/>
        <v/>
      </c>
      <c r="K47" s="275" t="str">
        <f>IF(NOT(ISBLANK(E45)),$K$31,"")</f>
        <v>Project Direct</v>
      </c>
      <c r="L47" s="32">
        <v>0</v>
      </c>
      <c r="M47" s="32"/>
      <c r="N47" s="30"/>
      <c r="O47" s="30"/>
      <c r="P47" s="34"/>
      <c r="Q47" s="246">
        <f t="shared" si="4"/>
        <v>0</v>
      </c>
    </row>
    <row r="48" spans="2:17" ht="15.75" x14ac:dyDescent="0.25">
      <c r="B48" s="333">
        <v>14</v>
      </c>
      <c r="C48" s="333" t="s">
        <v>202</v>
      </c>
      <c r="D48" s="334" t="str">
        <f t="shared" ref="D48:J48" si="30">IF(ISBLANK(D45),"",D45)</f>
        <v/>
      </c>
      <c r="E48" s="335" t="str">
        <f t="shared" si="30"/>
        <v>Independent Living Facilities Project</v>
      </c>
      <c r="F48" s="336" t="str">
        <f t="shared" si="30"/>
        <v/>
      </c>
      <c r="G48" s="336">
        <f t="shared" si="30"/>
        <v>44344</v>
      </c>
      <c r="H48" s="336" t="str">
        <f t="shared" si="30"/>
        <v/>
      </c>
      <c r="I48" s="337">
        <f t="shared" si="30"/>
        <v>990000</v>
      </c>
      <c r="J48" s="337" t="str">
        <f t="shared" si="30"/>
        <v/>
      </c>
      <c r="K48" s="279" t="str">
        <f>IF(NOT(ISBLANK(E45)),$K$32,"")</f>
        <v>Project Subtotal</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D28" sqref="D2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FY2020-21</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Santa Clara</v>
      </c>
      <c r="F9" s="226" t="s">
        <v>1</v>
      </c>
      <c r="G9" s="346">
        <f>IF(ISBLANK('1. Information'!D9),"",'1. Information'!D9)</f>
        <v>44592</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2445331.9199999995</v>
      </c>
      <c r="G20" s="351">
        <f t="shared" ref="G20:I20" si="1">SUM(F28:F32)</f>
        <v>0</v>
      </c>
      <c r="H20" s="330">
        <f t="shared" si="1"/>
        <v>0</v>
      </c>
      <c r="I20" s="330">
        <f t="shared" si="1"/>
        <v>0</v>
      </c>
      <c r="J20" s="330">
        <f>SUM(I28:I32)</f>
        <v>0</v>
      </c>
      <c r="K20" s="246">
        <f t="shared" si="0"/>
        <v>2445331.9199999995</v>
      </c>
      <c r="L20" s="175"/>
      <c r="M20" s="175"/>
      <c r="N20" s="27"/>
      <c r="O20" s="27"/>
    </row>
    <row r="21" spans="1:22" ht="30.95" customHeight="1" x14ac:dyDescent="0.25">
      <c r="A21" s="27"/>
      <c r="B21" s="300">
        <v>7</v>
      </c>
      <c r="C21" s="277" t="s">
        <v>188</v>
      </c>
      <c r="D21" s="277"/>
      <c r="E21" s="277"/>
      <c r="F21" s="279">
        <f>SUM(F15:F17,F19:F20)</f>
        <v>2445331.9199999995</v>
      </c>
      <c r="G21" s="251">
        <f>SUM(G15:G17,G20)</f>
        <v>0</v>
      </c>
      <c r="H21" s="250">
        <f>SUM(H15:H17,H20)</f>
        <v>0</v>
      </c>
      <c r="I21" s="250">
        <f>SUM(I15:I17,I20)</f>
        <v>0</v>
      </c>
      <c r="J21" s="250">
        <f>SUM(J15:J17,J20)</f>
        <v>0</v>
      </c>
      <c r="K21" s="279">
        <f t="shared" si="0"/>
        <v>2445331.9199999995</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43</v>
      </c>
      <c r="D28" s="355" t="s">
        <v>98</v>
      </c>
      <c r="E28" s="31">
        <v>1321739.3</v>
      </c>
      <c r="F28" s="32"/>
      <c r="G28" s="31"/>
      <c r="H28" s="31"/>
      <c r="I28" s="128"/>
      <c r="J28" s="275">
        <f>SUM(E28:I28)</f>
        <v>1321739.3</v>
      </c>
      <c r="K28" s="175"/>
      <c r="L28" s="175"/>
      <c r="M28" s="175"/>
      <c r="N28" s="175"/>
      <c r="O28" s="175"/>
      <c r="P28" s="175"/>
      <c r="Q28" s="175"/>
      <c r="R28" s="175"/>
    </row>
    <row r="29" spans="1:22" ht="15.75" x14ac:dyDescent="0.25">
      <c r="A29" s="27"/>
      <c r="B29" s="300">
        <v>9</v>
      </c>
      <c r="C29" s="301">
        <f t="shared" si="2"/>
        <v>43</v>
      </c>
      <c r="D29" s="355" t="s">
        <v>99</v>
      </c>
      <c r="E29" s="31">
        <v>369672.87</v>
      </c>
      <c r="F29" s="32"/>
      <c r="G29" s="31"/>
      <c r="H29" s="31"/>
      <c r="I29" s="128"/>
      <c r="J29" s="275">
        <f t="shared" ref="J29:J32" si="3">SUM(E29:I29)</f>
        <v>369672.87</v>
      </c>
      <c r="K29" s="175"/>
      <c r="L29" s="175"/>
      <c r="M29" s="175"/>
      <c r="N29" s="175"/>
      <c r="O29" s="175"/>
      <c r="P29" s="175"/>
      <c r="Q29" s="175"/>
      <c r="R29" s="175"/>
    </row>
    <row r="30" spans="1:22" ht="15.75" x14ac:dyDescent="0.25">
      <c r="A30" s="27"/>
      <c r="B30" s="300">
        <v>10</v>
      </c>
      <c r="C30" s="301">
        <f t="shared" si="2"/>
        <v>43</v>
      </c>
      <c r="D30" s="219" t="s">
        <v>295</v>
      </c>
      <c r="E30" s="31">
        <v>232327.9</v>
      </c>
      <c r="F30" s="32"/>
      <c r="G30" s="31"/>
      <c r="H30" s="31"/>
      <c r="I30" s="128"/>
      <c r="J30" s="275">
        <f t="shared" si="3"/>
        <v>232327.9</v>
      </c>
      <c r="K30" s="175"/>
      <c r="L30" s="175"/>
      <c r="M30" s="175"/>
      <c r="N30" s="175"/>
      <c r="O30" s="175"/>
      <c r="P30" s="175"/>
      <c r="Q30" s="175"/>
      <c r="R30" s="175"/>
    </row>
    <row r="31" spans="1:22" ht="15.75" x14ac:dyDescent="0.25">
      <c r="A31" s="27"/>
      <c r="B31" s="354">
        <v>11</v>
      </c>
      <c r="C31" s="301">
        <f t="shared" si="2"/>
        <v>43</v>
      </c>
      <c r="D31" s="355" t="s">
        <v>101</v>
      </c>
      <c r="E31" s="31">
        <v>260795.92499999999</v>
      </c>
      <c r="F31" s="32"/>
      <c r="G31" s="31"/>
      <c r="H31" s="31"/>
      <c r="I31" s="128"/>
      <c r="J31" s="275">
        <f t="shared" si="3"/>
        <v>260795.92499999999</v>
      </c>
      <c r="K31" s="175"/>
      <c r="L31" s="175"/>
      <c r="M31" s="175"/>
      <c r="N31" s="175"/>
      <c r="O31" s="175"/>
      <c r="P31" s="175"/>
      <c r="Q31" s="175"/>
      <c r="R31" s="175"/>
    </row>
    <row r="32" spans="1:22" ht="15.75" x14ac:dyDescent="0.25">
      <c r="A32" s="27"/>
      <c r="B32" s="300">
        <v>12</v>
      </c>
      <c r="C32" s="301">
        <f t="shared" si="2"/>
        <v>43</v>
      </c>
      <c r="D32" s="355" t="s">
        <v>102</v>
      </c>
      <c r="E32" s="31">
        <v>260795.92499999999</v>
      </c>
      <c r="F32" s="32"/>
      <c r="G32" s="31"/>
      <c r="H32" s="31"/>
      <c r="I32" s="128"/>
      <c r="J32" s="275">
        <f t="shared" si="3"/>
        <v>260795.92499999999</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4"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FY2020-21</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Santa Clara</v>
      </c>
      <c r="E9" s="8"/>
      <c r="F9" s="162" t="s">
        <v>1</v>
      </c>
      <c r="G9" s="264">
        <f>IF(ISBLANK('1. Information'!D9),"",'1. Information'!D9)</f>
        <v>44592</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v>0</v>
      </c>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4412105.9199999981</v>
      </c>
      <c r="G20" s="351">
        <f>SUM(H27:H46)</f>
        <v>0</v>
      </c>
      <c r="H20" s="330">
        <f t="shared" ref="H20" si="1">SUM(I27:I46)</f>
        <v>0</v>
      </c>
      <c r="I20" s="330">
        <f>SUM(J27:J46)</f>
        <v>0</v>
      </c>
      <c r="J20" s="275">
        <f>SUM(K27:K46)</f>
        <v>0</v>
      </c>
      <c r="K20" s="326">
        <f t="shared" si="0"/>
        <v>4412105.9199999981</v>
      </c>
      <c r="L20" s="175"/>
      <c r="M20" s="175"/>
      <c r="U20" s="27"/>
      <c r="V20" s="27"/>
      <c r="W20" s="27"/>
    </row>
    <row r="21" spans="1:23" ht="30.95" customHeight="1" x14ac:dyDescent="0.25">
      <c r="B21" s="300">
        <v>7</v>
      </c>
      <c r="C21" s="359" t="s">
        <v>768</v>
      </c>
      <c r="D21" s="360"/>
      <c r="E21" s="361"/>
      <c r="F21" s="279">
        <f>SUM(F15:F17,F19:F20)</f>
        <v>4412105.9199999981</v>
      </c>
      <c r="G21" s="251">
        <f>SUM(G15:G17,G20)</f>
        <v>0</v>
      </c>
      <c r="H21" s="251">
        <f t="shared" ref="H21:J21" si="2">SUM(H15:H17,H20)</f>
        <v>0</v>
      </c>
      <c r="I21" s="251">
        <f t="shared" si="2"/>
        <v>0</v>
      </c>
      <c r="J21" s="251">
        <f t="shared" si="2"/>
        <v>0</v>
      </c>
      <c r="K21" s="250">
        <f>SUM(F21:J21)</f>
        <v>4412105.9199999981</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t="s">
        <v>789</v>
      </c>
      <c r="E27" s="144"/>
      <c r="F27" s="127" t="s">
        <v>154</v>
      </c>
      <c r="G27" s="126">
        <v>0</v>
      </c>
      <c r="H27" s="126"/>
      <c r="I27" s="126"/>
      <c r="J27" s="129"/>
      <c r="K27" s="126"/>
      <c r="L27" s="364">
        <f>SUM(G27:K27)</f>
        <v>0</v>
      </c>
      <c r="M27" s="175"/>
      <c r="U27" s="27"/>
      <c r="V27" s="27"/>
      <c r="W27" s="27"/>
    </row>
    <row r="28" spans="1:23" x14ac:dyDescent="0.25">
      <c r="B28" s="300">
        <v>9</v>
      </c>
      <c r="C28" s="301">
        <f t="shared" si="3"/>
        <v>43</v>
      </c>
      <c r="D28" s="144" t="s">
        <v>790</v>
      </c>
      <c r="E28" s="144"/>
      <c r="F28" s="127" t="s">
        <v>155</v>
      </c>
      <c r="G28" s="126">
        <v>4412105.9199999981</v>
      </c>
      <c r="H28" s="126"/>
      <c r="I28" s="126"/>
      <c r="J28" s="129"/>
      <c r="K28" s="126"/>
      <c r="L28" s="364">
        <f t="shared" ref="L28:L46" si="4">SUM(G28:K28)</f>
        <v>4412105.9199999981</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F29" sqref="F29"/>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FY2020-21</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Santa Clara</v>
      </c>
      <c r="E9" s="2"/>
      <c r="F9" s="365" t="s">
        <v>156</v>
      </c>
      <c r="G9" s="264">
        <f>IF(ISBLANK('1. Information'!D9),"",'1. Information'!D9)</f>
        <v>44592</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FY2020-21</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Santa Clara</v>
      </c>
      <c r="F9" s="226" t="s">
        <v>1</v>
      </c>
      <c r="G9" s="346">
        <f>IF(ISBLANK('1. Information'!D9),"",'1. Information'!D9)</f>
        <v>44592</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FY2020-21</v>
      </c>
      <c r="C6" s="1"/>
      <c r="D6" s="1"/>
    </row>
    <row r="7" spans="1:5" ht="18" x14ac:dyDescent="0.2">
      <c r="B7" s="382" t="s">
        <v>282</v>
      </c>
      <c r="C7" s="1"/>
      <c r="D7" s="1"/>
      <c r="E7" s="27"/>
    </row>
    <row r="8" spans="1:5" x14ac:dyDescent="0.2">
      <c r="D8" s="131"/>
    </row>
    <row r="9" spans="1:5" ht="34.5" customHeight="1" x14ac:dyDescent="0.2">
      <c r="B9" s="203">
        <v>1</v>
      </c>
      <c r="C9" s="209" t="s">
        <v>1</v>
      </c>
      <c r="D9" s="113">
        <v>44592</v>
      </c>
    </row>
    <row r="10" spans="1:5" ht="34.5" customHeight="1" x14ac:dyDescent="0.2">
      <c r="B10" s="203">
        <v>2</v>
      </c>
      <c r="C10" s="205" t="s">
        <v>303</v>
      </c>
      <c r="D10" s="151" t="s">
        <v>782</v>
      </c>
    </row>
    <row r="11" spans="1:5" ht="34.5" customHeight="1" x14ac:dyDescent="0.2">
      <c r="B11" s="203">
        <v>3</v>
      </c>
      <c r="C11" s="204" t="s">
        <v>0</v>
      </c>
      <c r="D11" s="135" t="s">
        <v>78</v>
      </c>
    </row>
    <row r="12" spans="1:5" ht="34.5" customHeight="1" x14ac:dyDescent="0.2">
      <c r="B12" s="203">
        <v>4</v>
      </c>
      <c r="C12" s="206" t="s">
        <v>113</v>
      </c>
      <c r="D12" s="182">
        <f>IF(ISBLANK(D11),"",VLOOKUP(D11,Info_County_Code,2))</f>
        <v>43</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95128</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135"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9">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FY2020-21</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Santa Clara</v>
      </c>
      <c r="F9" s="226" t="s">
        <v>1</v>
      </c>
      <c r="G9" s="346">
        <f>IF(ISBLANK('1. Information'!D9),"",'1. Information'!D9)</f>
        <v>44592</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Santa Clara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G9" sqref="G9"/>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FY2020-21</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Santa Clara</v>
      </c>
      <c r="F9" s="210" t="s">
        <v>1</v>
      </c>
      <c r="G9" s="185">
        <f>IF(ISBLANK('1. Information'!D9),"",'1. Information'!D9)</f>
        <v>44592</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676033.69</v>
      </c>
      <c r="E14" s="149">
        <v>257345.21</v>
      </c>
      <c r="F14" s="149">
        <v>297244.07</v>
      </c>
      <c r="G14" s="149">
        <v>0</v>
      </c>
      <c r="H14" s="149">
        <v>68471.820000000007</v>
      </c>
      <c r="I14" s="186">
        <f>SUM(D14:H14)</f>
        <v>1299094.79</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18703637.07</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18703637.07</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-2419649.98</v>
      </c>
      <c r="E27" s="188">
        <f>'3. CSS'!F21</f>
        <v>0</v>
      </c>
      <c r="F27" s="186">
        <f>'3. CSS'!F22</f>
        <v>2419649.98</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90797257.718904629</v>
      </c>
      <c r="E31" s="194">
        <f>'4. PEI'!F22</f>
        <v>20965975.646089993</v>
      </c>
      <c r="F31" s="194">
        <f>'5. INN'!F23</f>
        <v>4337437.34</v>
      </c>
      <c r="G31" s="194">
        <f>'6. WET'!F21</f>
        <v>2445331.9199999995</v>
      </c>
      <c r="H31" s="194">
        <f>'7. CFTN'!F21</f>
        <v>4412105.9199999981</v>
      </c>
      <c r="I31" s="194">
        <f t="shared" ref="I31:I35" si="0">SUM(D31:H31)</f>
        <v>122958108.54499462</v>
      </c>
    </row>
    <row r="32" spans="2:10" x14ac:dyDescent="0.2">
      <c r="B32" s="211">
        <v>10</v>
      </c>
      <c r="C32" s="223" t="s">
        <v>4</v>
      </c>
      <c r="D32" s="189">
        <f>'3. CSS'!G27</f>
        <v>69670516.25506641</v>
      </c>
      <c r="E32" s="189">
        <f>'4. PEI'!G22</f>
        <v>3604820.91341</v>
      </c>
      <c r="F32" s="189">
        <f>'5. INN'!G23</f>
        <v>0</v>
      </c>
      <c r="G32" s="189">
        <f>'6. WET'!G21</f>
        <v>0</v>
      </c>
      <c r="H32" s="189">
        <f>'7. CFTN'!G21</f>
        <v>0</v>
      </c>
      <c r="I32" s="194">
        <f t="shared" si="0"/>
        <v>73275337.168476403</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23062437.553499997</v>
      </c>
      <c r="E34" s="189">
        <f>'4. PEI'!I22</f>
        <v>2954276.6804999998</v>
      </c>
      <c r="F34" s="189">
        <f>'5. INN'!I23</f>
        <v>0</v>
      </c>
      <c r="G34" s="189">
        <f>'6. WET'!I21</f>
        <v>0</v>
      </c>
      <c r="H34" s="189">
        <f>'7. CFTN'!I21</f>
        <v>0</v>
      </c>
      <c r="I34" s="194">
        <f t="shared" si="0"/>
        <v>26016714.233999997</v>
      </c>
    </row>
    <row r="35" spans="2:9" x14ac:dyDescent="0.2">
      <c r="B35" s="211">
        <v>13</v>
      </c>
      <c r="C35" s="223" t="s">
        <v>12</v>
      </c>
      <c r="D35" s="189">
        <f>'3. CSS'!J27</f>
        <v>2080442.7092559198</v>
      </c>
      <c r="E35" s="189">
        <f>'4. PEI'!J22</f>
        <v>3179.31</v>
      </c>
      <c r="F35" s="189">
        <f>'5. INN'!J23</f>
        <v>0</v>
      </c>
      <c r="G35" s="189">
        <f>'6. WET'!J21</f>
        <v>0</v>
      </c>
      <c r="H35" s="189">
        <f>'7. CFTN'!J21</f>
        <v>0</v>
      </c>
      <c r="I35" s="194">
        <f t="shared" si="0"/>
        <v>2083622.0192559198</v>
      </c>
    </row>
    <row r="36" spans="2:9" ht="15.75" x14ac:dyDescent="0.25">
      <c r="B36" s="211">
        <v>14</v>
      </c>
      <c r="C36" s="224" t="s">
        <v>21</v>
      </c>
      <c r="D36" s="195">
        <f>SUM(D31:D35)</f>
        <v>185610654.23672697</v>
      </c>
      <c r="E36" s="195">
        <f t="shared" ref="E36:H36" si="1">SUM(E31:E35)</f>
        <v>27528252.549999993</v>
      </c>
      <c r="F36" s="195">
        <f t="shared" si="1"/>
        <v>4337437.34</v>
      </c>
      <c r="G36" s="195">
        <f t="shared" si="1"/>
        <v>2445331.9199999995</v>
      </c>
      <c r="H36" s="195">
        <f t="shared" si="1"/>
        <v>4412105.9199999981</v>
      </c>
      <c r="I36" s="196">
        <f>SUM(D36:H36)</f>
        <v>224333781.96672693</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593014.23999999976</v>
      </c>
      <c r="E40" s="154"/>
      <c r="F40" s="120"/>
      <c r="H40" s="120"/>
      <c r="I40" s="122"/>
    </row>
    <row r="41" spans="2:9" ht="15.75" x14ac:dyDescent="0.25">
      <c r="B41" s="211">
        <v>16</v>
      </c>
      <c r="C41" s="162" t="s">
        <v>19</v>
      </c>
      <c r="D41" s="197">
        <f>'3. CSS'!F16+'4. PEI'!F16+'5. INN'!F20+'6. WET'!F16+'7. CFTN'!F16</f>
        <v>165439.57</v>
      </c>
      <c r="E41" s="121"/>
      <c r="F41" s="120"/>
      <c r="G41" s="120"/>
      <c r="H41" s="120"/>
      <c r="I41" s="122"/>
    </row>
    <row r="42" spans="2:9" ht="15.75" x14ac:dyDescent="0.25">
      <c r="B42" s="211">
        <v>17</v>
      </c>
      <c r="C42" s="162" t="s">
        <v>20</v>
      </c>
      <c r="D42" s="198">
        <f>'3. CSS'!F17+'4. PEI'!F17+'5. INN'!F16+'5. INN'!F19+'6. WET'!F17+'7. CFTN'!F17</f>
        <v>3323625.8200000003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227314.9237915964</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disablePrompts="1"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70" zoomScaleNormal="70" zoomScaleSheetLayoutView="40" zoomScalePageLayoutView="70" workbookViewId="0">
      <selection activeCell="H25" sqref="H2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FY2020-21</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Santa Clara</v>
      </c>
      <c r="E9" s="123"/>
      <c r="F9" s="226" t="s">
        <v>1</v>
      </c>
      <c r="G9" s="227">
        <f>IF(ISBLANK('1. Information'!D9),"",'1. Information'!D9)</f>
        <v>44592</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240149.23999999973</v>
      </c>
      <c r="G15" s="136"/>
      <c r="H15" s="136"/>
      <c r="I15" s="136"/>
      <c r="J15" s="136"/>
      <c r="K15" s="241">
        <f>SUM(F15:J15)</f>
        <v>240149.23999999973</v>
      </c>
      <c r="L15" s="175"/>
    </row>
    <row r="16" spans="1:12" ht="15" customHeight="1" x14ac:dyDescent="0.25">
      <c r="A16" s="123"/>
      <c r="B16" s="234">
        <v>2</v>
      </c>
      <c r="C16" s="163" t="s">
        <v>7</v>
      </c>
      <c r="D16" s="242"/>
      <c r="E16" s="243"/>
      <c r="F16" s="136">
        <v>0</v>
      </c>
      <c r="G16" s="136"/>
      <c r="H16" s="136"/>
      <c r="I16" s="136"/>
      <c r="J16" s="136"/>
      <c r="K16" s="241">
        <f t="shared" ref="K16:K17" si="0">SUM(F16:J16)</f>
        <v>0</v>
      </c>
      <c r="L16" s="175"/>
    </row>
    <row r="17" spans="1:12" ht="15.75" customHeight="1" x14ac:dyDescent="0.25">
      <c r="A17" s="123"/>
      <c r="B17" s="234">
        <v>3</v>
      </c>
      <c r="C17" s="163" t="s">
        <v>117</v>
      </c>
      <c r="D17" s="242"/>
      <c r="E17" s="243"/>
      <c r="F17" s="136">
        <f>2958820.45-F15</f>
        <v>2718671.2100000004</v>
      </c>
      <c r="G17" s="136"/>
      <c r="H17" s="136"/>
      <c r="I17" s="136"/>
      <c r="J17" s="136"/>
      <c r="K17" s="241">
        <f t="shared" si="0"/>
        <v>2718671.2100000004</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f>2445331.92-25681.94</f>
        <v>2419649.98</v>
      </c>
      <c r="G22" s="246"/>
      <c r="H22" s="246"/>
      <c r="I22" s="246"/>
      <c r="J22" s="246"/>
      <c r="K22" s="241">
        <f t="shared" si="1"/>
        <v>2419649.98</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87838437.268904626</v>
      </c>
      <c r="G25" s="246">
        <f>SUM(H34:H133)</f>
        <v>69670516.25506641</v>
      </c>
      <c r="H25" s="246">
        <f>SUM(I34:I133)</f>
        <v>0</v>
      </c>
      <c r="I25" s="246">
        <f>SUM(J34:J133)</f>
        <v>23062437.553499997</v>
      </c>
      <c r="J25" s="246">
        <f>SUM(K34:K133)</f>
        <v>2080442.7092559198</v>
      </c>
      <c r="K25" s="246">
        <f>SUM(F25:J25)</f>
        <v>182651833.78672695</v>
      </c>
      <c r="L25" s="175"/>
    </row>
    <row r="26" spans="1:12" ht="30.95" customHeight="1" x14ac:dyDescent="0.25">
      <c r="A26" s="123"/>
      <c r="B26" s="234">
        <v>12</v>
      </c>
      <c r="C26" s="247" t="s">
        <v>190</v>
      </c>
      <c r="D26" s="248"/>
      <c r="E26" s="249"/>
      <c r="F26" s="250">
        <f t="shared" ref="F26" si="2">SUM(F15:F17,F19:F25)</f>
        <v>93216907.698904634</v>
      </c>
      <c r="G26" s="250">
        <f>SUM(G15:G17,G25)</f>
        <v>69670516.25506641</v>
      </c>
      <c r="H26" s="251">
        <f>SUM(H15:H17,H25)</f>
        <v>0</v>
      </c>
      <c r="I26" s="250">
        <f>SUM(I15:I17,I25)</f>
        <v>23062437.553499997</v>
      </c>
      <c r="J26" s="250">
        <f>SUM(J15:J17,J25)</f>
        <v>2080442.7092559198</v>
      </c>
      <c r="K26" s="250">
        <f>SUM(F26:J26)</f>
        <v>188030304.21672696</v>
      </c>
      <c r="L26" s="175"/>
    </row>
    <row r="27" spans="1:12" ht="30.95" customHeight="1" x14ac:dyDescent="0.25">
      <c r="A27" s="123"/>
      <c r="B27" s="234">
        <v>13</v>
      </c>
      <c r="C27" s="252" t="s">
        <v>675</v>
      </c>
      <c r="D27" s="252"/>
      <c r="E27" s="252"/>
      <c r="F27" s="250">
        <f>SUM(F15:F17,F19,F20,F25)</f>
        <v>90797257.718904629</v>
      </c>
      <c r="G27" s="250">
        <f>SUM(G15:G17,G25)</f>
        <v>69670516.25506641</v>
      </c>
      <c r="H27" s="250">
        <f t="shared" ref="H27:J27" si="3">SUM(H15:H17,H25)</f>
        <v>0</v>
      </c>
      <c r="I27" s="250">
        <f t="shared" si="3"/>
        <v>23062437.553499997</v>
      </c>
      <c r="J27" s="250">
        <f t="shared" si="3"/>
        <v>2080442.7092559198</v>
      </c>
      <c r="K27" s="250">
        <f>SUM(F27:J27)</f>
        <v>185610654.23672697</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43</v>
      </c>
      <c r="D34" s="144" t="s">
        <v>816</v>
      </c>
      <c r="E34" s="144"/>
      <c r="F34" s="127" t="s">
        <v>95</v>
      </c>
      <c r="G34" s="126">
        <v>548991.39051999943</v>
      </c>
      <c r="H34" s="126">
        <v>2660679.3754800004</v>
      </c>
      <c r="I34" s="126"/>
      <c r="J34" s="129">
        <v>2180884.7340000002</v>
      </c>
      <c r="K34" s="126"/>
      <c r="L34" s="246">
        <f>SUM(G34:K34)</f>
        <v>5390555.5</v>
      </c>
    </row>
    <row r="35" spans="1:12" x14ac:dyDescent="0.25">
      <c r="A35" s="123"/>
      <c r="B35" s="262">
        <v>15</v>
      </c>
      <c r="C35" s="263">
        <f t="shared" si="4"/>
        <v>43</v>
      </c>
      <c r="D35" s="144" t="s">
        <v>817</v>
      </c>
      <c r="E35" s="144"/>
      <c r="F35" s="127" t="s">
        <v>95</v>
      </c>
      <c r="G35" s="126">
        <v>1400977.8612700002</v>
      </c>
      <c r="H35" s="126">
        <v>3116492.5272300001</v>
      </c>
      <c r="I35" s="126"/>
      <c r="J35" s="129">
        <v>2554502.0714999996</v>
      </c>
      <c r="K35" s="126"/>
      <c r="L35" s="246">
        <f t="shared" ref="L35:L98" si="5">SUM(G35:K35)</f>
        <v>7071972.46</v>
      </c>
    </row>
    <row r="36" spans="1:12" x14ac:dyDescent="0.25">
      <c r="A36" s="123"/>
      <c r="B36" s="262">
        <v>16</v>
      </c>
      <c r="C36" s="263">
        <f t="shared" si="4"/>
        <v>43</v>
      </c>
      <c r="D36" s="144" t="s">
        <v>818</v>
      </c>
      <c r="E36" s="144"/>
      <c r="F36" s="127" t="s">
        <v>95</v>
      </c>
      <c r="G36" s="126">
        <v>1221039.3621336669</v>
      </c>
      <c r="H36" s="126">
        <v>829622.37831229868</v>
      </c>
      <c r="I36" s="126"/>
      <c r="J36" s="129">
        <v>680018.34287893341</v>
      </c>
      <c r="K36" s="126"/>
      <c r="L36" s="246">
        <f t="shared" si="5"/>
        <v>2730680.083324899</v>
      </c>
    </row>
    <row r="37" spans="1:12" x14ac:dyDescent="0.25">
      <c r="A37" s="123"/>
      <c r="B37" s="262">
        <v>17</v>
      </c>
      <c r="C37" s="263">
        <f t="shared" si="4"/>
        <v>43</v>
      </c>
      <c r="D37" s="144" t="s">
        <v>818</v>
      </c>
      <c r="E37" s="144"/>
      <c r="F37" s="127" t="s">
        <v>96</v>
      </c>
      <c r="G37" s="126">
        <v>814027.96645633271</v>
      </c>
      <c r="H37" s="126">
        <v>553082.75759770127</v>
      </c>
      <c r="I37" s="126"/>
      <c r="J37" s="129">
        <v>453346.52262106672</v>
      </c>
      <c r="K37" s="126"/>
      <c r="L37" s="246">
        <f t="shared" si="5"/>
        <v>1820457.2466751006</v>
      </c>
    </row>
    <row r="38" spans="1:12" x14ac:dyDescent="0.25">
      <c r="A38" s="123"/>
      <c r="B38" s="262">
        <v>18</v>
      </c>
      <c r="C38" s="263">
        <f t="shared" si="4"/>
        <v>43</v>
      </c>
      <c r="D38" s="144" t="s">
        <v>819</v>
      </c>
      <c r="E38" s="144"/>
      <c r="F38" s="127" t="s">
        <v>96</v>
      </c>
      <c r="G38" s="126">
        <v>416021.57999999955</v>
      </c>
      <c r="H38" s="126"/>
      <c r="I38" s="126"/>
      <c r="J38" s="129"/>
      <c r="K38" s="126"/>
      <c r="L38" s="246">
        <f t="shared" si="5"/>
        <v>416021.57999999955</v>
      </c>
    </row>
    <row r="39" spans="1:12" x14ac:dyDescent="0.25">
      <c r="A39" s="123"/>
      <c r="B39" s="262">
        <v>19</v>
      </c>
      <c r="C39" s="263">
        <f t="shared" si="4"/>
        <v>43</v>
      </c>
      <c r="D39" s="144" t="s">
        <v>820</v>
      </c>
      <c r="E39" s="144"/>
      <c r="F39" s="127" t="s">
        <v>96</v>
      </c>
      <c r="G39" s="126">
        <v>131662.44025999977</v>
      </c>
      <c r="H39" s="126">
        <v>504437.81274000008</v>
      </c>
      <c r="I39" s="126"/>
      <c r="J39" s="129">
        <v>413473.61700000003</v>
      </c>
      <c r="K39" s="126">
        <v>267</v>
      </c>
      <c r="L39" s="246">
        <f t="shared" si="5"/>
        <v>1049840.8699999999</v>
      </c>
    </row>
    <row r="40" spans="1:12" x14ac:dyDescent="0.25">
      <c r="A40" s="123"/>
      <c r="B40" s="262">
        <v>20</v>
      </c>
      <c r="C40" s="263">
        <f t="shared" si="4"/>
        <v>43</v>
      </c>
      <c r="D40" s="144" t="s">
        <v>821</v>
      </c>
      <c r="E40" s="144"/>
      <c r="F40" s="127" t="s">
        <v>96</v>
      </c>
      <c r="G40" s="126">
        <v>1152406.4199999985</v>
      </c>
      <c r="H40" s="126"/>
      <c r="I40" s="126"/>
      <c r="J40" s="129"/>
      <c r="K40" s="126"/>
      <c r="L40" s="246">
        <f t="shared" si="5"/>
        <v>1152406.4199999985</v>
      </c>
    </row>
    <row r="41" spans="1:12" x14ac:dyDescent="0.25">
      <c r="A41" s="123"/>
      <c r="B41" s="262">
        <v>21</v>
      </c>
      <c r="C41" s="263">
        <f t="shared" si="4"/>
        <v>43</v>
      </c>
      <c r="D41" s="144" t="s">
        <v>822</v>
      </c>
      <c r="E41" s="144"/>
      <c r="F41" s="127" t="s">
        <v>96</v>
      </c>
      <c r="G41" s="126">
        <v>294.85033999999723</v>
      </c>
      <c r="H41" s="126">
        <v>69443.196660000001</v>
      </c>
      <c r="I41" s="126"/>
      <c r="J41" s="129">
        <v>56920.652999999998</v>
      </c>
      <c r="K41" s="126"/>
      <c r="L41" s="246">
        <f t="shared" si="5"/>
        <v>126658.69999999998</v>
      </c>
    </row>
    <row r="42" spans="1:12" x14ac:dyDescent="0.25">
      <c r="A42" s="123"/>
      <c r="B42" s="262">
        <v>22</v>
      </c>
      <c r="C42" s="263">
        <f t="shared" si="4"/>
        <v>43</v>
      </c>
      <c r="D42" s="144" t="s">
        <v>823</v>
      </c>
      <c r="E42" s="144"/>
      <c r="F42" s="127" t="s">
        <v>96</v>
      </c>
      <c r="G42" s="126">
        <v>2941513.3599999985</v>
      </c>
      <c r="H42" s="126"/>
      <c r="I42" s="126"/>
      <c r="J42" s="129"/>
      <c r="K42" s="126">
        <v>65</v>
      </c>
      <c r="L42" s="246">
        <f t="shared" si="5"/>
        <v>2941578.3599999985</v>
      </c>
    </row>
    <row r="43" spans="1:12" ht="30.75" x14ac:dyDescent="0.25">
      <c r="A43" s="123"/>
      <c r="B43" s="262">
        <v>23</v>
      </c>
      <c r="C43" s="263">
        <f t="shared" si="4"/>
        <v>43</v>
      </c>
      <c r="D43" s="144" t="s">
        <v>824</v>
      </c>
      <c r="E43" s="144"/>
      <c r="F43" s="127" t="s">
        <v>96</v>
      </c>
      <c r="G43" s="126">
        <v>1860143.6235099919</v>
      </c>
      <c r="H43" s="126">
        <v>19432641.996990003</v>
      </c>
      <c r="I43" s="126"/>
      <c r="J43" s="129">
        <v>15928395.079499999</v>
      </c>
      <c r="K43" s="126">
        <v>487.08000000000004</v>
      </c>
      <c r="L43" s="246">
        <f t="shared" si="5"/>
        <v>37221667.779999994</v>
      </c>
    </row>
    <row r="44" spans="1:12" x14ac:dyDescent="0.25">
      <c r="A44" s="123"/>
      <c r="B44" s="262">
        <v>24</v>
      </c>
      <c r="C44" s="263" t="str">
        <f t="shared" si="4"/>
        <v/>
      </c>
      <c r="D44" s="144" t="s">
        <v>825</v>
      </c>
      <c r="E44" s="144"/>
      <c r="F44" s="127" t="s">
        <v>96</v>
      </c>
      <c r="G44" s="126">
        <v>0</v>
      </c>
      <c r="H44" s="126"/>
      <c r="I44" s="126"/>
      <c r="J44" s="129"/>
      <c r="K44" s="126"/>
      <c r="L44" s="246">
        <f t="shared" si="5"/>
        <v>0</v>
      </c>
    </row>
    <row r="45" spans="1:12" x14ac:dyDescent="0.25">
      <c r="A45" s="123"/>
      <c r="B45" s="262">
        <v>25</v>
      </c>
      <c r="C45" s="263">
        <f t="shared" si="4"/>
        <v>43</v>
      </c>
      <c r="D45" s="144" t="s">
        <v>826</v>
      </c>
      <c r="E45" s="144"/>
      <c r="F45" s="127" t="s">
        <v>96</v>
      </c>
      <c r="G45" s="126">
        <v>704592.80787999928</v>
      </c>
      <c r="H45" s="126">
        <v>558650.25612000003</v>
      </c>
      <c r="I45" s="126"/>
      <c r="J45" s="129">
        <v>457910.04600000003</v>
      </c>
      <c r="K45" s="126"/>
      <c r="L45" s="246">
        <f t="shared" si="5"/>
        <v>1721153.1099999994</v>
      </c>
    </row>
    <row r="46" spans="1:12" x14ac:dyDescent="0.25">
      <c r="A46" s="123"/>
      <c r="B46" s="262">
        <v>26</v>
      </c>
      <c r="C46" s="263">
        <f t="shared" si="4"/>
        <v>43</v>
      </c>
      <c r="D46" s="144" t="s">
        <v>827</v>
      </c>
      <c r="E46" s="144"/>
      <c r="F46" s="127" t="s">
        <v>96</v>
      </c>
      <c r="G46" s="126">
        <v>399118.51782999991</v>
      </c>
      <c r="H46" s="126">
        <v>209299.56867000004</v>
      </c>
      <c r="I46" s="126"/>
      <c r="J46" s="129">
        <v>171557.02350000001</v>
      </c>
      <c r="K46" s="126"/>
      <c r="L46" s="246">
        <f t="shared" si="5"/>
        <v>779975.11</v>
      </c>
    </row>
    <row r="47" spans="1:12" x14ac:dyDescent="0.25">
      <c r="A47" s="123"/>
      <c r="B47" s="262">
        <v>27</v>
      </c>
      <c r="C47" s="263">
        <f t="shared" si="4"/>
        <v>43</v>
      </c>
      <c r="D47" s="144" t="s">
        <v>828</v>
      </c>
      <c r="E47" s="144"/>
      <c r="F47" s="127" t="s">
        <v>96</v>
      </c>
      <c r="G47" s="126">
        <v>715874.95102999988</v>
      </c>
      <c r="H47" s="126">
        <v>201823.94547000004</v>
      </c>
      <c r="I47" s="126"/>
      <c r="J47" s="129">
        <v>165429.46350000001</v>
      </c>
      <c r="K47" s="126"/>
      <c r="L47" s="246">
        <f t="shared" si="5"/>
        <v>1083128.3599999999</v>
      </c>
    </row>
    <row r="48" spans="1:12" x14ac:dyDescent="0.25">
      <c r="A48" s="123"/>
      <c r="B48" s="262">
        <v>28</v>
      </c>
      <c r="C48" s="263">
        <f t="shared" si="4"/>
        <v>43</v>
      </c>
      <c r="D48" s="144" t="s">
        <v>829</v>
      </c>
      <c r="E48" s="144"/>
      <c r="F48" s="127" t="s">
        <v>95</v>
      </c>
      <c r="G48" s="126">
        <v>11241034.566659998</v>
      </c>
      <c r="H48" s="126">
        <v>6185873.3133399999</v>
      </c>
      <c r="I48" s="126"/>
      <c r="J48" s="129"/>
      <c r="K48" s="126"/>
      <c r="L48" s="246">
        <f t="shared" si="5"/>
        <v>17426907.879999999</v>
      </c>
    </row>
    <row r="49" spans="1:12" x14ac:dyDescent="0.25">
      <c r="A49" s="123"/>
      <c r="B49" s="262">
        <v>29</v>
      </c>
      <c r="C49" s="263">
        <f t="shared" si="4"/>
        <v>43</v>
      </c>
      <c r="D49" s="144" t="s">
        <v>830</v>
      </c>
      <c r="E49" s="144"/>
      <c r="F49" s="127" t="s">
        <v>95</v>
      </c>
      <c r="G49" s="126">
        <v>5062594</v>
      </c>
      <c r="H49" s="126">
        <v>1180023</v>
      </c>
      <c r="I49" s="126"/>
      <c r="J49" s="129"/>
      <c r="K49" s="126"/>
      <c r="L49" s="246">
        <f t="shared" si="5"/>
        <v>6242617</v>
      </c>
    </row>
    <row r="50" spans="1:12" ht="30.75" x14ac:dyDescent="0.25">
      <c r="A50" s="123"/>
      <c r="B50" s="262">
        <v>30</v>
      </c>
      <c r="C50" s="263">
        <f t="shared" si="4"/>
        <v>43</v>
      </c>
      <c r="D50" s="144" t="s">
        <v>831</v>
      </c>
      <c r="E50" s="144"/>
      <c r="F50" s="127" t="s">
        <v>96</v>
      </c>
      <c r="G50" s="126">
        <v>4407326.2306199986</v>
      </c>
      <c r="H50" s="126">
        <v>1298552.9793800001</v>
      </c>
      <c r="I50" s="126"/>
      <c r="J50" s="129"/>
      <c r="K50" s="126"/>
      <c r="L50" s="246">
        <f t="shared" si="5"/>
        <v>5705879.209999999</v>
      </c>
    </row>
    <row r="51" spans="1:12" ht="30.75" x14ac:dyDescent="0.25">
      <c r="A51" s="123"/>
      <c r="B51" s="262">
        <v>31</v>
      </c>
      <c r="C51" s="263">
        <f t="shared" si="4"/>
        <v>43</v>
      </c>
      <c r="D51" s="144" t="s">
        <v>832</v>
      </c>
      <c r="E51" s="144"/>
      <c r="F51" s="127" t="s">
        <v>95</v>
      </c>
      <c r="G51" s="126">
        <v>5304518.8100079857</v>
      </c>
      <c r="H51" s="126">
        <v>6257955.0290317116</v>
      </c>
      <c r="I51" s="126"/>
      <c r="J51" s="129"/>
      <c r="K51" s="126">
        <v>1511.515907182262</v>
      </c>
      <c r="L51" s="246">
        <f t="shared" si="5"/>
        <v>11563985.35494688</v>
      </c>
    </row>
    <row r="52" spans="1:12" ht="30.75" x14ac:dyDescent="0.25">
      <c r="A52" s="123"/>
      <c r="B52" s="262">
        <v>32</v>
      </c>
      <c r="C52" s="263">
        <f t="shared" si="4"/>
        <v>43</v>
      </c>
      <c r="D52" s="144" t="s">
        <v>832</v>
      </c>
      <c r="E52" s="144"/>
      <c r="F52" s="127" t="s">
        <v>96</v>
      </c>
      <c r="G52" s="126">
        <v>10979464.33530101</v>
      </c>
      <c r="H52" s="126">
        <v>12969062.706428289</v>
      </c>
      <c r="I52" s="126"/>
      <c r="J52" s="129"/>
      <c r="K52" s="126">
        <v>3132.4840928177377</v>
      </c>
      <c r="L52" s="246">
        <f t="shared" si="5"/>
        <v>23951659.525822118</v>
      </c>
    </row>
    <row r="53" spans="1:12" x14ac:dyDescent="0.25">
      <c r="A53" s="123"/>
      <c r="B53" s="262">
        <v>33</v>
      </c>
      <c r="C53" s="263">
        <f t="shared" si="4"/>
        <v>43</v>
      </c>
      <c r="D53" s="144" t="s">
        <v>833</v>
      </c>
      <c r="E53" s="144"/>
      <c r="F53" s="127" t="s">
        <v>96</v>
      </c>
      <c r="G53" s="126">
        <v>1104980.6192399999</v>
      </c>
      <c r="H53" s="126">
        <v>909718.38076000009</v>
      </c>
      <c r="I53" s="126"/>
      <c r="J53" s="129"/>
      <c r="K53" s="126"/>
      <c r="L53" s="246">
        <f t="shared" si="5"/>
        <v>2014699</v>
      </c>
    </row>
    <row r="54" spans="1:12" x14ac:dyDescent="0.25">
      <c r="A54" s="123"/>
      <c r="B54" s="262">
        <v>34</v>
      </c>
      <c r="C54" s="263">
        <f t="shared" si="4"/>
        <v>43</v>
      </c>
      <c r="D54" s="144" t="s">
        <v>834</v>
      </c>
      <c r="E54" s="144"/>
      <c r="F54" s="127" t="s">
        <v>96</v>
      </c>
      <c r="G54" s="126">
        <v>6501367.2892835978</v>
      </c>
      <c r="H54" s="126">
        <v>1691322.0307164011</v>
      </c>
      <c r="I54" s="126"/>
      <c r="J54" s="129"/>
      <c r="K54" s="126"/>
      <c r="L54" s="246">
        <f t="shared" si="5"/>
        <v>8192689.3199999984</v>
      </c>
    </row>
    <row r="55" spans="1:12" ht="30.75" x14ac:dyDescent="0.25">
      <c r="A55" s="123"/>
      <c r="B55" s="262">
        <v>35</v>
      </c>
      <c r="C55" s="263">
        <f t="shared" si="4"/>
        <v>43</v>
      </c>
      <c r="D55" s="144" t="s">
        <v>835</v>
      </c>
      <c r="E55" s="144"/>
      <c r="F55" s="127" t="s">
        <v>96</v>
      </c>
      <c r="G55" s="126">
        <v>2249036.1237599994</v>
      </c>
      <c r="H55" s="126">
        <v>2782665.73624</v>
      </c>
      <c r="I55" s="126"/>
      <c r="J55" s="129"/>
      <c r="K55" s="126"/>
      <c r="L55" s="246">
        <f t="shared" si="5"/>
        <v>5031701.8599999994</v>
      </c>
    </row>
    <row r="56" spans="1:12" x14ac:dyDescent="0.25">
      <c r="A56" s="123"/>
      <c r="B56" s="262">
        <v>36</v>
      </c>
      <c r="C56" s="263">
        <f t="shared" si="4"/>
        <v>43</v>
      </c>
      <c r="D56" s="144" t="s">
        <v>836</v>
      </c>
      <c r="E56" s="144"/>
      <c r="F56" s="127" t="s">
        <v>96</v>
      </c>
      <c r="G56" s="126">
        <v>236642.27697599982</v>
      </c>
      <c r="H56" s="126">
        <v>795278.7703600002</v>
      </c>
      <c r="I56" s="126"/>
      <c r="J56" s="129"/>
      <c r="K56" s="126">
        <v>581698</v>
      </c>
      <c r="L56" s="246">
        <f t="shared" si="5"/>
        <v>1613619.047336</v>
      </c>
    </row>
    <row r="57" spans="1:12" x14ac:dyDescent="0.25">
      <c r="A57" s="123"/>
      <c r="B57" s="262">
        <v>37</v>
      </c>
      <c r="C57" s="263">
        <f t="shared" si="4"/>
        <v>43</v>
      </c>
      <c r="D57" s="144" t="s">
        <v>837</v>
      </c>
      <c r="E57" s="144"/>
      <c r="F57" s="127" t="s">
        <v>95</v>
      </c>
      <c r="G57" s="126">
        <v>2414687.1317840796</v>
      </c>
      <c r="H57" s="126">
        <v>2656756.9689600002</v>
      </c>
      <c r="I57" s="126"/>
      <c r="J57" s="129"/>
      <c r="K57" s="126">
        <v>725405.62925591995</v>
      </c>
      <c r="L57" s="246">
        <f t="shared" si="5"/>
        <v>5796849.7299999995</v>
      </c>
    </row>
    <row r="58" spans="1:12" x14ac:dyDescent="0.25">
      <c r="A58" s="123"/>
      <c r="B58" s="262">
        <v>38</v>
      </c>
      <c r="C58" s="263">
        <f t="shared" si="4"/>
        <v>43</v>
      </c>
      <c r="D58" s="144" t="s">
        <v>838</v>
      </c>
      <c r="E58" s="144"/>
      <c r="F58" s="127" t="s">
        <v>95</v>
      </c>
      <c r="G58" s="126">
        <v>1304913</v>
      </c>
      <c r="H58" s="126">
        <v>397377</v>
      </c>
      <c r="I58" s="126"/>
      <c r="J58" s="129"/>
      <c r="K58" s="126"/>
      <c r="L58" s="246">
        <f t="shared" si="5"/>
        <v>1702290</v>
      </c>
    </row>
    <row r="59" spans="1:12" ht="30.75" x14ac:dyDescent="0.25">
      <c r="A59" s="123"/>
      <c r="B59" s="262">
        <v>39</v>
      </c>
      <c r="C59" s="263">
        <f t="shared" si="4"/>
        <v>43</v>
      </c>
      <c r="D59" s="144" t="s">
        <v>839</v>
      </c>
      <c r="E59" s="144"/>
      <c r="F59" s="127" t="s">
        <v>95</v>
      </c>
      <c r="G59" s="126">
        <v>2956045.270115823</v>
      </c>
      <c r="H59" s="126"/>
      <c r="I59" s="126"/>
      <c r="J59" s="129"/>
      <c r="K59" s="126"/>
      <c r="L59" s="246">
        <f t="shared" si="5"/>
        <v>2956045.270115823</v>
      </c>
    </row>
    <row r="60" spans="1:12" ht="30.75" x14ac:dyDescent="0.25">
      <c r="A60" s="123"/>
      <c r="B60" s="262">
        <v>40</v>
      </c>
      <c r="C60" s="263">
        <f t="shared" si="4"/>
        <v>43</v>
      </c>
      <c r="D60" s="144" t="s">
        <v>839</v>
      </c>
      <c r="E60" s="144"/>
      <c r="F60" s="127" t="s">
        <v>96</v>
      </c>
      <c r="G60" s="126">
        <v>3947514.509884167</v>
      </c>
      <c r="H60" s="126"/>
      <c r="I60" s="126"/>
      <c r="J60" s="129"/>
      <c r="K60" s="126"/>
      <c r="L60" s="246">
        <f t="shared" si="5"/>
        <v>3947514.509884167</v>
      </c>
    </row>
    <row r="61" spans="1:12" x14ac:dyDescent="0.25">
      <c r="A61" s="123"/>
      <c r="B61" s="262">
        <v>41</v>
      </c>
      <c r="C61" s="263">
        <f t="shared" si="4"/>
        <v>43</v>
      </c>
      <c r="D61" s="144" t="s">
        <v>840</v>
      </c>
      <c r="E61" s="144"/>
      <c r="F61" s="127" t="s">
        <v>96</v>
      </c>
      <c r="G61" s="126">
        <v>1117647.6169799997</v>
      </c>
      <c r="H61" s="126">
        <v>548215.66302000009</v>
      </c>
      <c r="I61" s="126"/>
      <c r="J61" s="129"/>
      <c r="K61" s="126"/>
      <c r="L61" s="246">
        <f t="shared" si="5"/>
        <v>1665863.2799999998</v>
      </c>
    </row>
    <row r="62" spans="1:12" x14ac:dyDescent="0.25">
      <c r="A62" s="123"/>
      <c r="B62" s="262">
        <v>42</v>
      </c>
      <c r="C62" s="263">
        <f t="shared" si="4"/>
        <v>43</v>
      </c>
      <c r="D62" s="144" t="s">
        <v>841</v>
      </c>
      <c r="E62" s="144"/>
      <c r="F62" s="127" t="s">
        <v>96</v>
      </c>
      <c r="G62" s="126">
        <v>401166</v>
      </c>
      <c r="H62" s="126"/>
      <c r="I62" s="126"/>
      <c r="J62" s="129"/>
      <c r="K62" s="126">
        <v>767876</v>
      </c>
      <c r="L62" s="246">
        <f t="shared" si="5"/>
        <v>1169042</v>
      </c>
    </row>
    <row r="63" spans="1:12" x14ac:dyDescent="0.25">
      <c r="A63" s="123"/>
      <c r="B63" s="262">
        <v>43</v>
      </c>
      <c r="C63" s="263">
        <f t="shared" si="4"/>
        <v>43</v>
      </c>
      <c r="D63" s="144" t="s">
        <v>842</v>
      </c>
      <c r="E63" s="144"/>
      <c r="F63" s="127" t="s">
        <v>95</v>
      </c>
      <c r="G63" s="126">
        <v>1774201.4407290975</v>
      </c>
      <c r="H63" s="126">
        <v>335735.00738732109</v>
      </c>
      <c r="I63" s="126"/>
      <c r="J63" s="129"/>
      <c r="K63" s="126"/>
      <c r="L63" s="246">
        <f t="shared" si="5"/>
        <v>2109936.4481164184</v>
      </c>
    </row>
    <row r="64" spans="1:12" x14ac:dyDescent="0.25">
      <c r="A64" s="123"/>
      <c r="B64" s="262">
        <v>44</v>
      </c>
      <c r="C64" s="263">
        <f t="shared" si="4"/>
        <v>43</v>
      </c>
      <c r="D64" s="144" t="s">
        <v>842</v>
      </c>
      <c r="E64" s="144"/>
      <c r="F64" s="127" t="s">
        <v>96</v>
      </c>
      <c r="G64" s="126">
        <v>2450087.3592709024</v>
      </c>
      <c r="H64" s="126">
        <v>463633.99261267885</v>
      </c>
      <c r="I64" s="126"/>
      <c r="J64" s="129"/>
      <c r="K64" s="126"/>
      <c r="L64" s="246">
        <f t="shared" si="5"/>
        <v>2913721.3518835814</v>
      </c>
    </row>
    <row r="65" spans="1:12" x14ac:dyDescent="0.25">
      <c r="A65" s="123"/>
      <c r="B65" s="262">
        <v>45</v>
      </c>
      <c r="C65" s="263">
        <f t="shared" si="4"/>
        <v>43</v>
      </c>
      <c r="D65" s="144" t="s">
        <v>843</v>
      </c>
      <c r="E65" s="144"/>
      <c r="F65" s="127" t="s">
        <v>95</v>
      </c>
      <c r="G65" s="126">
        <v>242639.45467999997</v>
      </c>
      <c r="H65" s="126">
        <v>129699.40532000001</v>
      </c>
      <c r="I65" s="126"/>
      <c r="J65" s="129"/>
      <c r="K65" s="126"/>
      <c r="L65" s="246">
        <f t="shared" si="5"/>
        <v>372338.86</v>
      </c>
    </row>
    <row r="66" spans="1:12" x14ac:dyDescent="0.25">
      <c r="A66" s="123"/>
      <c r="B66" s="262">
        <v>46</v>
      </c>
      <c r="C66" s="263">
        <f t="shared" ref="C66:C97" si="6">IF(L66&lt;&gt;0,VLOOKUP($D$9,Info_County_Code,2,FALSE),"")</f>
        <v>43</v>
      </c>
      <c r="D66" s="144" t="s">
        <v>844</v>
      </c>
      <c r="E66" s="144"/>
      <c r="F66" s="127" t="s">
        <v>96</v>
      </c>
      <c r="G66" s="126">
        <v>1968038.0399999986</v>
      </c>
      <c r="H66" s="126"/>
      <c r="I66" s="126"/>
      <c r="J66" s="129"/>
      <c r="K66" s="126"/>
      <c r="L66" s="246">
        <f t="shared" si="5"/>
        <v>1968038.0399999986</v>
      </c>
    </row>
    <row r="67" spans="1:12" x14ac:dyDescent="0.25">
      <c r="A67" s="123"/>
      <c r="B67" s="262">
        <v>47</v>
      </c>
      <c r="C67" s="263">
        <f t="shared" si="6"/>
        <v>43</v>
      </c>
      <c r="D67" s="144" t="s">
        <v>845</v>
      </c>
      <c r="E67" s="144"/>
      <c r="F67" s="127" t="s">
        <v>96</v>
      </c>
      <c r="G67" s="126">
        <v>2987880.7620599987</v>
      </c>
      <c r="H67" s="126">
        <v>2118675.5779400002</v>
      </c>
      <c r="I67" s="126"/>
      <c r="J67" s="129"/>
      <c r="K67" s="126"/>
      <c r="L67" s="246">
        <f t="shared" si="5"/>
        <v>5106556.3399999989</v>
      </c>
    </row>
    <row r="68" spans="1:12" ht="30.75" x14ac:dyDescent="0.25">
      <c r="A68" s="123"/>
      <c r="B68" s="262">
        <v>48</v>
      </c>
      <c r="C68" s="263">
        <f t="shared" si="6"/>
        <v>43</v>
      </c>
      <c r="D68" s="144" t="s">
        <v>846</v>
      </c>
      <c r="E68" s="144"/>
      <c r="F68" s="127"/>
      <c r="G68" s="126">
        <v>192462.92645999993</v>
      </c>
      <c r="H68" s="126">
        <v>234291.71354000003</v>
      </c>
      <c r="I68" s="126"/>
      <c r="J68" s="129"/>
      <c r="K68" s="126"/>
      <c r="L68" s="246">
        <f t="shared" si="5"/>
        <v>426754.63999999996</v>
      </c>
    </row>
    <row r="69" spans="1:12" x14ac:dyDescent="0.25">
      <c r="A69" s="123"/>
      <c r="B69" s="262">
        <v>49</v>
      </c>
      <c r="C69" s="263">
        <f t="shared" si="6"/>
        <v>43</v>
      </c>
      <c r="D69" s="144" t="s">
        <v>847</v>
      </c>
      <c r="E69" s="144"/>
      <c r="F69" s="127" t="s">
        <v>96</v>
      </c>
      <c r="G69" s="126">
        <v>181158.78999999969</v>
      </c>
      <c r="H69" s="126"/>
      <c r="I69" s="126"/>
      <c r="J69" s="129"/>
      <c r="K69" s="126"/>
      <c r="L69" s="246">
        <f t="shared" si="5"/>
        <v>181158.78999999969</v>
      </c>
    </row>
    <row r="70" spans="1:12" x14ac:dyDescent="0.25">
      <c r="A70" s="123"/>
      <c r="B70" s="262">
        <v>50</v>
      </c>
      <c r="C70" s="263">
        <f t="shared" si="6"/>
        <v>43</v>
      </c>
      <c r="D70" s="144" t="s">
        <v>848</v>
      </c>
      <c r="E70" s="144"/>
      <c r="F70" s="127" t="s">
        <v>96</v>
      </c>
      <c r="G70" s="126">
        <v>2683014.3999999985</v>
      </c>
      <c r="H70" s="126"/>
      <c r="I70" s="126"/>
      <c r="J70" s="129"/>
      <c r="K70" s="126"/>
      <c r="L70" s="246">
        <f t="shared" si="5"/>
        <v>2683014.3999999985</v>
      </c>
    </row>
    <row r="71" spans="1:12" x14ac:dyDescent="0.25">
      <c r="A71" s="123"/>
      <c r="B71" s="262">
        <v>51</v>
      </c>
      <c r="C71" s="263">
        <f t="shared" si="6"/>
        <v>43</v>
      </c>
      <c r="D71" s="144" t="s">
        <v>849</v>
      </c>
      <c r="E71" s="144"/>
      <c r="F71" s="127" t="s">
        <v>95</v>
      </c>
      <c r="G71" s="126">
        <v>2775879.1838619993</v>
      </c>
      <c r="H71" s="126">
        <v>579505.16476000007</v>
      </c>
      <c r="I71" s="126"/>
      <c r="J71" s="129"/>
      <c r="K71" s="126"/>
      <c r="L71" s="246">
        <f t="shared" si="5"/>
        <v>3355384.3486219994</v>
      </c>
    </row>
    <row r="72" spans="1:12" ht="30.75" x14ac:dyDescent="0.25">
      <c r="A72" s="123"/>
      <c r="B72" s="262">
        <v>52</v>
      </c>
      <c r="C72" s="263">
        <f t="shared" si="6"/>
        <v>43</v>
      </c>
      <c r="D72" s="144" t="s">
        <v>850</v>
      </c>
      <c r="E72" s="144"/>
      <c r="F72" s="127" t="s">
        <v>96</v>
      </c>
      <c r="G72" s="126">
        <v>1047472</v>
      </c>
      <c r="H72" s="126"/>
      <c r="I72" s="126"/>
      <c r="J72" s="129"/>
      <c r="K72" s="126"/>
      <c r="L72" s="246">
        <f t="shared" si="5"/>
        <v>1047472</v>
      </c>
    </row>
    <row r="73" spans="1:12" x14ac:dyDescent="0.25">
      <c r="A73" s="123"/>
      <c r="B73" s="262">
        <v>53</v>
      </c>
      <c r="C73" s="263" t="str">
        <f t="shared" si="6"/>
        <v/>
      </c>
      <c r="D73" s="144" t="s">
        <v>859</v>
      </c>
      <c r="E73" s="144"/>
      <c r="F73" s="127" t="s">
        <v>96</v>
      </c>
      <c r="G73" s="126">
        <v>0</v>
      </c>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31" zoomScale="80" zoomScaleNormal="80" zoomScaleSheetLayoutView="40" zoomScalePageLayoutView="80" workbookViewId="0">
      <selection activeCell="D35" sqref="D35"/>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FY2020-21</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Santa Clara</v>
      </c>
      <c r="E9" s="27" t="str">
        <f>IF(ISBLANK('1. Information'!D11),"",'1. Information'!D11)</f>
        <v>Santa Clara</v>
      </c>
      <c r="F9" s="226" t="s">
        <v>1</v>
      </c>
      <c r="G9" s="264">
        <f>IF(ISBLANK('1. Information'!D9),"",'1. Information'!D9)</f>
        <v>44592</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214069</v>
      </c>
      <c r="G15" s="136"/>
      <c r="H15" s="136"/>
      <c r="I15" s="136"/>
      <c r="J15" s="136"/>
      <c r="K15" s="241">
        <f>SUM(F15:J15)</f>
        <v>214069</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411440.77-F15</f>
        <v>197371.77000000002</v>
      </c>
      <c r="G17" s="136"/>
      <c r="H17" s="136"/>
      <c r="I17" s="136"/>
      <c r="J17" s="136"/>
      <c r="K17" s="241">
        <f t="shared" si="0"/>
        <v>197371.77000000002</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20554534.876089994</v>
      </c>
      <c r="G21" s="275">
        <f>SUMIF($G$34:$G$133,"Combined Summary",M$34:M$133) + SUMIF($F$34:$F$133,"Standalone",M$34:M$133)</f>
        <v>3604820.91341</v>
      </c>
      <c r="H21" s="275">
        <f>SUMIF($G$34:$G$133,"Combined Summary",N$34:N$133) + SUMIF($F$34:$F$133,"Standalone",N$34:N$133)</f>
        <v>0</v>
      </c>
      <c r="I21" s="275">
        <f>SUMIF($G$34:$G$133,"Combined Summary",O$34:O$133) + SUMIF($F$34:$F$133,"Standalone",O$34:O$133)</f>
        <v>2954276.6804999998</v>
      </c>
      <c r="J21" s="275">
        <f>SUMIF($G$34:$G$133,"Combined Summary",P$34:P$133) + SUMIF($F$34:$F$133,"Standalone",P$34:P$133)</f>
        <v>3179.31</v>
      </c>
      <c r="K21" s="246">
        <f t="shared" si="0"/>
        <v>27116811.779999994</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20965975.646089993</v>
      </c>
      <c r="G22" s="279">
        <f t="shared" ref="G22:J22" si="2">SUM(G15:G17,G20:G21)</f>
        <v>3604820.91341</v>
      </c>
      <c r="H22" s="279">
        <f t="shared" si="2"/>
        <v>0</v>
      </c>
      <c r="I22" s="279">
        <f t="shared" si="2"/>
        <v>2954276.6804999998</v>
      </c>
      <c r="J22" s="279">
        <f t="shared" si="2"/>
        <v>3179.31</v>
      </c>
      <c r="K22" s="279">
        <f t="shared" si="0"/>
        <v>27528252.549999993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0.66508222275205076</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43</v>
      </c>
      <c r="D34" s="144" t="s">
        <v>796</v>
      </c>
      <c r="E34" s="144"/>
      <c r="F34" s="147" t="s">
        <v>125</v>
      </c>
      <c r="G34" s="148" t="s">
        <v>121</v>
      </c>
      <c r="H34" s="33"/>
      <c r="I34" s="36">
        <v>1</v>
      </c>
      <c r="J34" s="36">
        <v>0.6</v>
      </c>
      <c r="K34" s="302">
        <f>IF(OR(G34="Combined Summary",F34="Standalone"),(SUMPRODUCT(--(D$34:D$133=D34),I$34:I$133,J$34:J$133)),"")</f>
        <v>0.6</v>
      </c>
      <c r="L34" s="126">
        <v>0</v>
      </c>
      <c r="M34" s="133"/>
      <c r="N34" s="30"/>
      <c r="O34" s="30"/>
      <c r="P34" s="30"/>
      <c r="Q34" s="303">
        <f>SUM(L34:P34)</f>
        <v>0</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43</v>
      </c>
      <c r="D35" s="144" t="s">
        <v>797</v>
      </c>
      <c r="E35" s="144"/>
      <c r="F35" s="147" t="s">
        <v>125</v>
      </c>
      <c r="G35" s="148" t="s">
        <v>121</v>
      </c>
      <c r="H35" s="33"/>
      <c r="I35" s="36">
        <v>1</v>
      </c>
      <c r="J35" s="36">
        <v>0.6</v>
      </c>
      <c r="K35" s="302">
        <f t="shared" ref="K35:K98" si="4">IF(OR(G35="Combined Summary",F35="Standalone"),(SUMPRODUCT(--(D$34:D$133=D35),I$34:I$133,J$34:J$133)),"")</f>
        <v>0.6</v>
      </c>
      <c r="L35" s="126">
        <v>0</v>
      </c>
      <c r="M35" s="133"/>
      <c r="N35" s="30"/>
      <c r="O35" s="30"/>
      <c r="P35" s="30"/>
      <c r="Q35" s="303">
        <f t="shared" ref="Q35:Q98" si="5">SUM(L35:P35)</f>
        <v>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43</v>
      </c>
      <c r="D36" s="144" t="s">
        <v>798</v>
      </c>
      <c r="E36" s="144"/>
      <c r="F36" s="147" t="s">
        <v>125</v>
      </c>
      <c r="G36" s="148" t="s">
        <v>121</v>
      </c>
      <c r="H36" s="33"/>
      <c r="I36" s="36">
        <v>1</v>
      </c>
      <c r="J36" s="36">
        <v>0.96</v>
      </c>
      <c r="K36" s="302">
        <f t="shared" si="4"/>
        <v>0.96</v>
      </c>
      <c r="L36" s="126">
        <v>542652</v>
      </c>
      <c r="M36" s="133"/>
      <c r="N36" s="30"/>
      <c r="O36" s="30"/>
      <c r="P36" s="30"/>
      <c r="Q36" s="303">
        <f t="shared" si="5"/>
        <v>542652</v>
      </c>
      <c r="R36" s="178">
        <f t="shared" si="6"/>
        <v>1</v>
      </c>
      <c r="S36" s="180" t="str">
        <f t="shared" si="7"/>
        <v/>
      </c>
      <c r="AL36" s="27"/>
      <c r="AM36" s="27"/>
      <c r="AN36" s="27"/>
    </row>
    <row r="37" spans="2:40" x14ac:dyDescent="0.25">
      <c r="B37" s="300">
        <v>13</v>
      </c>
      <c r="C37" s="301">
        <f t="shared" si="3"/>
        <v>43</v>
      </c>
      <c r="D37" s="144" t="s">
        <v>799</v>
      </c>
      <c r="E37" s="144" t="s">
        <v>852</v>
      </c>
      <c r="F37" s="147" t="s">
        <v>125</v>
      </c>
      <c r="G37" s="148" t="s">
        <v>121</v>
      </c>
      <c r="H37" s="33"/>
      <c r="I37" s="36">
        <v>1</v>
      </c>
      <c r="J37" s="36">
        <v>0.19</v>
      </c>
      <c r="K37" s="302">
        <f t="shared" si="4"/>
        <v>0.19</v>
      </c>
      <c r="L37" s="126">
        <v>417660</v>
      </c>
      <c r="M37" s="133"/>
      <c r="N37" s="30"/>
      <c r="O37" s="30"/>
      <c r="P37" s="30"/>
      <c r="Q37" s="303">
        <f t="shared" si="5"/>
        <v>417660</v>
      </c>
      <c r="R37" s="178">
        <f t="shared" si="6"/>
        <v>1</v>
      </c>
      <c r="S37" s="180" t="str">
        <f t="shared" si="7"/>
        <v/>
      </c>
      <c r="AL37" s="27"/>
      <c r="AM37" s="27"/>
      <c r="AN37" s="27"/>
    </row>
    <row r="38" spans="2:40" ht="30.75" x14ac:dyDescent="0.25">
      <c r="B38" s="300">
        <v>14</v>
      </c>
      <c r="C38" s="301">
        <f t="shared" si="3"/>
        <v>43</v>
      </c>
      <c r="D38" s="144" t="s">
        <v>800</v>
      </c>
      <c r="E38" s="144"/>
      <c r="F38" s="147" t="s">
        <v>125</v>
      </c>
      <c r="G38" s="148" t="s">
        <v>122</v>
      </c>
      <c r="H38" s="33"/>
      <c r="I38" s="36">
        <v>1</v>
      </c>
      <c r="J38" s="36">
        <v>0.99</v>
      </c>
      <c r="K38" s="302">
        <f t="shared" si="4"/>
        <v>0.99</v>
      </c>
      <c r="L38" s="126">
        <v>794622.36583000002</v>
      </c>
      <c r="M38" s="133">
        <v>604957.28067000001</v>
      </c>
      <c r="N38" s="30"/>
      <c r="O38" s="30">
        <v>495866.62350000005</v>
      </c>
      <c r="P38" s="30"/>
      <c r="Q38" s="303">
        <f t="shared" si="5"/>
        <v>1895446.27</v>
      </c>
      <c r="R38" s="178">
        <f t="shared" si="6"/>
        <v>1</v>
      </c>
      <c r="S38" s="180" t="str">
        <f t="shared" si="7"/>
        <v/>
      </c>
      <c r="AL38" s="27"/>
      <c r="AM38" s="27"/>
      <c r="AN38" s="27"/>
    </row>
    <row r="39" spans="2:40" ht="30.75" x14ac:dyDescent="0.25">
      <c r="B39" s="300">
        <v>15</v>
      </c>
      <c r="C39" s="301">
        <f t="shared" si="3"/>
        <v>43</v>
      </c>
      <c r="D39" s="144" t="s">
        <v>801</v>
      </c>
      <c r="E39" s="144" t="s">
        <v>860</v>
      </c>
      <c r="F39" s="147" t="s">
        <v>125</v>
      </c>
      <c r="G39" s="148" t="s">
        <v>122</v>
      </c>
      <c r="H39" s="33"/>
      <c r="I39" s="36">
        <v>1</v>
      </c>
      <c r="J39" s="36">
        <v>0.3</v>
      </c>
      <c r="K39" s="302">
        <f t="shared" si="4"/>
        <v>0.3</v>
      </c>
      <c r="L39" s="126">
        <v>1362597.5300000003</v>
      </c>
      <c r="M39" s="133"/>
      <c r="N39" s="30"/>
      <c r="O39" s="30"/>
      <c r="P39" s="30"/>
      <c r="Q39" s="303">
        <f t="shared" si="5"/>
        <v>1362597.5300000003</v>
      </c>
      <c r="R39" s="178">
        <f t="shared" si="6"/>
        <v>1</v>
      </c>
      <c r="S39" s="180" t="str">
        <f t="shared" si="7"/>
        <v/>
      </c>
      <c r="AL39" s="27"/>
      <c r="AM39" s="27"/>
      <c r="AN39" s="27"/>
    </row>
    <row r="40" spans="2:40" x14ac:dyDescent="0.25">
      <c r="B40" s="300">
        <v>16</v>
      </c>
      <c r="C40" s="301">
        <f t="shared" si="3"/>
        <v>43</v>
      </c>
      <c r="D40" s="144" t="s">
        <v>802</v>
      </c>
      <c r="E40" s="144"/>
      <c r="F40" s="147" t="s">
        <v>125</v>
      </c>
      <c r="G40" s="148" t="s">
        <v>122</v>
      </c>
      <c r="H40" s="33"/>
      <c r="I40" s="36">
        <v>1</v>
      </c>
      <c r="J40" s="36">
        <v>0</v>
      </c>
      <c r="K40" s="302">
        <f t="shared" si="4"/>
        <v>0</v>
      </c>
      <c r="L40" s="126">
        <v>188273.19</v>
      </c>
      <c r="M40" s="133"/>
      <c r="N40" s="30"/>
      <c r="O40" s="30"/>
      <c r="P40" s="30"/>
      <c r="Q40" s="303">
        <f t="shared" si="5"/>
        <v>188273.19</v>
      </c>
      <c r="R40" s="178">
        <f t="shared" si="6"/>
        <v>1</v>
      </c>
      <c r="S40" s="180" t="str">
        <f t="shared" si="7"/>
        <v/>
      </c>
      <c r="AL40" s="27"/>
      <c r="AM40" s="27"/>
      <c r="AN40" s="27"/>
    </row>
    <row r="41" spans="2:40" x14ac:dyDescent="0.25">
      <c r="B41" s="300">
        <v>17</v>
      </c>
      <c r="C41" s="301">
        <f t="shared" si="3"/>
        <v>43</v>
      </c>
      <c r="D41" s="144" t="s">
        <v>803</v>
      </c>
      <c r="E41" s="144"/>
      <c r="F41" s="147" t="s">
        <v>125</v>
      </c>
      <c r="G41" s="148" t="s">
        <v>122</v>
      </c>
      <c r="H41" s="33"/>
      <c r="I41" s="36">
        <v>1</v>
      </c>
      <c r="J41" s="36">
        <v>1</v>
      </c>
      <c r="K41" s="302">
        <f t="shared" si="4"/>
        <v>1</v>
      </c>
      <c r="L41" s="126">
        <v>9142183.5934599992</v>
      </c>
      <c r="M41" s="133">
        <v>2999260.2695400002</v>
      </c>
      <c r="N41" s="30"/>
      <c r="O41" s="30">
        <v>2458410.0569999996</v>
      </c>
      <c r="P41" s="30">
        <v>3179.31</v>
      </c>
      <c r="Q41" s="303">
        <f t="shared" si="5"/>
        <v>14603033.23</v>
      </c>
      <c r="R41" s="178">
        <f t="shared" si="6"/>
        <v>1</v>
      </c>
      <c r="S41" s="180" t="str">
        <f t="shared" si="7"/>
        <v/>
      </c>
      <c r="AL41" s="27"/>
      <c r="AM41" s="27"/>
      <c r="AN41" s="27"/>
    </row>
    <row r="42" spans="2:40" ht="30.75" x14ac:dyDescent="0.25">
      <c r="B42" s="300">
        <v>18</v>
      </c>
      <c r="C42" s="301">
        <f t="shared" si="3"/>
        <v>43</v>
      </c>
      <c r="D42" s="144" t="s">
        <v>804</v>
      </c>
      <c r="E42" s="144" t="s">
        <v>853</v>
      </c>
      <c r="F42" s="147" t="s">
        <v>125</v>
      </c>
      <c r="G42" s="148" t="s">
        <v>127</v>
      </c>
      <c r="H42" s="33"/>
      <c r="I42" s="36">
        <v>1</v>
      </c>
      <c r="J42" s="36">
        <v>0</v>
      </c>
      <c r="K42" s="302">
        <f t="shared" si="4"/>
        <v>0</v>
      </c>
      <c r="L42" s="126">
        <v>268007.05</v>
      </c>
      <c r="M42" s="133"/>
      <c r="N42" s="30"/>
      <c r="O42" s="30"/>
      <c r="P42" s="30"/>
      <c r="Q42" s="303">
        <f t="shared" si="5"/>
        <v>268007.05</v>
      </c>
      <c r="R42" s="178">
        <f t="shared" si="6"/>
        <v>1</v>
      </c>
      <c r="S42" s="180" t="str">
        <f t="shared" si="7"/>
        <v/>
      </c>
      <c r="AL42" s="27"/>
      <c r="AM42" s="27"/>
      <c r="AN42" s="27"/>
    </row>
    <row r="43" spans="2:40" x14ac:dyDescent="0.25">
      <c r="B43" s="300">
        <v>19</v>
      </c>
      <c r="C43" s="301">
        <f t="shared" si="3"/>
        <v>43</v>
      </c>
      <c r="D43" s="144" t="s">
        <v>805</v>
      </c>
      <c r="E43" s="144"/>
      <c r="F43" s="147" t="s">
        <v>125</v>
      </c>
      <c r="G43" s="148" t="s">
        <v>127</v>
      </c>
      <c r="H43" s="33"/>
      <c r="I43" s="36">
        <v>1</v>
      </c>
      <c r="J43" s="36"/>
      <c r="K43" s="302">
        <f t="shared" si="4"/>
        <v>0</v>
      </c>
      <c r="L43" s="126"/>
      <c r="M43" s="133"/>
      <c r="N43" s="30"/>
      <c r="O43" s="30"/>
      <c r="P43" s="30"/>
      <c r="Q43" s="303">
        <f t="shared" si="5"/>
        <v>0</v>
      </c>
      <c r="R43" s="178">
        <f t="shared" si="6"/>
        <v>1</v>
      </c>
      <c r="S43" s="180" t="str">
        <f t="shared" si="7"/>
        <v/>
      </c>
      <c r="AL43" s="27"/>
      <c r="AM43" s="27"/>
      <c r="AN43" s="27"/>
    </row>
    <row r="44" spans="2:40" x14ac:dyDescent="0.25">
      <c r="B44" s="300">
        <v>20</v>
      </c>
      <c r="C44" s="301">
        <f t="shared" si="3"/>
        <v>43</v>
      </c>
      <c r="D44" s="144" t="s">
        <v>806</v>
      </c>
      <c r="E44" s="144" t="s">
        <v>854</v>
      </c>
      <c r="F44" s="147" t="s">
        <v>125</v>
      </c>
      <c r="G44" s="148" t="s">
        <v>127</v>
      </c>
      <c r="H44" s="33"/>
      <c r="I44" s="36">
        <v>1</v>
      </c>
      <c r="J44" s="36">
        <v>0</v>
      </c>
      <c r="K44" s="302">
        <f t="shared" si="4"/>
        <v>0</v>
      </c>
      <c r="L44" s="126">
        <v>133313</v>
      </c>
      <c r="M44" s="133"/>
      <c r="N44" s="30"/>
      <c r="O44" s="30"/>
      <c r="P44" s="30"/>
      <c r="Q44" s="303">
        <f t="shared" si="5"/>
        <v>133313</v>
      </c>
      <c r="R44" s="178">
        <f t="shared" si="6"/>
        <v>1</v>
      </c>
      <c r="S44" s="180" t="str">
        <f t="shared" si="7"/>
        <v/>
      </c>
      <c r="AL44" s="27"/>
      <c r="AM44" s="27"/>
      <c r="AN44" s="27"/>
    </row>
    <row r="45" spans="2:40" x14ac:dyDescent="0.25">
      <c r="B45" s="300">
        <v>21</v>
      </c>
      <c r="C45" s="301">
        <f t="shared" si="3"/>
        <v>43</v>
      </c>
      <c r="D45" s="144" t="s">
        <v>807</v>
      </c>
      <c r="E45" s="144"/>
      <c r="F45" s="147" t="s">
        <v>125</v>
      </c>
      <c r="G45" s="148" t="s">
        <v>128</v>
      </c>
      <c r="H45" s="33"/>
      <c r="I45" s="36">
        <v>1</v>
      </c>
      <c r="J45" s="36">
        <v>0.104</v>
      </c>
      <c r="K45" s="302">
        <f t="shared" si="4"/>
        <v>0.104</v>
      </c>
      <c r="L45" s="126">
        <v>401815.75679999992</v>
      </c>
      <c r="M45" s="133">
        <v>603.36320000000001</v>
      </c>
      <c r="N45" s="30"/>
      <c r="O45" s="30"/>
      <c r="P45" s="30"/>
      <c r="Q45" s="303">
        <f t="shared" si="5"/>
        <v>402419.11999999994</v>
      </c>
      <c r="R45" s="178">
        <f t="shared" si="6"/>
        <v>1</v>
      </c>
      <c r="S45" s="180" t="str">
        <f t="shared" si="7"/>
        <v/>
      </c>
      <c r="AL45" s="27"/>
      <c r="AM45" s="27"/>
      <c r="AN45" s="27"/>
    </row>
    <row r="46" spans="2:40" ht="30.75" x14ac:dyDescent="0.25">
      <c r="B46" s="300">
        <v>22</v>
      </c>
      <c r="C46" s="301">
        <f t="shared" si="3"/>
        <v>43</v>
      </c>
      <c r="D46" s="144" t="s">
        <v>808</v>
      </c>
      <c r="E46" s="144" t="s">
        <v>851</v>
      </c>
      <c r="F46" s="147" t="s">
        <v>125</v>
      </c>
      <c r="G46" s="148" t="s">
        <v>128</v>
      </c>
      <c r="H46" s="33"/>
      <c r="I46" s="36">
        <v>1</v>
      </c>
      <c r="J46" s="36">
        <v>0.5</v>
      </c>
      <c r="K46" s="302">
        <f t="shared" si="4"/>
        <v>0.5</v>
      </c>
      <c r="L46" s="126">
        <v>1301943.3799999985</v>
      </c>
      <c r="M46" s="133"/>
      <c r="N46" s="30"/>
      <c r="O46" s="30"/>
      <c r="P46" s="30"/>
      <c r="Q46" s="303">
        <f t="shared" si="5"/>
        <v>1301943.3799999985</v>
      </c>
      <c r="R46" s="178">
        <f t="shared" si="6"/>
        <v>1</v>
      </c>
      <c r="S46" s="180" t="str">
        <f t="shared" si="7"/>
        <v/>
      </c>
      <c r="AL46" s="27"/>
      <c r="AM46" s="27"/>
      <c r="AN46" s="27"/>
    </row>
    <row r="47" spans="2:40" x14ac:dyDescent="0.25">
      <c r="B47" s="300">
        <v>23</v>
      </c>
      <c r="C47" s="301">
        <f t="shared" si="3"/>
        <v>43</v>
      </c>
      <c r="D47" s="144" t="s">
        <v>809</v>
      </c>
      <c r="E47" s="144"/>
      <c r="F47" s="147" t="s">
        <v>125</v>
      </c>
      <c r="G47" s="148" t="s">
        <v>118</v>
      </c>
      <c r="H47" s="33"/>
      <c r="I47" s="36">
        <v>1</v>
      </c>
      <c r="J47" s="36">
        <v>1</v>
      </c>
      <c r="K47" s="302">
        <f t="shared" si="4"/>
        <v>1</v>
      </c>
      <c r="L47" s="126">
        <v>914025.65999999933</v>
      </c>
      <c r="M47" s="133"/>
      <c r="N47" s="30"/>
      <c r="O47" s="30"/>
      <c r="P47" s="30"/>
      <c r="Q47" s="303">
        <f t="shared" si="5"/>
        <v>914025.65999999933</v>
      </c>
      <c r="R47" s="178">
        <f t="shared" si="6"/>
        <v>1</v>
      </c>
      <c r="S47" s="180" t="str">
        <f t="shared" si="7"/>
        <v/>
      </c>
      <c r="AL47" s="27"/>
      <c r="AM47" s="27"/>
      <c r="AN47" s="27"/>
    </row>
    <row r="48" spans="2:40" x14ac:dyDescent="0.25">
      <c r="B48" s="300">
        <v>24</v>
      </c>
      <c r="C48" s="301">
        <f t="shared" si="3"/>
        <v>43</v>
      </c>
      <c r="D48" s="144" t="s">
        <v>810</v>
      </c>
      <c r="E48" s="144" t="s">
        <v>855</v>
      </c>
      <c r="F48" s="147" t="s">
        <v>125</v>
      </c>
      <c r="G48" s="148" t="s">
        <v>118</v>
      </c>
      <c r="H48" s="33"/>
      <c r="I48" s="36">
        <v>1</v>
      </c>
      <c r="J48" s="36">
        <v>1.2999999999999999E-2</v>
      </c>
      <c r="K48" s="302">
        <f t="shared" si="4"/>
        <v>1.2999999999999999E-2</v>
      </c>
      <c r="L48" s="126">
        <v>1059274.0299999986</v>
      </c>
      <c r="M48" s="133"/>
      <c r="N48" s="30"/>
      <c r="O48" s="30"/>
      <c r="P48" s="30"/>
      <c r="Q48" s="303">
        <f t="shared" si="5"/>
        <v>1059274.0299999986</v>
      </c>
      <c r="R48" s="178">
        <f t="shared" si="6"/>
        <v>1</v>
      </c>
      <c r="S48" s="180" t="str">
        <f t="shared" si="7"/>
        <v/>
      </c>
      <c r="AL48" s="27"/>
      <c r="AM48" s="27"/>
      <c r="AN48" s="27"/>
    </row>
    <row r="49" spans="2:40" x14ac:dyDescent="0.25">
      <c r="B49" s="300">
        <v>25</v>
      </c>
      <c r="C49" s="301">
        <f t="shared" si="3"/>
        <v>43</v>
      </c>
      <c r="D49" s="144" t="s">
        <v>811</v>
      </c>
      <c r="E49" s="144" t="s">
        <v>856</v>
      </c>
      <c r="F49" s="147" t="s">
        <v>125</v>
      </c>
      <c r="G49" s="148" t="s">
        <v>118</v>
      </c>
      <c r="H49" s="33"/>
      <c r="I49" s="36">
        <v>1</v>
      </c>
      <c r="J49" s="36">
        <v>5.6000000000000001E-2</v>
      </c>
      <c r="K49" s="302">
        <f t="shared" si="4"/>
        <v>5.6000000000000001E-2</v>
      </c>
      <c r="L49" s="126">
        <v>607215.45999999915</v>
      </c>
      <c r="M49" s="133"/>
      <c r="N49" s="30"/>
      <c r="O49" s="30"/>
      <c r="P49" s="30"/>
      <c r="Q49" s="303">
        <f t="shared" si="5"/>
        <v>607215.45999999915</v>
      </c>
      <c r="R49" s="178">
        <f t="shared" si="6"/>
        <v>1</v>
      </c>
      <c r="S49" s="180" t="str">
        <f t="shared" si="7"/>
        <v/>
      </c>
      <c r="AL49" s="27"/>
      <c r="AM49" s="27"/>
      <c r="AN49" s="27"/>
    </row>
    <row r="50" spans="2:40" x14ac:dyDescent="0.25">
      <c r="B50" s="300">
        <v>26</v>
      </c>
      <c r="C50" s="301">
        <f t="shared" si="3"/>
        <v>43</v>
      </c>
      <c r="D50" s="144" t="s">
        <v>812</v>
      </c>
      <c r="E50" s="144" t="s">
        <v>857</v>
      </c>
      <c r="F50" s="147" t="s">
        <v>125</v>
      </c>
      <c r="G50" s="148" t="s">
        <v>118</v>
      </c>
      <c r="H50" s="33"/>
      <c r="I50" s="36">
        <v>1</v>
      </c>
      <c r="J50" s="36">
        <v>0.14299999999999999</v>
      </c>
      <c r="K50" s="302">
        <f t="shared" si="4"/>
        <v>0.14299999999999999</v>
      </c>
      <c r="L50" s="126">
        <v>238755.07999999996</v>
      </c>
      <c r="M50" s="133"/>
      <c r="N50" s="30"/>
      <c r="O50" s="30"/>
      <c r="P50" s="30"/>
      <c r="Q50" s="303">
        <f t="shared" si="5"/>
        <v>238755.07999999996</v>
      </c>
      <c r="R50" s="178">
        <f t="shared" si="6"/>
        <v>1</v>
      </c>
      <c r="S50" s="180" t="str">
        <f t="shared" si="7"/>
        <v/>
      </c>
      <c r="AL50" s="27"/>
      <c r="AM50" s="27"/>
      <c r="AN50" s="27"/>
    </row>
    <row r="51" spans="2:40" x14ac:dyDescent="0.25">
      <c r="B51" s="300">
        <v>27</v>
      </c>
      <c r="C51" s="301">
        <f t="shared" si="3"/>
        <v>43</v>
      </c>
      <c r="D51" s="144" t="s">
        <v>813</v>
      </c>
      <c r="E51" s="144" t="s">
        <v>858</v>
      </c>
      <c r="F51" s="147" t="s">
        <v>125</v>
      </c>
      <c r="G51" s="148" t="s">
        <v>118</v>
      </c>
      <c r="H51" s="33"/>
      <c r="I51" s="36">
        <v>1</v>
      </c>
      <c r="J51" s="36">
        <v>9.4E-2</v>
      </c>
      <c r="K51" s="302">
        <f t="shared" si="4"/>
        <v>9.4E-2</v>
      </c>
      <c r="L51" s="126">
        <v>631964.30999999982</v>
      </c>
      <c r="M51" s="133"/>
      <c r="N51" s="30"/>
      <c r="O51" s="30"/>
      <c r="P51" s="30"/>
      <c r="Q51" s="303">
        <f t="shared" si="5"/>
        <v>631964.30999999982</v>
      </c>
      <c r="R51" s="178">
        <f t="shared" si="6"/>
        <v>1</v>
      </c>
      <c r="S51" s="180" t="str">
        <f t="shared" si="7"/>
        <v/>
      </c>
      <c r="AL51" s="27"/>
      <c r="AM51" s="27"/>
      <c r="AN51" s="27"/>
    </row>
    <row r="52" spans="2:40" x14ac:dyDescent="0.25">
      <c r="B52" s="300">
        <v>28</v>
      </c>
      <c r="C52" s="301">
        <f t="shared" si="3"/>
        <v>43</v>
      </c>
      <c r="D52" s="144" t="s">
        <v>814</v>
      </c>
      <c r="E52" s="144"/>
      <c r="F52" s="147" t="s">
        <v>125</v>
      </c>
      <c r="G52" s="148" t="s">
        <v>129</v>
      </c>
      <c r="H52" s="33"/>
      <c r="I52" s="36">
        <v>1</v>
      </c>
      <c r="J52" s="36">
        <v>0.58340000000000003</v>
      </c>
      <c r="K52" s="302">
        <f t="shared" si="4"/>
        <v>0.58340000000000003</v>
      </c>
      <c r="L52" s="126">
        <v>2032064.4699999993</v>
      </c>
      <c r="M52" s="133"/>
      <c r="N52" s="30"/>
      <c r="O52" s="30"/>
      <c r="P52" s="30"/>
      <c r="Q52" s="303">
        <f t="shared" si="5"/>
        <v>2032064.4699999993</v>
      </c>
      <c r="R52" s="178">
        <f t="shared" si="6"/>
        <v>1</v>
      </c>
      <c r="S52" s="180" t="str">
        <f t="shared" si="7"/>
        <v/>
      </c>
      <c r="AL52" s="27"/>
      <c r="AM52" s="27"/>
      <c r="AN52" s="27"/>
    </row>
    <row r="53" spans="2:40" x14ac:dyDescent="0.25">
      <c r="B53" s="300">
        <v>29</v>
      </c>
      <c r="C53" s="301">
        <f t="shared" si="3"/>
        <v>43</v>
      </c>
      <c r="D53" s="144" t="s">
        <v>815</v>
      </c>
      <c r="E53" s="144"/>
      <c r="F53" s="147" t="s">
        <v>125</v>
      </c>
      <c r="G53" s="148" t="s">
        <v>130</v>
      </c>
      <c r="H53" s="33"/>
      <c r="I53" s="36">
        <v>1</v>
      </c>
      <c r="J53" s="36">
        <v>0.14000000000000001</v>
      </c>
      <c r="K53" s="302">
        <f t="shared" si="4"/>
        <v>0.14000000000000001</v>
      </c>
      <c r="L53" s="126">
        <v>518168</v>
      </c>
      <c r="M53" s="133"/>
      <c r="N53" s="30"/>
      <c r="O53" s="30"/>
      <c r="P53" s="30"/>
      <c r="Q53" s="303">
        <f t="shared" si="5"/>
        <v>518168</v>
      </c>
      <c r="R53" s="178">
        <f t="shared" si="6"/>
        <v>1</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353" yWindow="76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DHCSDOC-1797567310-5643</_dlc_DocId>
    <_dlc_DocIdUrl xmlns="69bc34b3-1921-46c7-8c7a-d18363374b4b">
      <Url>https://dhcscagovauthoring/_layouts/15/DocIdRedir.aspx?ID=DHCSDOC-1797567310-5643</Url>
      <Description>DHCSDOC-1797567310-5643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97CC6C-76DF-4145-92E7-B594421E3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Santa-Clara-FY-2020-21</dc:title>
  <dc:creator>Donna Ures</dc:creator>
  <cp:keywords/>
  <cp:lastModifiedBy>Goodere, Amber</cp:lastModifiedBy>
  <cp:lastPrinted>2019-01-14T22:40:46Z</cp:lastPrinted>
  <dcterms:created xsi:type="dcterms:W3CDTF">2017-07-05T19:48:18Z</dcterms:created>
  <dcterms:modified xsi:type="dcterms:W3CDTF">2022-02-15T21:35:30Z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61330ea9-9be0-491c-9f83-3271efa68d97</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