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ipaa\HHShare\HHSA OD-BSS Restricted Access\Fiscal\MH Fiscal\RER\FY 2021 - 2022\"/>
    </mc:Choice>
  </mc:AlternateContent>
  <xr:revisionPtr revIDLastSave="0" documentId="13_ncr:1_{84B271C5-1796-40FC-8FAB-49F2A3659851}" xr6:coauthVersionLast="47" xr6:coauthVersionMax="47" xr10:uidLastSave="{00000000-0000-0000-0000-000000000000}"/>
  <bookViews>
    <workbookView xWindow="28680" yWindow="-120" windowWidth="29040" windowHeight="15840" tabRatio="584" firstSheet="3" activeTab="3"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state="hidden" r:id="rId17"/>
    <sheet name="9. Adjustment (FFP)" sheetId="10" r:id="rId18"/>
    <sheet name="Instructions 9. Adjust (FFP)" sheetId="32" state="hidden" r:id="rId19"/>
    <sheet name="10. Comments" sheetId="11" r:id="rId20"/>
    <sheet name="Instructions 10. Comments" sheetId="33" state="hidden"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CSS'!$B$1:$L$43</definedName>
    <definedName name="_xlnm.Print_Area" localSheetId="7">'4. PEI'!$B$1:$Q$39</definedName>
    <definedName name="_xlnm.Print_Area" localSheetId="9">'5. INN'!$B$1:$Q$36</definedName>
    <definedName name="_xlnm.Print_Area" localSheetId="11">'6. WET'!$B$1:$K$32</definedName>
    <definedName name="_xlnm.Print_Area" localSheetId="13">'7. CFTN'!$B$1:$L$33</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4" l="1"/>
  <c r="H39" i="4"/>
  <c r="H37" i="4"/>
  <c r="F19" i="5" l="1"/>
  <c r="L37" i="5" l="1"/>
  <c r="G34" i="4" l="1"/>
  <c r="G42" i="4" l="1"/>
  <c r="G41" i="4"/>
  <c r="G40" i="4"/>
  <c r="G39" i="4"/>
  <c r="G35" i="4"/>
  <c r="F17" i="4"/>
  <c r="L36" i="5" l="1"/>
  <c r="L34" i="5"/>
  <c r="F17" i="5" l="1"/>
  <c r="G37" i="4"/>
  <c r="F16" i="6" l="1"/>
  <c r="L35" i="5" l="1"/>
  <c r="G43" i="4" l="1"/>
  <c r="G38" i="4"/>
  <c r="G36"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<sst xmlns="http://schemas.openxmlformats.org/spreadsheetml/2006/main" count="1457" uniqueCount="805">
  <si>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</si>
  <si>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</si>
  <si>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</si>
  <si>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</si>
  <si>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</si>
  <si>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</si>
  <si>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</si>
  <si>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</si>
  <si>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</si>
  <si>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</si>
  <si>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</si>
  <si>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</si>
  <si>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</si>
  <si>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</si>
  <si>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</si>
  <si>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</si>
  <si>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</si>
  <si>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</si>
  <si>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</si>
  <si>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</si>
  <si>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</si>
  <si>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</si>
  <si>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</si>
  <si>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</si>
  <si>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</si>
  <si>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</si>
  <si>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</si>
  <si>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</si>
  <si>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</si>
  <si>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</si>
  <si>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</si>
  <si>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</si>
  <si>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</si>
  <si>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</si>
  <si>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</si>
  <si>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</si>
  <si>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</si>
  <si>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</si>
  <si>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</si>
  <si>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</si>
  <si>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</si>
  <si>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</si>
  <si>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</si>
  <si>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</si>
  <si>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</si>
  <si>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</si>
  <si>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</si>
  <si>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</si>
  <si>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</si>
  <si>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</si>
  <si>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</si>
  <si>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</si>
  <si>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</si>
  <si>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</si>
  <si>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</si>
  <si>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</si>
  <si>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</si>
  <si>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</si>
  <si>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</si>
  <si>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</si>
  <si>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</si>
  <si>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</si>
  <si>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</si>
  <si>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</si>
  <si>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</si>
  <si>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</si>
  <si>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</si>
  <si>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</si>
  <si>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</si>
  <si>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</si>
  <si>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</si>
  <si>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</si>
  <si>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</si>
  <si>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</si>
  <si>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</si>
  <si>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</si>
  <si>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</si>
  <si>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</si>
  <si>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</si>
  <si>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</si>
  <si>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</si>
  <si>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</si>
  <si>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</si>
  <si>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</si>
  <si>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</si>
  <si>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</si>
  <si>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</si>
  <si>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</si>
  <si>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</si>
  <si>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</si>
  <si>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</si>
  <si>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</si>
  <si>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</si>
  <si>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</si>
  <si>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</si>
  <si>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</si>
  <si>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</si>
  <si>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</si>
  <si>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</si>
  <si>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</si>
  <si>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</si>
  <si>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</si>
  <si>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</si>
  <si>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</si>
  <si>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</si>
  <si>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</si>
  <si>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</si>
  <si>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</si>
  <si>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</si>
  <si>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</si>
  <si>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</si>
  <si>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</si>
  <si>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</si>
  <si>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</si>
  <si>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</si>
  <si>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</si>
  <si>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</si>
  <si>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</si>
  <si>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</si>
  <si>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</si>
  <si>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</si>
  <si>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</si>
  <si>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</si>
  <si>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</si>
  <si>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</si>
  <si>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</si>
  <si>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</si>
  <si>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</si>
  <si>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</si>
  <si>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</si>
  <si>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</si>
  <si>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</si>
  <si>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</si>
  <si>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</si>
  <si>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</si>
  <si>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</si>
  <si>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</si>
  <si>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</si>
  <si>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</si>
  <si>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</si>
  <si>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</si>
  <si>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</si>
  <si>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</si>
  <si>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</si>
  <si>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</si>
  <si>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</si>
  <si>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</si>
  <si>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</si>
  <si>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</si>
  <si>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</si>
  <si>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</si>
  <si>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</si>
  <si>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</si>
  <si>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</si>
  <si>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</si>
  <si>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</si>
  <si>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</si>
  <si>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</si>
  <si>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</si>
  <si>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</si>
  <si>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</si>
  <si>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</si>
  <si>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</si>
  <si>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</si>
  <si>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</si>
  <si>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</si>
  <si>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</si>
  <si>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</si>
  <si>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</si>
  <si>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</si>
  <si>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</si>
  <si>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</si>
  <si>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</si>
  <si>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</si>
  <si>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</si>
  <si>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</si>
  <si>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</si>
  <si>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</si>
  <si>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</si>
  <si>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</si>
  <si>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</si>
  <si>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</si>
  <si>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</si>
  <si>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</si>
  <si>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</si>
  <si>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</si>
  <si>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</si>
  <si>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</si>
  <si>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</si>
  <si>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</si>
  <si>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</si>
  <si>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</si>
  <si>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</si>
  <si>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</si>
  <si>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</si>
  <si>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</si>
  <si>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</si>
  <si>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</si>
  <si>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</si>
  <si>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</si>
  <si>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</si>
  <si>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</si>
  <si>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</si>
  <si>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</si>
  <si>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</si>
  <si>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</si>
  <si>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</si>
  <si>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</si>
  <si>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</si>
  <si>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</si>
  <si>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</si>
  <si>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</si>
  <si>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</si>
  <si>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</si>
  <si>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</si>
  <si>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</si>
  <si>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</si>
  <si>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</si>
  <si>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</si>
  <si>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</si>
  <si>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</si>
  <si>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</si>
  <si>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</si>
  <si>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</si>
  <si>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</si>
  <si>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</si>
  <si>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</si>
  <si>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</si>
  <si>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</si>
  <si>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</si>
  <si>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</si>
  <si>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</si>
  <si>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</si>
  <si>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</si>
  <si>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</si>
  <si>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</si>
  <si>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</si>
  <si>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</si>
  <si>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</si>
  <si>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</si>
  <si>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</si>
  <si>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</si>
  <si>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</si>
  <si>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</si>
  <si>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</si>
  <si>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</si>
  <si>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</si>
  <si>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</si>
  <si>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</si>
  <si>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</si>
  <si>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</si>
  <si>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</si>
  <si>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</si>
  <si>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</si>
  <si>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</si>
  <si>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</si>
  <si>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</si>
  <si>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</si>
  <si>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</si>
  <si>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</si>
  <si>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</si>
  <si>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</si>
  <si>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</si>
  <si>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</si>
  <si>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</si>
  <si>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</si>
  <si>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</si>
  <si>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</si>
  <si>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</si>
  <si>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</si>
  <si>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</si>
  <si>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</si>
  <si>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</si>
  <si>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</si>
  <si>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</si>
  <si>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</si>
  <si>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</si>
  <si>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</si>
  <si>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</si>
  <si>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</si>
  <si>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</si>
  <si>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</si>
  <si>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</si>
  <si>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</si>
  <si>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</si>
  <si>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</si>
  <si>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</si>
  <si>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</si>
  <si>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</si>
  <si>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</si>
  <si>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</si>
  <si>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</si>
  <si>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</si>
  <si>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</si>
  <si>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</si>
  <si>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</si>
  <si>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</si>
  <si>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</si>
  <si>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</si>
  <si>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</si>
  <si>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</si>
  <si>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</si>
  <si>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</si>
  <si>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</si>
  <si>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</si>
  <si>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</si>
  <si>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</si>
  <si>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</si>
  <si>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</si>
  <si>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</si>
  <si>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</si>
  <si>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</si>
  <si>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</si>
  <si>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</si>
  <si>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</si>
  <si>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</si>
  <si>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</si>
  <si>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</si>
  <si>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</si>
  <si>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</si>
  <si>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</si>
  <si>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</si>
  <si>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</si>
  <si>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</si>
  <si>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</si>
  <si>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</si>
  <si>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</si>
  <si>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</si>
  <si>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</si>
  <si>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</si>
  <si>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</si>
  <si>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</si>
  <si>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</si>
  <si>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</si>
  <si>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</si>
  <si>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</si>
  <si>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</si>
  <si>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</si>
  <si>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</si>
  <si>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</si>
  <si>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</si>
  <si>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</si>
  <si>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</si>
  <si>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</si>
  <si>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</si>
  <si>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</si>
  <si>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</si>
  <si>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</si>
  <si>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</si>
  <si>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</si>
  <si>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</si>
  <si>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</si>
  <si>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</si>
  <si>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</si>
  <si>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</si>
  <si>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</si>
  <si>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</si>
  <si>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</si>
  <si>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</si>
  <si>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</si>
  <si>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</si>
  <si>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</si>
  <si>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</si>
  <si>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</si>
  <si>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</si>
  <si>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</si>
  <si>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</si>
  <si>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</si>
  <si>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</si>
  <si>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</si>
  <si>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</si>
  <si>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</si>
  <si>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</si>
  <si>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</si>
  <si>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</si>
  <si>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</si>
  <si>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</si>
  <si>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</si>
  <si>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</si>
  <si>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</si>
  <si>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</si>
  <si>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</si>
  <si>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</si>
  <si>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</si>
  <si>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</si>
  <si>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</si>
  <si>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</si>
  <si>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</si>
  <si>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</si>
  <si>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</si>
  <si>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</si>
  <si>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</si>
  <si>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</si>
  <si>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</si>
  <si>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</si>
  <si>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</si>
  <si>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</si>
  <si>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</si>
  <si>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</si>
  <si>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</si>
  <si>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</si>
  <si>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</si>
  <si>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</si>
  <si>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</si>
  <si>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</si>
  <si>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</si>
  <si>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</si>
  <si>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</si>
  <si>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</si>
  <si>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</si>
  <si>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</si>
  <si>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</si>
  <si>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</si>
  <si>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</si>
  <si>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</si>
  <si>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</si>
  <si>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</si>
  <si>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</si>
  <si>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</si>
  <si>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</si>
  <si>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</si>
  <si>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</si>
  <si>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</si>
  <si>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</si>
  <si>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</si>
  <si>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</si>
  <si>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</si>
  <si>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</si>
  <si>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</si>
  <si>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</si>
  <si>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</si>
  <si>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</si>
  <si>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</si>
  <si>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</si>
  <si>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</si>
  <si>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</si>
  <si>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</si>
  <si>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</si>
  <si>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</si>
  <si>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</si>
  <si>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</si>
  <si>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</si>
  <si>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</si>
  <si>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</si>
  <si>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</si>
  <si>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</si>
  <si>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</si>
  <si>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</si>
  <si>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</si>
  <si>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</si>
  <si>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</si>
  <si>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</si>
  <si>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</si>
  <si>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</si>
  <si>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</si>
  <si>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</si>
  <si>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</si>
  <si>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</si>
  <si>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</si>
  <si>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</si>
  <si>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</si>
  <si>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</si>
  <si>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</si>
  <si>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</si>
  <si>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</si>
  <si>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</si>
  <si>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</si>
  <si>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</si>
  <si>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</si>
  <si>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</si>
  <si>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</si>
  <si>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</si>
  <si>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</si>
  <si>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</si>
  <si>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</si>
  <si>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</si>
  <si>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</si>
  <si>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</si>
  <si>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</si>
  <si>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</si>
  <si>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</si>
  <si>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</si>
  <si>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</si>
  <si>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</si>
  <si>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</si>
  <si>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</si>
  <si>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</si>
  <si>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</si>
  <si>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</si>
  <si>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</si>
  <si>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</si>
  <si>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</si>
  <si>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</si>
  <si>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</si>
  <si>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</si>
  <si>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</si>
  <si>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</si>
  <si>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</si>
  <si>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</si>
  <si>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</si>
  <si>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</si>
  <si>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</si>
  <si>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</si>
  <si>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</si>
  <si>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</si>
  <si>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</si>
  <si>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</si>
  <si>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</si>
  <si>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</si>
  <si>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</si>
  <si>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</si>
  <si>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</si>
  <si>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</si>
  <si>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</si>
  <si>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</si>
  <si>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</si>
  <si>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</si>
  <si>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</si>
  <si>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</si>
  <si>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</si>
  <si>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</si>
  <si>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</si>
  <si>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</si>
  <si>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</si>
  <si>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</si>
  <si>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</si>
  <si>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</si>
  <si>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</si>
  <si>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</si>
  <si>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</si>
  <si>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</si>
  <si>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</si>
  <si>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</si>
  <si>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</si>
  <si>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</si>
  <si>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</si>
  <si>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</si>
  <si>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</si>
  <si>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</si>
  <si>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</si>
  <si>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</si>
  <si>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</si>
  <si>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</si>
  <si>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</si>
  <si>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</si>
  <si>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</si>
  <si>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</si>
  <si>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</si>
  <si>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</si>
  <si>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</si>
  <si>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</si>
  <si>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</si>
  <si>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</si>
  <si>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</si>
  <si>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</si>
  <si>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</si>
  <si>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</si>
  <si>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</si>
  <si>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</si>
  <si>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</si>
  <si>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</si>
  <si>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</si>
  <si>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</si>
  <si>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</si>
  <si>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</si>
  <si>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</si>
  <si>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</si>
  <si>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</si>
  <si>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</si>
  <si>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</si>
  <si>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</si>
  <si>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</si>
  <si>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</si>
  <si>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</si>
  <si>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</si>
  <si>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</si>
  <si>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</si>
  <si>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</si>
  <si>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</si>
  <si>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</si>
  <si>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</si>
  <si>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</si>
  <si>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</si>
  <si>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</si>
  <si>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</si>
  <si>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</si>
  <si>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</si>
  <si>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</si>
  <si>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</si>
  <si>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</si>
  <si>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</si>
  <si>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</si>
  <si>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</si>
  <si>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</si>
  <si>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</si>
  <si>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</si>
  <si>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</si>
  <si>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</si>
  <si>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</si>
  <si>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</si>
  <si>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</si>
  <si>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</si>
  <si>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</si>
  <si>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</si>
  <si>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</si>
  <si>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</si>
  <si>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</si>
  <si>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</si>
  <si>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</si>
  <si>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</si>
  <si>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</si>
  <si>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</si>
  <si>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</si>
  <si>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</si>
  <si>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</si>
  <si>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</si>
  <si>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</si>
  <si>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</si>
  <si>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</si>
  <si>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</si>
  <si>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</si>
  <si>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</si>
  <si>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</si>
  <si>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</si>
  <si>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</si>
  <si>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</si>
  <si>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</si>
  <si>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</si>
  <si>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</si>
  <si>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</si>
  <si>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</si>
  <si>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</si>
  <si>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</si>
  <si>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</si>
  <si>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</si>
  <si>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</si>
  <si>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</si>
  <si>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</si>
  <si>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</si>
  <si>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</si>
  <si>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</si>
  <si>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</si>
  <si>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</si>
  <si>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</si>
  <si>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</si>
  <si>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</si>
  <si>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</si>
  <si>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</si>
  <si>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</si>
  <si>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</si>
  <si>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</si>
  <si>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</si>
  <si>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</si>
  <si>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</si>
  <si>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</si>
  <si>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</si>
  <si>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</si>
  <si>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</si>
  <si>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</si>
  <si>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</si>
  <si>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</si>
  <si>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</si>
  <si>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</si>
  <si>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</si>
  <si>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</si>
  <si>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</si>
  <si>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</si>
  <si>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</si>
  <si>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</si>
  <si>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</si>
  <si>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</si>
  <si>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</si>
  <si>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</si>
  <si>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</si>
  <si>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</si>
  <si>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</si>
  <si>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</si>
  <si>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</si>
  <si>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</si>
  <si>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</si>
  <si>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</si>
  <si>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</si>
  <si>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</si>
  <si>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</si>
  <si>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</si>
  <si>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</si>
  <si>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</si>
  <si>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</si>
  <si>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</si>
  <si>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</si>
  <si>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</si>
  <si>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</si>
  <si>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</si>
  <si>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</si>
  <si>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</si>
  <si>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</si>
  <si>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</si>
  <si>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</si>
  <si>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</si>
  <si>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</si>
  <si>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</si>
  <si>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</si>
  <si>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</si>
  <si>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</si>
  <si>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</si>
  <si>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</si>
  <si>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</si>
  <si>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</si>
  <si>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</si>
  <si>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</si>
  <si>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</si>
  <si>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</si>
  <si>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</si>
  <si>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</si>
  <si>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</si>
  <si>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</si>
  <si>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</si>
  <si>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</si>
  <si>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</si>
  <si>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</si>
  <si>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</si>
  <si>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</si>
  <si>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</si>
  <si>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</si>
  <si>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</si>
  <si>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</si>
  <si>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</si>
  <si>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</si>
  <si>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</si>
  <si>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</si>
  <si>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</si>
  <si>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</si>
  <si>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</si>
  <si>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</si>
  <si>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</si>
  <si>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</si>
  <si>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</si>
  <si>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</si>
  <si>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</si>
  <si>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</si>
  <si>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</si>
  <si>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</si>
  <si>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</si>
  <si>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</si>
  <si>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</si>
  <si>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</si>
  <si>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</si>
  <si>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</si>
  <si>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</si>
  <si>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</si>
  <si>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</si>
  <si>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</si>
  <si>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</si>
  <si>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</si>
  <si>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</si>
  <si>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</si>
  <si>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</si>
  <si>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</si>
  <si>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</si>
  <si>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</si>
  <si>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</si>
  <si>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</si>
  <si>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</si>
  <si>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</si>
  <si>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</si>
  <si>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</si>
  <si>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</si>
  <si>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</si>
  <si>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</si>
  <si>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</si>
  <si>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</si>
  <si>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</si>
  <si>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</si>
  <si>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</si>
  <si>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</si>
  <si>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</si>
  <si>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</si>
  <si>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</si>
  <si>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</si>
  <si>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</si>
  <si>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</si>
  <si>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</si>
  <si>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</si>
  <si>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Rural Health Initiative</t>
  </si>
  <si>
    <t>Shasta Triumph and Recovery</t>
  </si>
  <si>
    <t>Client Family Operated Services</t>
  </si>
  <si>
    <t>Older Adult Services</t>
  </si>
  <si>
    <t>Housing Continuum</t>
  </si>
  <si>
    <t>Crisis Residential and Recovery Center</t>
  </si>
  <si>
    <t>Crisis Services</t>
  </si>
  <si>
    <t>Access/Outreach</t>
  </si>
  <si>
    <t>Co-Occurring Integration</t>
  </si>
  <si>
    <t>Laura's Law</t>
  </si>
  <si>
    <t>Children and Youth in Stressed Families</t>
  </si>
  <si>
    <t>Individuals Experiencing Onset of Serious Psychiatric Illness</t>
  </si>
  <si>
    <t>Stigma and Discrimination Reduction</t>
  </si>
  <si>
    <t>Hope Park Project</t>
  </si>
  <si>
    <t>Psychiatric Advance Directives (PADS)</t>
  </si>
  <si>
    <t>1450 Court St. Suite 308A</t>
  </si>
  <si>
    <t>Redding</t>
  </si>
  <si>
    <t>Brent Langan</t>
  </si>
  <si>
    <t>Accountant Auditor</t>
  </si>
  <si>
    <t>balangan@co.shasta.ca.us</t>
  </si>
  <si>
    <t>530-225-3957</t>
  </si>
  <si>
    <t>Pathways to Hope is the organization selected to run the Innovations project referred to within the ARER as Hope Park. Future 3-Year Plans will refer to this project as Hope Park. Reference to this project can be found in the updated 3-Year plan on page 10 and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</si>
</sst>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9" sqref="D1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44950</v>
      </c>
    </row>
    <row r="10" spans="1:5" ht="34.5" customHeight="1" x14ac:dyDescent="0.2">
      <c r="B10" s="203">
        <v>2</v>
      </c>
      <c r="C10" s="205" t="s">
        <v>303</v>
      </c>
      <c r="D10" s="151" t="s">
        <v>782</v>
      </c>
    </row>
    <row r="11" spans="1:5" ht="34.5" customHeight="1" x14ac:dyDescent="0.2">
      <c r="B11" s="203">
        <v>3</v>
      </c>
      <c r="C11" s="204" t="s">
        <v>0</v>
      </c>
      <c r="D11" s="135" t="s">
        <v>80</v>
      </c>
    </row>
    <row r="12" spans="1:5" ht="34.5" customHeight="1" x14ac:dyDescent="0.2">
      <c r="B12" s="203">
        <v>4</v>
      </c>
      <c r="C12" s="206" t="s">
        <v>113</v>
      </c>
      <c r="D12" s="182">
        <f>IF(ISBLANK(D11),"",VLOOKUP(D11,Info_County_Code,2))</f>
        <v>45</v>
      </c>
    </row>
    <row r="13" spans="1:5" ht="34.5" customHeight="1" x14ac:dyDescent="0.2">
      <c r="B13" s="203">
        <v>5</v>
      </c>
      <c r="C13" s="204" t="s">
        <v>114</v>
      </c>
      <c r="D13" s="412" t="s">
        <v>798</v>
      </c>
    </row>
    <row r="14" spans="1:5" ht="34.5" customHeight="1" x14ac:dyDescent="0.2">
      <c r="B14" s="203">
        <v>6</v>
      </c>
      <c r="C14" s="204" t="s">
        <v>115</v>
      </c>
      <c r="D14" s="135" t="s">
        <v>799</v>
      </c>
    </row>
    <row r="15" spans="1:5" ht="34.5" customHeight="1" x14ac:dyDescent="0.2">
      <c r="B15" s="203">
        <v>7</v>
      </c>
      <c r="C15" s="204" t="s">
        <v>116</v>
      </c>
      <c r="D15" s="172">
        <v>96001</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800</v>
      </c>
    </row>
    <row r="18" spans="2:4" ht="34.5" customHeight="1" x14ac:dyDescent="0.2">
      <c r="B18" s="203">
        <v>10</v>
      </c>
      <c r="C18" s="208" t="s">
        <v>167</v>
      </c>
      <c r="D18" s="413" t="s">
        <v>801</v>
      </c>
    </row>
    <row r="19" spans="2:4" ht="34.5" customHeight="1" x14ac:dyDescent="0.2">
      <c r="B19" s="203">
        <v>11</v>
      </c>
      <c r="C19" s="208" t="s">
        <v>184</v>
      </c>
      <c r="D19" s="413" t="s">
        <v>802</v>
      </c>
    </row>
    <row r="20" spans="2:4" ht="34.5" customHeight="1" x14ac:dyDescent="0.2">
      <c r="B20" s="203">
        <v>12</v>
      </c>
      <c r="C20" s="209" t="s">
        <v>280</v>
      </c>
      <c r="D20" s="414" t="s">
        <v>803</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C5" sqref="C5"/>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Shasta</v>
      </c>
      <c r="F9" s="210" t="s">
        <v>1</v>
      </c>
      <c r="G9" s="185">
        <f>IF(ISBLANK('1. Information'!D9),"",'1. Information'!D9)</f>
        <v>44950</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126233</v>
      </c>
      <c r="E14" s="149">
        <v>31558</v>
      </c>
      <c r="F14" s="149">
        <v>8305</v>
      </c>
      <c r="G14" s="149">
        <v>0</v>
      </c>
      <c r="H14" s="149">
        <v>0</v>
      </c>
      <c r="I14" s="186">
        <f>SUM(D14:H14)</f>
        <v>166096</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374414.15</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38195</v>
      </c>
      <c r="E21" s="192"/>
      <c r="F21" s="188">
        <f>SUM(D21:E21)</f>
        <v>38195</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412609.15</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-38195</v>
      </c>
      <c r="E27" s="188">
        <f>'3. CSS'!F21</f>
        <v>0</v>
      </c>
      <c r="F27" s="186">
        <f>'3. CSS'!F22</f>
        <v>0</v>
      </c>
      <c r="G27" s="194">
        <f>'3. CSS'!F23</f>
        <v>0</v>
      </c>
      <c r="H27" s="194">
        <f>'3. CSS'!F24</f>
        <v>38195</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6110484</v>
      </c>
      <c r="E31" s="194">
        <f>'4. PEI'!F22</f>
        <v>2756204</v>
      </c>
      <c r="F31" s="194">
        <f>'5. INN'!F23</f>
        <v>419740</v>
      </c>
      <c r="G31" s="194">
        <f>'6. WET'!F21</f>
        <v>0</v>
      </c>
      <c r="H31" s="194">
        <f>'7. CFTN'!F21</f>
        <v>0</v>
      </c>
      <c r="I31" s="194">
        <f t="shared" ref="I31:I35" si="0">SUM(D31:H31)</f>
        <v>9286428</v>
      </c>
    </row>
    <row r="32" spans="2:10" x14ac:dyDescent="0.2">
      <c r="B32" s="211">
        <v>10</v>
      </c>
      <c r="C32" s="223" t="s">
        <v>4</v>
      </c>
      <c r="D32" s="189">
        <f>'3. CSS'!G27</f>
        <v>5908893</v>
      </c>
      <c r="E32" s="189">
        <f>'4. PEI'!G22</f>
        <v>440836</v>
      </c>
      <c r="F32" s="189">
        <f>'5. INN'!G23</f>
        <v>0</v>
      </c>
      <c r="G32" s="189">
        <f>'6. WET'!G21</f>
        <v>0</v>
      </c>
      <c r="H32" s="189">
        <f>'7. CFTN'!G21</f>
        <v>0</v>
      </c>
      <c r="I32" s="194">
        <f t="shared" si="0"/>
        <v>6349729</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326</v>
      </c>
      <c r="E35" s="189">
        <f>'4. PEI'!J22</f>
        <v>0</v>
      </c>
      <c r="F35" s="189">
        <f>'5. INN'!J23</f>
        <v>0</v>
      </c>
      <c r="G35" s="189">
        <f>'6. WET'!J21</f>
        <v>0</v>
      </c>
      <c r="H35" s="189">
        <f>'7. CFTN'!J21</f>
        <v>0</v>
      </c>
      <c r="I35" s="194">
        <f t="shared" si="0"/>
        <v>326</v>
      </c>
    </row>
    <row r="36" spans="2:9" ht="15.75" x14ac:dyDescent="0.25">
      <c r="B36" s="211">
        <v>14</v>
      </c>
      <c r="C36" s="224" t="s">
        <v>21</v>
      </c>
      <c r="D36" s="195">
        <f>SUM(D31:D35)</f>
        <v>12019703</v>
      </c>
      <c r="E36" s="195">
        <f t="shared" ref="E36:H36" si="1">SUM(E31:E35)</f>
        <v>3197040</v>
      </c>
      <c r="F36" s="195">
        <f t="shared" si="1"/>
        <v>419740</v>
      </c>
      <c r="G36" s="195">
        <f t="shared" si="1"/>
        <v>0</v>
      </c>
      <c r="H36" s="195">
        <f t="shared" si="1"/>
        <v>0</v>
      </c>
      <c r="I36" s="196">
        <f>SUM(D36:H36)</f>
        <v>15636483</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20558</v>
      </c>
      <c r="E40" s="154"/>
      <c r="F40" s="120"/>
      <c r="H40" s="120"/>
      <c r="I40" s="122"/>
    </row>
    <row r="41" spans="2:9" ht="15.75" x14ac:dyDescent="0.25">
      <c r="B41" s="211">
        <v>16</v>
      </c>
      <c r="C41" s="162" t="s">
        <v>19</v>
      </c>
      <c r="D41" s="197">
        <f>'3. CSS'!F16+'4. PEI'!F16+'5. INN'!F20+'6. WET'!F16+'7. CFTN'!F16</f>
        <v>3075</v>
      </c>
      <c r="E41" s="121"/>
      <c r="F41" s="120"/>
      <c r="G41" s="120"/>
      <c r="H41" s="120"/>
      <c r="I41" s="122"/>
    </row>
    <row r="42" spans="2:9" ht="15.75" x14ac:dyDescent="0.25">
      <c r="B42" s="211">
        <v>17</v>
      </c>
      <c r="C42" s="162" t="s">
        <v>20</v>
      </c>
      <c r="D42" s="198">
        <f>'3. CSS'!F17+'4. PEI'!F17+'5. INN'!F16+'5. INN'!F19+'6. WET'!F17+'7. CFTN'!F17</f>
        <v>1837666</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15554</v>
      </c>
    </row>
    <row r="45" spans="2:9" ht="15.75" x14ac:dyDescent="0.25">
      <c r="B45" s="211">
        <v>20</v>
      </c>
      <c r="C45" s="225" t="s">
        <v>245</v>
      </c>
      <c r="D45" s="149">
        <v>143621</v>
      </c>
    </row>
    <row r="46" spans="2:9" ht="15.75" x14ac:dyDescent="0.25">
      <c r="B46" s="211">
        <v>21</v>
      </c>
      <c r="C46" s="162" t="s">
        <v>249</v>
      </c>
      <c r="D46" s="149">
        <v>183492</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5" right="0.25" top="0.75" bottom="0.5" header="0.3" footer="0.3"/>
  <pageSetup paperSize="5" scale="65" fitToWidth="0" fitToHeight="0" orientation="landscape" r:id="rId4"/>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77" sqref="A77"/>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F25" sqref="F2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Shasta</v>
      </c>
      <c r="E9" s="123"/>
      <c r="F9" s="226" t="s">
        <v>1</v>
      </c>
      <c r="G9" s="227">
        <f>IF(ISBLANK('1. Information'!D9),"",'1. Information'!D9)</f>
        <v>44950</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15803</v>
      </c>
      <c r="G15" s="136"/>
      <c r="H15" s="136"/>
      <c r="I15" s="136"/>
      <c r="J15" s="136"/>
      <c r="K15" s="241">
        <f>SUM(F15:J15)</f>
        <v>15803</v>
      </c>
      <c r="L15" s="175"/>
    </row>
    <row r="16" spans="1:12" ht="15" customHeight="1" x14ac:dyDescent="0.25">
      <c r="A16" s="123"/>
      <c r="B16" s="234">
        <v>2</v>
      </c>
      <c r="C16" s="163" t="s">
        <v>7</v>
      </c>
      <c r="D16" s="242"/>
      <c r="E16" s="243"/>
      <c r="F16" s="136">
        <v>2639</v>
      </c>
      <c r="G16" s="136"/>
      <c r="H16" s="136"/>
      <c r="I16" s="136"/>
      <c r="J16" s="136"/>
      <c r="K16" s="241">
        <f t="shared" ref="K16:K17" si="0">SUM(F16:J16)</f>
        <v>2639</v>
      </c>
      <c r="L16" s="175"/>
    </row>
    <row r="17" spans="1:12" ht="15.75" customHeight="1" x14ac:dyDescent="0.25">
      <c r="A17" s="123"/>
      <c r="B17" s="234">
        <v>3</v>
      </c>
      <c r="C17" s="163" t="s">
        <v>117</v>
      </c>
      <c r="D17" s="242"/>
      <c r="E17" s="243"/>
      <c r="F17" s="136">
        <f>1500051-G17-H17-I17-J17-F15-F16</f>
        <v>1481609</v>
      </c>
      <c r="G17" s="136"/>
      <c r="H17" s="136"/>
      <c r="I17" s="136"/>
      <c r="J17" s="136"/>
      <c r="K17" s="241">
        <f t="shared" si="0"/>
        <v>1481609</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c r="G22" s="246"/>
      <c r="H22" s="246"/>
      <c r="I22" s="246"/>
      <c r="J22" s="246"/>
      <c r="K22" s="241">
        <f t="shared" si="1"/>
        <v>0</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v>38195</v>
      </c>
      <c r="G24" s="246"/>
      <c r="H24" s="246"/>
      <c r="I24" s="246"/>
      <c r="J24" s="246"/>
      <c r="K24" s="241">
        <f t="shared" si="1"/>
        <v>38195</v>
      </c>
      <c r="L24" s="175"/>
    </row>
    <row r="25" spans="1:12" ht="15.75" customHeight="1" x14ac:dyDescent="0.25">
      <c r="A25" s="123"/>
      <c r="B25" s="234">
        <v>11</v>
      </c>
      <c r="C25" s="163" t="s">
        <v>123</v>
      </c>
      <c r="D25" s="242"/>
      <c r="E25" s="243"/>
      <c r="F25" s="244">
        <f>SUM(G34:G133)</f>
        <v>4610433</v>
      </c>
      <c r="G25" s="246">
        <f>SUM(H34:H133)</f>
        <v>5908893</v>
      </c>
      <c r="H25" s="246">
        <f>SUM(I34:I133)</f>
        <v>0</v>
      </c>
      <c r="I25" s="246">
        <f>SUM(J34:J133)</f>
        <v>0</v>
      </c>
      <c r="J25" s="246">
        <f>SUM(K34:K133)</f>
        <v>326</v>
      </c>
      <c r="K25" s="246">
        <f>SUM(F25:J25)</f>
        <v>10519652</v>
      </c>
      <c r="L25" s="175"/>
    </row>
    <row r="26" spans="1:12" ht="30.95" customHeight="1" x14ac:dyDescent="0.25">
      <c r="A26" s="123"/>
      <c r="B26" s="234">
        <v>12</v>
      </c>
      <c r="C26" s="247" t="s">
        <v>190</v>
      </c>
      <c r="D26" s="248"/>
      <c r="E26" s="249"/>
      <c r="F26" s="250">
        <f t="shared" ref="F26" si="2">SUM(F15:F17,F19:F25)</f>
        <v>6148679</v>
      </c>
      <c r="G26" s="250">
        <f>SUM(G15:G17,G25)</f>
        <v>5908893</v>
      </c>
      <c r="H26" s="251">
        <f>SUM(H15:H17,H25)</f>
        <v>0</v>
      </c>
      <c r="I26" s="250">
        <f>SUM(I15:I17,I25)</f>
        <v>0</v>
      </c>
      <c r="J26" s="250">
        <f>SUM(J15:J17,J25)</f>
        <v>326</v>
      </c>
      <c r="K26" s="250">
        <f>SUM(F26:J26)</f>
        <v>12057898</v>
      </c>
      <c r="L26" s="175"/>
    </row>
    <row r="27" spans="1:12" ht="30.95" customHeight="1" x14ac:dyDescent="0.25">
      <c r="A27" s="123"/>
      <c r="B27" s="234">
        <v>13</v>
      </c>
      <c r="C27" s="252" t="s">
        <v>675</v>
      </c>
      <c r="D27" s="252"/>
      <c r="E27" s="252"/>
      <c r="F27" s="250">
        <f>SUM(F15:F17,F19,F20,F25)</f>
        <v>6110484</v>
      </c>
      <c r="G27" s="250">
        <f>SUM(G15:G17,G25)</f>
        <v>5908893</v>
      </c>
      <c r="H27" s="250">
        <f t="shared" ref="H27:J27" si="3">SUM(H15:H17,H25)</f>
        <v>0</v>
      </c>
      <c r="I27" s="250">
        <f t="shared" si="3"/>
        <v>0</v>
      </c>
      <c r="J27" s="250">
        <f t="shared" si="3"/>
        <v>326</v>
      </c>
      <c r="K27" s="250">
        <f>SUM(F27:J27)</f>
        <v>12019703</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45</v>
      </c>
      <c r="D34" s="134" t="s">
        <v>783</v>
      </c>
      <c r="E34" s="144"/>
      <c r="F34" s="127" t="s">
        <v>96</v>
      </c>
      <c r="G34" s="126">
        <f>816007-H34-I34-J34-K34</f>
        <v>674217</v>
      </c>
      <c r="H34" s="126">
        <v>141790</v>
      </c>
      <c r="I34" s="126"/>
      <c r="J34" s="129"/>
      <c r="K34" s="126"/>
      <c r="L34" s="246">
        <f>SUM(G34:K34)</f>
        <v>816007</v>
      </c>
    </row>
    <row r="35" spans="1:12" x14ac:dyDescent="0.25">
      <c r="A35" s="123"/>
      <c r="B35" s="262">
        <v>15</v>
      </c>
      <c r="C35" s="263">
        <f t="shared" si="4"/>
        <v>45</v>
      </c>
      <c r="D35" s="134" t="s">
        <v>784</v>
      </c>
      <c r="E35" s="144"/>
      <c r="F35" s="127" t="s">
        <v>95</v>
      </c>
      <c r="G35" s="126">
        <f>2671445-H35-I35-J35-K35</f>
        <v>1034260</v>
      </c>
      <c r="H35" s="126">
        <v>1637185</v>
      </c>
      <c r="I35" s="126"/>
      <c r="J35" s="129"/>
      <c r="K35" s="126"/>
      <c r="L35" s="246">
        <f t="shared" ref="L35:L98" si="5">SUM(G35:K35)</f>
        <v>2671445</v>
      </c>
    </row>
    <row r="36" spans="1:12" x14ac:dyDescent="0.25">
      <c r="A36" s="123"/>
      <c r="B36" s="262">
        <v>16</v>
      </c>
      <c r="C36" s="263">
        <f t="shared" si="4"/>
        <v>45</v>
      </c>
      <c r="D36" s="134" t="s">
        <v>785</v>
      </c>
      <c r="E36" s="144"/>
      <c r="F36" s="127" t="s">
        <v>95</v>
      </c>
      <c r="G36" s="126">
        <f>718244-H36-I36-J36-K36</f>
        <v>718244</v>
      </c>
      <c r="H36" s="126">
        <v>0</v>
      </c>
      <c r="I36" s="126"/>
      <c r="J36" s="129"/>
      <c r="K36" s="126"/>
      <c r="L36" s="246">
        <f t="shared" si="5"/>
        <v>718244</v>
      </c>
    </row>
    <row r="37" spans="1:12" x14ac:dyDescent="0.25">
      <c r="A37" s="123"/>
      <c r="B37" s="262">
        <v>17</v>
      </c>
      <c r="C37" s="263">
        <f t="shared" si="4"/>
        <v>45</v>
      </c>
      <c r="D37" s="134" t="s">
        <v>786</v>
      </c>
      <c r="E37" s="144"/>
      <c r="F37" s="127" t="s">
        <v>96</v>
      </c>
      <c r="G37" s="126">
        <f>11298-H37-I37-J37-K37</f>
        <v>0</v>
      </c>
      <c r="H37" s="126">
        <f>36234-24936</f>
        <v>11298</v>
      </c>
      <c r="I37" s="126"/>
      <c r="J37" s="129"/>
      <c r="K37" s="126"/>
      <c r="L37" s="246">
        <f t="shared" si="5"/>
        <v>11298</v>
      </c>
    </row>
    <row r="38" spans="1:12" x14ac:dyDescent="0.25">
      <c r="A38" s="123"/>
      <c r="B38" s="262">
        <v>18</v>
      </c>
      <c r="C38" s="263">
        <f t="shared" si="4"/>
        <v>45</v>
      </c>
      <c r="D38" s="134" t="s">
        <v>787</v>
      </c>
      <c r="E38" s="144"/>
      <c r="F38" s="127" t="s">
        <v>95</v>
      </c>
      <c r="G38" s="126">
        <f>143621-H38-I38-J38-K38</f>
        <v>42239</v>
      </c>
      <c r="H38" s="126">
        <v>101382</v>
      </c>
      <c r="I38" s="126"/>
      <c r="J38" s="129"/>
      <c r="K38" s="126"/>
      <c r="L38" s="246">
        <f t="shared" si="5"/>
        <v>143621</v>
      </c>
    </row>
    <row r="39" spans="1:12" x14ac:dyDescent="0.25">
      <c r="A39" s="123"/>
      <c r="B39" s="262">
        <v>19</v>
      </c>
      <c r="C39" s="263">
        <f t="shared" si="4"/>
        <v>45</v>
      </c>
      <c r="D39" s="134" t="s">
        <v>788</v>
      </c>
      <c r="E39" s="144"/>
      <c r="F39" s="127" t="s">
        <v>95</v>
      </c>
      <c r="G39" s="126">
        <f>1357390-H39-I39-J39-K39</f>
        <v>0</v>
      </c>
      <c r="H39" s="126">
        <f>2513228-1155838</f>
        <v>1357390</v>
      </c>
      <c r="I39" s="126"/>
      <c r="J39" s="129"/>
      <c r="K39" s="126"/>
      <c r="L39" s="246">
        <f t="shared" si="5"/>
        <v>1357390</v>
      </c>
    </row>
    <row r="40" spans="1:12" x14ac:dyDescent="0.25">
      <c r="A40" s="123"/>
      <c r="B40" s="262">
        <v>20</v>
      </c>
      <c r="C40" s="263">
        <f t="shared" si="4"/>
        <v>45</v>
      </c>
      <c r="D40" s="134" t="s">
        <v>789</v>
      </c>
      <c r="E40" s="144"/>
      <c r="F40" s="127" t="s">
        <v>95</v>
      </c>
      <c r="G40" s="126">
        <f>2459103-H40-I40-J40-K40</f>
        <v>1498542</v>
      </c>
      <c r="H40" s="126">
        <v>960561</v>
      </c>
      <c r="I40" s="126"/>
      <c r="J40" s="129"/>
      <c r="K40" s="126"/>
      <c r="L40" s="246">
        <f t="shared" si="5"/>
        <v>2459103</v>
      </c>
    </row>
    <row r="41" spans="1:12" x14ac:dyDescent="0.25">
      <c r="A41" s="123"/>
      <c r="B41" s="262">
        <v>21</v>
      </c>
      <c r="C41" s="263">
        <f t="shared" si="4"/>
        <v>45</v>
      </c>
      <c r="D41" s="134" t="s">
        <v>791</v>
      </c>
      <c r="E41" s="144"/>
      <c r="F41" s="127" t="s">
        <v>96</v>
      </c>
      <c r="G41" s="126">
        <f>513233+23904-H41-I41-J41-K41</f>
        <v>282382</v>
      </c>
      <c r="H41" s="126">
        <v>254429</v>
      </c>
      <c r="I41" s="126"/>
      <c r="J41" s="129"/>
      <c r="K41" s="126">
        <v>326</v>
      </c>
      <c r="L41" s="246">
        <f t="shared" si="5"/>
        <v>537137</v>
      </c>
    </row>
    <row r="42" spans="1:12" x14ac:dyDescent="0.25">
      <c r="A42" s="123"/>
      <c r="B42" s="262">
        <v>22</v>
      </c>
      <c r="C42" s="263">
        <f t="shared" si="4"/>
        <v>45</v>
      </c>
      <c r="D42" s="134" t="s">
        <v>790</v>
      </c>
      <c r="E42" s="144"/>
      <c r="F42" s="127" t="s">
        <v>95</v>
      </c>
      <c r="G42" s="126">
        <f>1259583-H42-I42-J42-K42</f>
        <v>0</v>
      </c>
      <c r="H42" s="126">
        <f>1398370-138787</f>
        <v>1259583</v>
      </c>
      <c r="I42" s="126"/>
      <c r="J42" s="129"/>
      <c r="K42" s="126"/>
      <c r="L42" s="246">
        <f t="shared" si="5"/>
        <v>1259583</v>
      </c>
    </row>
    <row r="43" spans="1:12" x14ac:dyDescent="0.25">
      <c r="A43" s="123"/>
      <c r="B43" s="262">
        <v>23</v>
      </c>
      <c r="C43" s="263">
        <f t="shared" si="4"/>
        <v>45</v>
      </c>
      <c r="D43" s="134" t="s">
        <v>792</v>
      </c>
      <c r="E43" s="144"/>
      <c r="F43" s="127" t="s">
        <v>96</v>
      </c>
      <c r="G43" s="126">
        <f>545824-H43-I43-J43-K43</f>
        <v>360549</v>
      </c>
      <c r="H43" s="126">
        <v>185275</v>
      </c>
      <c r="I43" s="126"/>
      <c r="J43" s="129"/>
      <c r="K43" s="126"/>
      <c r="L43" s="246">
        <f t="shared" si="5"/>
        <v>545824</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5" right="0.25" top="0.75" bottom="0.75" header="0.3" footer="0.3"/>
  <pageSetup paperSize="5" scale="55" orientation="landscape" r:id="rId4"/>
  <headerFooter>
    <oddFooter>&amp;C&amp;"Arial,Regular"&amp;16Page &amp;P of &amp;N</oddFooter>
  </headerFooter>
  <rowBreaks count="4" manualBreakCount="4">
    <brk id="43"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4" zoomScale="80" zoomScaleNormal="80" zoomScaleSheetLayoutView="40" zoomScalePageLayoutView="80" workbookViewId="0">
      <selection activeCell="E28" sqref="E28"/>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Shasta</v>
      </c>
      <c r="E9" s="27" t="str">
        <f>IF(ISBLANK('1. Information'!D11),"",'1. Information'!D11)</f>
        <v>Shasta</v>
      </c>
      <c r="F9" s="226" t="s">
        <v>1</v>
      </c>
      <c r="G9" s="264">
        <f>IF(ISBLANK('1. Information'!D9),"",'1. Information'!D9)</f>
        <v>44950</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4203</v>
      </c>
      <c r="G15" s="136"/>
      <c r="H15" s="136"/>
      <c r="I15" s="136"/>
      <c r="J15" s="136"/>
      <c r="K15" s="241">
        <f>SUM(F15:J15)</f>
        <v>4203</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436</v>
      </c>
      <c r="G16" s="136"/>
      <c r="H16" s="136"/>
      <c r="I16" s="136"/>
      <c r="J16" s="136"/>
      <c r="K16" s="241">
        <f t="shared" ref="K16:K22" si="0">SUM(F16:J16)</f>
        <v>436</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247596-F15-F16-G17-H17-I17-J17</f>
        <v>242957</v>
      </c>
      <c r="G17" s="136"/>
      <c r="H17" s="136"/>
      <c r="I17" s="136"/>
      <c r="J17" s="136"/>
      <c r="K17" s="241">
        <f t="shared" si="0"/>
        <v>242957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15554</v>
      </c>
      <c r="G18" s="244"/>
      <c r="H18" s="244"/>
      <c r="I18" s="244"/>
      <c r="J18" s="244"/>
      <c r="K18" s="241">
        <f>F18</f>
        <v>15554</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24000+18701</f>
        <v>42701</v>
      </c>
      <c r="G19" s="244"/>
      <c r="H19" s="244"/>
      <c r="I19" s="244"/>
      <c r="J19" s="244"/>
      <c r="K19" s="241">
        <f t="shared" ref="K19:K20" si="1">F19</f>
        <v>42701</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16626</v>
      </c>
      <c r="G20" s="244"/>
      <c r="H20" s="244"/>
      <c r="I20" s="244"/>
      <c r="J20" s="244"/>
      <c r="K20" s="241">
        <f t="shared" si="1"/>
        <v>16626</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2491982</v>
      </c>
      <c r="G21" s="275">
        <f>SUMIF($G$34:$G$133,"Combined Summary",M$34:M$133) + SUMIF($F$34:$F$133,"Standalone",M$34:M$133)</f>
        <v>440836</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2932818</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2756204</v>
      </c>
      <c r="G22" s="279">
        <f t="shared" ref="G22:J22" si="2">SUM(G15:G17,G20:G21)</f>
        <v>440836</v>
      </c>
      <c r="H22" s="279">
        <f t="shared" si="2"/>
        <v>0</v>
      </c>
      <c r="I22" s="279">
        <f t="shared" si="2"/>
        <v>0</v>
      </c>
      <c r="J22" s="279">
        <f t="shared" si="2"/>
        <v>0</v>
      </c>
      <c r="K22" s="279">
        <f t="shared" si="0"/>
        <v>3197040</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0.62515246774186528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45</v>
      </c>
      <c r="D34" s="134" t="s">
        <v>793</v>
      </c>
      <c r="E34" s="144"/>
      <c r="F34" s="147" t="s">
        <v>125</v>
      </c>
      <c r="G34" s="148" t="s">
        <v>122</v>
      </c>
      <c r="H34" s="33"/>
      <c r="I34" s="36">
        <v>1</v>
      </c>
      <c r="J34" s="36">
        <v>0.68710000000000004</v>
      </c>
      <c r="K34" s="302">
        <f>IF(OR(G34="Combined Summary",F34="Standalone"),(SUMPRODUCT(--(D$34:D$133=D34),I$34:I$133,J$34:J$133)),"")</f>
        <v>0.68710000000000004</v>
      </c>
      <c r="L34" s="126">
        <f>528523+1259904+4842+296735-M34-N34-O34-P34</f>
        <v>1806443</v>
      </c>
      <c r="M34" s="133">
        <v>283561</v>
      </c>
      <c r="N34" s="30"/>
      <c r="O34" s="30"/>
      <c r="P34" s="30"/>
      <c r="Q34" s="303">
        <f>SUM(L34:P34)</f>
        <v>2090004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45</v>
      </c>
      <c r="D35" s="134" t="s">
        <v>794</v>
      </c>
      <c r="E35" s="144"/>
      <c r="F35" s="147" t="s">
        <v>125</v>
      </c>
      <c r="G35" s="148" t="s">
        <v>122</v>
      </c>
      <c r="H35" s="33"/>
      <c r="I35" s="36">
        <v>1</v>
      </c>
      <c r="J35" s="36">
        <v>0.68710000000000004</v>
      </c>
      <c r="K35" s="302">
        <f t="shared" ref="K35:K98" si="4">IF(OR(G35="Combined Summary",F35="Standalone"),(SUMPRODUCT(--(D$34:D$133=D35),I$34:I$133,J$34:J$133)),"")</f>
        <v>0.68710000000000004</v>
      </c>
      <c r="L35" s="126">
        <f>169059-M35-N35-O35-P35</f>
        <v>11784</v>
      </c>
      <c r="M35" s="133">
        <v>157275</v>
      </c>
      <c r="N35" s="30"/>
      <c r="O35" s="30"/>
      <c r="P35" s="30"/>
      <c r="Q35" s="303">
        <f t="shared" ref="Q35:Q98" si="5">SUM(L35:P35)</f>
        <v>169059</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45</v>
      </c>
      <c r="D36" s="134" t="s">
        <v>795</v>
      </c>
      <c r="E36" s="144"/>
      <c r="F36" s="147" t="s">
        <v>125</v>
      </c>
      <c r="G36" s="148" t="s">
        <v>121</v>
      </c>
      <c r="H36" s="33"/>
      <c r="I36" s="36">
        <v>1</v>
      </c>
      <c r="J36" s="36">
        <v>0.68710000000000004</v>
      </c>
      <c r="K36" s="302">
        <f t="shared" si="4"/>
        <v>0.68710000000000004</v>
      </c>
      <c r="L36" s="126">
        <f>446056-M36-N36-O36-P36</f>
        <v>446056</v>
      </c>
      <c r="M36" s="133"/>
      <c r="N36" s="30"/>
      <c r="O36" s="30"/>
      <c r="P36" s="30"/>
      <c r="Q36" s="303">
        <f t="shared" si="5"/>
        <v>446056</v>
      </c>
      <c r="R36" s="178">
        <f t="shared" si="6"/>
        <v>1</v>
      </c>
      <c r="S36" s="180" t="str">
        <f t="shared" si="7"/>
        <v/>
      </c>
      <c r="AL36" s="27"/>
      <c r="AM36" s="27"/>
      <c r="AN36" s="27"/>
    </row>
    <row r="37" spans="2:40" x14ac:dyDescent="0.25">
      <c r="B37" s="300">
        <v>13</v>
      </c>
      <c r="C37" s="301">
        <f t="shared" si="3"/>
        <v>45</v>
      </c>
      <c r="D37" s="134" t="s">
        <v>129</v>
      </c>
      <c r="E37" s="144"/>
      <c r="F37" s="147" t="s">
        <v>125</v>
      </c>
      <c r="G37" s="148" t="s">
        <v>121</v>
      </c>
      <c r="H37" s="33"/>
      <c r="I37" s="36">
        <v>1</v>
      </c>
      <c r="J37" s="36">
        <v>0.68710000000000004</v>
      </c>
      <c r="K37" s="302">
        <f t="shared" si="4"/>
        <v>0.68710000000000004</v>
      </c>
      <c r="L37" s="126">
        <f>244325-M37-N37-O37-P37-16626</f>
        <v>227699</v>
      </c>
      <c r="M37" s="133"/>
      <c r="N37" s="30"/>
      <c r="O37" s="30"/>
      <c r="P37" s="30"/>
      <c r="Q37" s="303">
        <f t="shared" si="5"/>
        <v>227699</v>
      </c>
      <c r="R37" s="178">
        <f t="shared" si="6"/>
        <v>1</v>
      </c>
      <c r="S37" s="180" t="str">
        <f t="shared" si="7"/>
        <v/>
      </c>
      <c r="AL37" s="27"/>
      <c r="AM37" s="27"/>
      <c r="AN37" s="27"/>
    </row>
    <row r="38" spans="2:40" x14ac:dyDescent="0.25">
      <c r="B38" s="300">
        <v>14</v>
      </c>
      <c r="C38" s="301" t="str">
        <f t="shared" si="3"/>
        <v/>
      </c>
      <c r="D38" s="144"/>
      <c r="E38" s="144"/>
      <c r="F38" s="147"/>
      <c r="G38" s="148"/>
      <c r="H38" s="33"/>
      <c r="I38" s="36"/>
      <c r="J38" s="36"/>
      <c r="K38" s="302" t="str">
        <f t="shared" si="4"/>
        <v/>
      </c>
      <c r="L38" s="126"/>
      <c r="M38" s="133"/>
      <c r="N38" s="30"/>
      <c r="O38" s="30"/>
      <c r="P38" s="30"/>
      <c r="Q38" s="303">
        <f t="shared" si="5"/>
        <v>0</v>
      </c>
      <c r="R38" s="178" t="str">
        <f t="shared" si="6"/>
        <v/>
      </c>
      <c r="S38" s="180" t="str">
        <f t="shared" si="7"/>
        <v/>
      </c>
      <c r="AL38" s="27"/>
      <c r="AM38" s="27"/>
      <c r="AN38" s="27"/>
    </row>
    <row r="39" spans="2:40" x14ac:dyDescent="0.25">
      <c r="B39" s="300">
        <v>15</v>
      </c>
      <c r="C39" s="301" t="str">
        <f t="shared" si="3"/>
        <v/>
      </c>
      <c r="D39" s="144"/>
      <c r="E39" s="144"/>
      <c r="F39" s="147"/>
      <c r="G39" s="148"/>
      <c r="H39" s="33"/>
      <c r="I39" s="36"/>
      <c r="J39" s="36"/>
      <c r="K39" s="302" t="str">
        <f t="shared" si="4"/>
        <v/>
      </c>
      <c r="L39" s="126"/>
      <c r="M39" s="133"/>
      <c r="N39" s="30"/>
      <c r="O39" s="30"/>
      <c r="P39" s="30"/>
      <c r="Q39" s="303">
        <f t="shared" si="5"/>
        <v>0</v>
      </c>
      <c r="R39" s="178" t="str">
        <f t="shared" si="6"/>
        <v/>
      </c>
      <c r="S39" s="180" t="str">
        <f t="shared" si="7"/>
        <v/>
      </c>
      <c r="AL39" s="27"/>
      <c r="AM39" s="27"/>
      <c r="AN39" s="27"/>
    </row>
    <row r="40" spans="2:40" x14ac:dyDescent="0.25">
      <c r="B40" s="300">
        <v>16</v>
      </c>
      <c r="C40" s="301" t="str">
        <f t="shared" si="3"/>
        <v/>
      </c>
      <c r="D40" s="144"/>
      <c r="E40" s="144"/>
      <c r="F40" s="147"/>
      <c r="G40" s="148"/>
      <c r="H40" s="33"/>
      <c r="I40" s="36"/>
      <c r="J40" s="36"/>
      <c r="K40" s="302" t="str">
        <f t="shared" si="4"/>
        <v/>
      </c>
      <c r="L40" s="126"/>
      <c r="M40" s="133"/>
      <c r="N40" s="30"/>
      <c r="O40" s="30"/>
      <c r="P40" s="30"/>
      <c r="Q40" s="303">
        <f t="shared" si="5"/>
        <v>0</v>
      </c>
      <c r="R40" s="178" t="str">
        <f t="shared" si="6"/>
        <v/>
      </c>
      <c r="S40" s="180" t="str">
        <f t="shared" si="7"/>
        <v/>
      </c>
      <c r="AL40" s="27"/>
      <c r="AM40" s="27"/>
      <c r="AN40" s="27"/>
    </row>
    <row r="41" spans="2:40" x14ac:dyDescent="0.25">
      <c r="B41" s="300">
        <v>17</v>
      </c>
      <c r="C41" s="301" t="str">
        <f t="shared" si="3"/>
        <v/>
      </c>
      <c r="D41" s="144"/>
      <c r="E41" s="144"/>
      <c r="F41" s="147"/>
      <c r="G41" s="148"/>
      <c r="H41" s="33"/>
      <c r="I41" s="36"/>
      <c r="J41" s="36"/>
      <c r="K41" s="302" t="str">
        <f t="shared" si="4"/>
        <v/>
      </c>
      <c r="L41" s="126"/>
      <c r="M41" s="133"/>
      <c r="N41" s="30"/>
      <c r="O41" s="30"/>
      <c r="P41" s="30"/>
      <c r="Q41" s="303">
        <f t="shared" si="5"/>
        <v>0</v>
      </c>
      <c r="R41" s="178" t="str">
        <f t="shared" si="6"/>
        <v/>
      </c>
      <c r="S41" s="180" t="str">
        <f t="shared" si="7"/>
        <v/>
      </c>
      <c r="AL41" s="27"/>
      <c r="AM41" s="27"/>
      <c r="AN41" s="27"/>
    </row>
    <row r="42" spans="2:40" x14ac:dyDescent="0.25">
      <c r="B42" s="300">
        <v>18</v>
      </c>
      <c r="C42" s="301" t="str">
        <f t="shared" si="3"/>
        <v/>
      </c>
      <c r="D42" s="144"/>
      <c r="E42" s="144"/>
      <c r="F42" s="147"/>
      <c r="G42" s="148"/>
      <c r="H42" s="33"/>
      <c r="I42" s="36"/>
      <c r="J42" s="36"/>
      <c r="K42" s="302" t="str">
        <f t="shared" si="4"/>
        <v/>
      </c>
      <c r="L42" s="126"/>
      <c r="M42" s="133"/>
      <c r="N42" s="30"/>
      <c r="O42" s="30"/>
      <c r="P42" s="30"/>
      <c r="Q42" s="303">
        <f t="shared" si="5"/>
        <v>0</v>
      </c>
      <c r="R42" s="178" t="str">
        <f t="shared" si="6"/>
        <v/>
      </c>
      <c r="S42" s="180" t="str">
        <f t="shared" si="7"/>
        <v/>
      </c>
      <c r="AL42" s="27"/>
      <c r="AM42" s="27"/>
      <c r="AN42" s="27"/>
    </row>
    <row r="43" spans="2:40" x14ac:dyDescent="0.2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3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E30" sqref="E30"/>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Shasta</v>
      </c>
      <c r="G9" s="226" t="s">
        <v>1</v>
      </c>
      <c r="H9" s="264">
        <f>IF(ISBLANK('1. Information'!D9),"",'1. Information'!D9)</f>
        <v>44950</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552</v>
      </c>
      <c r="G15" s="136"/>
      <c r="H15" s="136"/>
      <c r="I15" s="136"/>
      <c r="J15" s="136"/>
      <c r="K15" s="246">
        <f>SUM(F15:J15)</f>
        <v>552</v>
      </c>
      <c r="L15" s="175"/>
      <c r="M15" s="175"/>
      <c r="N15" s="175"/>
      <c r="O15" s="27"/>
      <c r="P15" s="27"/>
    </row>
    <row r="16" spans="1:17" ht="15.75" x14ac:dyDescent="0.25">
      <c r="B16" s="300">
        <v>2</v>
      </c>
      <c r="C16" s="308" t="s">
        <v>143</v>
      </c>
      <c r="D16" s="242"/>
      <c r="E16" s="243"/>
      <c r="F16" s="136">
        <f>113652-F15-G16-H16-I16-J16</f>
        <v>113100</v>
      </c>
      <c r="G16" s="136"/>
      <c r="H16" s="136"/>
      <c r="I16" s="136"/>
      <c r="J16" s="136"/>
      <c r="K16" s="246">
        <f>SUM(F16:J16)</f>
        <v>113100</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306088</v>
      </c>
      <c r="G21" s="313">
        <f>SUMIF($K$29:$K$128,"Project Direct",M$29:M$128)</f>
        <v>0</v>
      </c>
      <c r="H21" s="310">
        <f>SUMIF($K$29:$K$128,"Project Direct",N$29:N$128)</f>
        <v>0</v>
      </c>
      <c r="I21" s="310">
        <f>SUMIF($K$29:$K$128,"Project Direct",O$29:O$128)</f>
        <v>0</v>
      </c>
      <c r="J21" s="310">
        <f>SUMIF($K$29:$K$128,"Project Direct",P$29:P$128)</f>
        <v>0</v>
      </c>
      <c r="K21" s="246">
        <f t="shared" si="0"/>
        <v>306088</v>
      </c>
      <c r="L21" s="175"/>
      <c r="M21" s="175"/>
      <c r="N21" s="175"/>
      <c r="O21" s="27"/>
      <c r="P21" s="27"/>
    </row>
    <row r="22" spans="2:17" ht="15.75" x14ac:dyDescent="0.25">
      <c r="B22" s="300">
        <v>8</v>
      </c>
      <c r="C22" s="308" t="s">
        <v>146</v>
      </c>
      <c r="D22" s="314"/>
      <c r="F22" s="315">
        <f>SUM(F19:F21)</f>
        <v>306088</v>
      </c>
      <c r="G22" s="316">
        <f>SUM(G19:G21)</f>
        <v>0</v>
      </c>
      <c r="H22" s="315">
        <f>SUM(H19:H21)</f>
        <v>0</v>
      </c>
      <c r="I22" s="315">
        <f>SUM(I19:I21)</f>
        <v>0</v>
      </c>
      <c r="J22" s="315">
        <f t="shared" ref="J22" si="1">SUM(J19:J21)</f>
        <v>0</v>
      </c>
      <c r="K22" s="246">
        <f t="shared" si="0"/>
        <v>306088</v>
      </c>
      <c r="L22" s="175"/>
      <c r="M22" s="175"/>
      <c r="N22" s="175"/>
      <c r="O22" s="27"/>
      <c r="P22" s="27"/>
    </row>
    <row r="23" spans="2:17" ht="30.95" customHeight="1" x14ac:dyDescent="0.25">
      <c r="B23" s="300">
        <v>9</v>
      </c>
      <c r="C23" s="317" t="s">
        <v>239</v>
      </c>
      <c r="D23" s="318"/>
      <c r="E23" s="319"/>
      <c r="F23" s="320">
        <f>SUM(F15:F16,F18:F21)</f>
        <v>419740</v>
      </c>
      <c r="G23" s="320">
        <f>SUM(G15:G16,G19:G21)</f>
        <v>0</v>
      </c>
      <c r="H23" s="320">
        <f t="shared" ref="H23:J23" si="2">SUM(H15:H16,H19:H21)</f>
        <v>0</v>
      </c>
      <c r="I23" s="320">
        <f t="shared" si="2"/>
        <v>0</v>
      </c>
      <c r="J23" s="320">
        <f t="shared" si="2"/>
        <v>0</v>
      </c>
      <c r="K23" s="279">
        <f t="shared" si="0"/>
        <v>419740</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45</v>
      </c>
      <c r="E29" s="144" t="s">
        <v>796</v>
      </c>
      <c r="F29" s="38"/>
      <c r="G29" s="38">
        <v>44518</v>
      </c>
      <c r="H29" s="38">
        <v>44593</v>
      </c>
      <c r="I29" s="30">
        <v>1750000</v>
      </c>
      <c r="J29" s="30"/>
      <c r="K29" s="326" t="s">
        <v>140</v>
      </c>
      <c r="L29" s="32"/>
      <c r="M29" s="32"/>
      <c r="N29" s="30"/>
      <c r="O29" s="30"/>
      <c r="P29" s="34"/>
      <c r="Q29" s="246">
        <f>SUM(L29:P29)</f>
        <v>0</v>
      </c>
    </row>
    <row r="30" spans="2:17" x14ac:dyDescent="0.2">
      <c r="B30" s="276">
        <v>10</v>
      </c>
      <c r="C30" s="218" t="s">
        <v>25</v>
      </c>
      <c r="D30" s="327">
        <f t="shared" ref="D30:J31" si="3">IF(ISBLANK(D29),"",D29)</f>
        <v>45</v>
      </c>
      <c r="E30" s="328" t="str">
        <f t="shared" si="3"/>
        <v>Hope Park Project</v>
      </c>
      <c r="F30" s="329" t="str">
        <f t="shared" si="3"/>
        <v/>
      </c>
      <c r="G30" s="329">
        <f t="shared" si="3"/>
        <v>44518</v>
      </c>
      <c r="H30" s="329">
        <f t="shared" si="3"/>
        <v>44593</v>
      </c>
      <c r="I30" s="330">
        <f t="shared" si="3"/>
        <v>1750000</v>
      </c>
      <c r="J30" s="330" t="str">
        <f t="shared" si="3"/>
        <v/>
      </c>
      <c r="K30" s="275" t="s">
        <v>141</v>
      </c>
      <c r="L30" s="32"/>
      <c r="M30" s="32"/>
      <c r="N30" s="30"/>
      <c r="O30" s="30"/>
      <c r="P30" s="34"/>
      <c r="Q30" s="246">
        <f t="shared" ref="Q30:Q60" si="4">SUM(L30:P30)</f>
        <v>0</v>
      </c>
    </row>
    <row r="31" spans="2:17" x14ac:dyDescent="0.2">
      <c r="B31" s="276">
        <v>10</v>
      </c>
      <c r="C31" s="218" t="s">
        <v>27</v>
      </c>
      <c r="D31" s="327">
        <f t="shared" ref="D31:I31" si="5">IF(ISBLANK(D29),"",D29)</f>
        <v>45</v>
      </c>
      <c r="E31" s="331" t="str">
        <f t="shared" si="5"/>
        <v>Hope Park Project</v>
      </c>
      <c r="F31" s="332" t="str">
        <f t="shared" si="5"/>
        <v/>
      </c>
      <c r="G31" s="332">
        <f t="shared" si="5"/>
        <v>44518</v>
      </c>
      <c r="H31" s="332">
        <f t="shared" si="5"/>
        <v>44593</v>
      </c>
      <c r="I31" s="275">
        <f t="shared" si="5"/>
        <v>1750000</v>
      </c>
      <c r="J31" s="275" t="str">
        <f t="shared" si="3"/>
        <v/>
      </c>
      <c r="K31" s="275" t="s">
        <v>197</v>
      </c>
      <c r="L31" s="32">
        <v>247982</v>
      </c>
      <c r="M31" s="32"/>
      <c r="N31" s="30"/>
      <c r="O31" s="30"/>
      <c r="P31" s="34"/>
      <c r="Q31" s="246">
        <f t="shared" si="4"/>
        <v>247982</v>
      </c>
    </row>
    <row r="32" spans="2:17" ht="15.75" x14ac:dyDescent="0.25">
      <c r="B32" s="333">
        <v>10</v>
      </c>
      <c r="C32" s="333" t="s">
        <v>202</v>
      </c>
      <c r="D32" s="334">
        <f t="shared" ref="D32:J32" si="6">IF(ISBLANK(D29),"",D29)</f>
        <v>45</v>
      </c>
      <c r="E32" s="335" t="str">
        <f t="shared" si="6"/>
        <v>Hope Park Project</v>
      </c>
      <c r="F32" s="336" t="str">
        <f t="shared" si="6"/>
        <v/>
      </c>
      <c r="G32" s="336">
        <f t="shared" si="6"/>
        <v>44518</v>
      </c>
      <c r="H32" s="336">
        <f t="shared" si="6"/>
        <v>44593</v>
      </c>
      <c r="I32" s="337">
        <f t="shared" si="6"/>
        <v>1750000</v>
      </c>
      <c r="J32" s="337" t="str">
        <f t="shared" si="6"/>
        <v/>
      </c>
      <c r="K32" s="279" t="s">
        <v>217</v>
      </c>
      <c r="L32" s="338">
        <f>SUM(L29:L31)</f>
        <v>247982</v>
      </c>
      <c r="M32" s="338">
        <f>SUM(M29:M31)</f>
        <v>0</v>
      </c>
      <c r="N32" s="339">
        <f t="shared" ref="N32:P32" si="7">SUM(N29:N31)</f>
        <v>0</v>
      </c>
      <c r="O32" s="339">
        <f t="shared" si="7"/>
        <v>0</v>
      </c>
      <c r="P32" s="340">
        <f t="shared" si="7"/>
        <v>0</v>
      </c>
      <c r="Q32" s="279">
        <f t="shared" si="4"/>
        <v>247982</v>
      </c>
    </row>
    <row r="33" spans="2:17" x14ac:dyDescent="0.2">
      <c r="B33" s="276">
        <v>11</v>
      </c>
      <c r="C33" s="293" t="s">
        <v>23</v>
      </c>
      <c r="D33" s="325">
        <f>IF(Q36&lt;&gt;0,VLOOKUP($E$9,Info_County_Code,2,FALSE),"")</f>
        <v>45</v>
      </c>
      <c r="E33" s="144" t="s">
        <v>797</v>
      </c>
      <c r="F33" s="38"/>
      <c r="G33" s="38">
        <v>44371</v>
      </c>
      <c r="H33" s="38">
        <v>44713</v>
      </c>
      <c r="I33" s="30">
        <v>630731</v>
      </c>
      <c r="J33" s="30"/>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45</v>
      </c>
      <c r="E34" s="328" t="str">
        <f t="shared" si="9"/>
        <v>Psychiatric Advance Directives (PADS)</v>
      </c>
      <c r="F34" s="329" t="str">
        <f t="shared" si="9"/>
        <v/>
      </c>
      <c r="G34" s="329">
        <f t="shared" si="9"/>
        <v>44371</v>
      </c>
      <c r="H34" s="329">
        <f t="shared" si="9"/>
        <v>44713</v>
      </c>
      <c r="I34" s="330">
        <f t="shared" si="9"/>
        <v>630731</v>
      </c>
      <c r="J34" s="330" t="str">
        <f t="shared" si="9"/>
        <v/>
      </c>
      <c r="K34" s="275" t="str">
        <f>IF(NOT(ISBLANK(E33)),$K$30,"")</f>
        <v>Project Evaluation</v>
      </c>
      <c r="L34" s="32"/>
      <c r="M34" s="32"/>
      <c r="N34" s="30"/>
      <c r="O34" s="30"/>
      <c r="P34" s="34"/>
      <c r="Q34" s="246">
        <f t="shared" si="8"/>
        <v>0</v>
      </c>
    </row>
    <row r="35" spans="2:17" x14ac:dyDescent="0.2">
      <c r="B35" s="276">
        <v>11</v>
      </c>
      <c r="C35" s="218" t="s">
        <v>27</v>
      </c>
      <c r="D35" s="327">
        <f t="shared" ref="D35:J35" si="10">IF(ISBLANK(D33),"",D33)</f>
        <v>45</v>
      </c>
      <c r="E35" s="331" t="str">
        <f t="shared" si="10"/>
        <v>Psychiatric Advance Directives (PADS)</v>
      </c>
      <c r="F35" s="332" t="str">
        <f t="shared" si="10"/>
        <v/>
      </c>
      <c r="G35" s="332">
        <f t="shared" si="10"/>
        <v>44371</v>
      </c>
      <c r="H35" s="332">
        <f t="shared" si="10"/>
        <v>44713</v>
      </c>
      <c r="I35" s="275">
        <f t="shared" si="10"/>
        <v>630731</v>
      </c>
      <c r="J35" s="275" t="str">
        <f t="shared" si="10"/>
        <v/>
      </c>
      <c r="K35" s="275" t="str">
        <f>IF(NOT(ISBLANK(E33)),$K$31,"")</f>
        <v>Project Direct</v>
      </c>
      <c r="L35" s="32">
        <v>58106</v>
      </c>
      <c r="M35" s="32"/>
      <c r="N35" s="30"/>
      <c r="O35" s="30"/>
      <c r="P35" s="34"/>
      <c r="Q35" s="246">
        <f t="shared" si="8"/>
        <v>58106</v>
      </c>
    </row>
    <row r="36" spans="2:17" ht="15.75" x14ac:dyDescent="0.25">
      <c r="B36" s="333">
        <v>11</v>
      </c>
      <c r="C36" s="333" t="s">
        <v>202</v>
      </c>
      <c r="D36" s="334">
        <f t="shared" ref="D36:J36" si="11">IF(ISBLANK(D33),"",D33)</f>
        <v>45</v>
      </c>
      <c r="E36" s="335" t="str">
        <f t="shared" si="11"/>
        <v>Psychiatric Advance Directives (PADS)</v>
      </c>
      <c r="F36" s="336" t="str">
        <f t="shared" si="11"/>
        <v/>
      </c>
      <c r="G36" s="336">
        <f t="shared" si="11"/>
        <v>44371</v>
      </c>
      <c r="H36" s="336">
        <f t="shared" si="11"/>
        <v>44713</v>
      </c>
      <c r="I36" s="337">
        <f t="shared" si="11"/>
        <v>630731</v>
      </c>
      <c r="J36" s="337" t="str">
        <f t="shared" si="11"/>
        <v/>
      </c>
      <c r="K36" s="279" t="str">
        <f>IF(NOT(ISBLANK(E33)),$K$32,"")</f>
        <v>Project Subtotal</v>
      </c>
      <c r="L36" s="338">
        <f t="shared" ref="L36" si="12">SUM(L33:L35)</f>
        <v>58106</v>
      </c>
      <c r="M36" s="338">
        <f>SUM(M33:M35)</f>
        <v>0</v>
      </c>
      <c r="N36" s="339">
        <f t="shared" ref="N36:P36" si="13">SUM(N33:N35)</f>
        <v>0</v>
      </c>
      <c r="O36" s="339">
        <f t="shared" si="13"/>
        <v>0</v>
      </c>
      <c r="P36" s="340">
        <f t="shared" si="13"/>
        <v>0</v>
      </c>
      <c r="Q36" s="279">
        <f t="shared" si="8"/>
        <v>58106</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5" right="0.25" top="0.75" bottom="0.75" header="0.3" footer="0.3"/>
  <pageSetup paperSize="5" scale="45" fitToWidth="0" fitToHeight="0" orientation="landscape" r:id="rId4"/>
  <headerFooter>
    <oddFooter>&amp;C&amp;"Arial,Regular"&amp;16Page &amp;P of &amp;N</oddFooter>
  </headerFooter>
  <rowBreaks count="2" manualBreakCount="2">
    <brk id="40"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8" sqref="F1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Shasta</v>
      </c>
      <c r="F9" s="226" t="s">
        <v>1</v>
      </c>
      <c r="G9" s="346">
        <f>IF(ISBLANK('1. Information'!D9),"",'1. Information'!D9)</f>
        <v>44950</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0</v>
      </c>
      <c r="G20" s="351">
        <f t="shared" ref="G20:I20" si="1">SUM(F28:F32)</f>
        <v>0</v>
      </c>
      <c r="H20" s="330">
        <f t="shared" si="1"/>
        <v>0</v>
      </c>
      <c r="I20" s="330">
        <f t="shared" si="1"/>
        <v>0</v>
      </c>
      <c r="J20" s="330">
        <f>SUM(I28:I32)</f>
        <v>0</v>
      </c>
      <c r="K20" s="246">
        <f t="shared" si="0"/>
        <v>0</v>
      </c>
      <c r="L20" s="175"/>
      <c r="M20" s="175"/>
      <c r="N20" s="27"/>
      <c r="O20" s="27"/>
    </row>
    <row r="21" spans="1:22" ht="30.95" customHeight="1" x14ac:dyDescent="0.25">
      <c r="A21" s="27"/>
      <c r="B21" s="300">
        <v>7</v>
      </c>
      <c r="C21" s="277" t="s">
        <v>188</v>
      </c>
      <c r="D21" s="277"/>
      <c r="E21" s="277"/>
      <c r="F21" s="279">
        <f>SUM(F15:F17,F19:F20)</f>
        <v>0</v>
      </c>
      <c r="G21" s="251">
        <f>SUM(G15:G17,G20)</f>
        <v>0</v>
      </c>
      <c r="H21" s="250">
        <f>SUM(H15:H17,H20)</f>
        <v>0</v>
      </c>
      <c r="I21" s="250">
        <f>SUM(I15:I17,I20)</f>
        <v>0</v>
      </c>
      <c r="J21" s="250">
        <f>SUM(J15:J17,J20)</f>
        <v>0</v>
      </c>
      <c r="K21" s="279">
        <f t="shared" si="0"/>
        <v>0</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t="str">
        <f t="shared" si="2"/>
        <v/>
      </c>
      <c r="D29" s="355" t="s">
        <v>99</v>
      </c>
      <c r="E29" s="31"/>
      <c r="F29" s="32"/>
      <c r="G29" s="31"/>
      <c r="H29" s="31"/>
      <c r="I29" s="128"/>
      <c r="J29" s="275">
        <f t="shared" ref="J29:J32" si="3">SUM(E29:I29)</f>
        <v>0</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5"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7" workbookViewId="0">
      <selection activeCell="A48" sqref="A48"/>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Shasta</v>
      </c>
      <c r="E9" s="8"/>
      <c r="F9" s="162" t="s">
        <v>1</v>
      </c>
      <c r="G9" s="264">
        <f>IF(ISBLANK('1. Information'!D9),"",'1. Information'!D9)</f>
        <v>44950</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0</v>
      </c>
      <c r="G20" s="351">
        <f>SUM(H27:H46)</f>
        <v>0</v>
      </c>
      <c r="H20" s="330">
        <f t="shared" ref="H20" si="1">SUM(I27:I46)</f>
        <v>0</v>
      </c>
      <c r="I20" s="330">
        <f>SUM(J27:J46)</f>
        <v>0</v>
      </c>
      <c r="J20" s="275">
        <f>SUM(K27:K46)</f>
        <v>0</v>
      </c>
      <c r="K20" s="326">
        <f t="shared" si="0"/>
        <v>0</v>
      </c>
      <c r="L20" s="175"/>
      <c r="M20" s="175"/>
      <c r="U20" s="27"/>
      <c r="V20" s="27"/>
      <c r="W20" s="27"/>
    </row>
    <row r="21" spans="1:23" ht="30.95" customHeight="1" x14ac:dyDescent="0.25">
      <c r="B21" s="300">
        <v>7</v>
      </c>
      <c r="C21" s="359" t="s">
        <v>768</v>
      </c>
      <c r="D21" s="360"/>
      <c r="E21" s="361"/>
      <c r="F21" s="279">
        <f>SUM(F15:F17,F19:F20)</f>
        <v>0</v>
      </c>
      <c r="G21" s="251">
        <f>SUM(G15:G17,G20)</f>
        <v>0</v>
      </c>
      <c r="H21" s="251">
        <f t="shared" ref="H21:J21" si="2">SUM(H15:H17,H20)</f>
        <v>0</v>
      </c>
      <c r="I21" s="251">
        <f t="shared" si="2"/>
        <v>0</v>
      </c>
      <c r="J21" s="251">
        <f t="shared" si="2"/>
        <v>0</v>
      </c>
      <c r="K21" s="250">
        <f>SUM(F21:J21)</f>
        <v>0</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c r="E27" s="144"/>
      <c r="F27" s="127"/>
      <c r="G27" s="126"/>
      <c r="H27" s="126"/>
      <c r="I27" s="126"/>
      <c r="J27" s="129"/>
      <c r="K27" s="126"/>
      <c r="L27" s="364">
        <f>SUM(G27:K27)</f>
        <v>0</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15" sqref="D15"/>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Shasta</v>
      </c>
      <c r="E9" s="2"/>
      <c r="F9" s="365" t="s">
        <v>156</v>
      </c>
      <c r="G9" s="264">
        <f>IF(ISBLANK('1. Information'!D9),"",'1. Information'!D9)</f>
        <v>44950</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Shasta</v>
      </c>
      <c r="F9" s="226" t="s">
        <v>1</v>
      </c>
      <c r="G9" s="346">
        <f>IF(ISBLANK('1. Information'!D9),"",'1. Information'!D9)</f>
        <v>44950</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3" sqref="E13"/>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Shasta</v>
      </c>
      <c r="F9" s="226" t="s">
        <v>1</v>
      </c>
      <c r="G9" s="346">
        <f>IF(ISBLANK('1. Information'!D9),"",'1. Information'!D9)</f>
        <v>44950</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60" x14ac:dyDescent="0.2">
      <c r="B13" s="375">
        <v>1</v>
      </c>
      <c r="C13" s="169" t="s">
        <v>30</v>
      </c>
      <c r="D13" s="169" t="s">
        <v>782</v>
      </c>
      <c r="E13" s="117" t="s">
        <v>804</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Shasta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DHCSDOC-1797567310-6328</_dlc_DocId>
    <_dlc_DocIdUrl xmlns="69bc34b3-1921-46c7-8c7a-d18363374b4b">
      <Url>https://dhcscagovauthoring/_layouts/15/DocIdRedir.aspx?ID=DHCSDOC-1797567310-6328</Url>
      <Description>DHCSDOC-1797567310-6328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E1473079-F19B-46AB-A300-2021B44D45D0}"/>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Shasta-FY-21-22</dc:title>
  <dc:creator>Donna Ures</dc:creator>
  <cp:keywords/>
  <cp:lastModifiedBy>Brent Langan</cp:lastModifiedBy>
  <cp:lastPrinted>2023-01-13T18:36:33Z</cp:lastPrinted>
  <dcterms:created xsi:type="dcterms:W3CDTF">2017-07-05T19:48:18Z</dcterms:created>
  <dcterms:modified xsi:type="dcterms:W3CDTF">2023-02-15T23:53:13Z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008281b4-00cd-4bc8-a447-2d456565673c</vt:lpwstr>
  </property>
  <property fmtid="{D5CDD505-2E9C-101B-9397-08002B2CF9AE}" pid="4" name="Remediated">
    <vt:bool>false</vt:bool>
  </property>
  <property fmtid="{D5CDD505-2E9C-101B-9397-08002B2CF9AE}" pid="5" name="Division">
    <vt:lpwstr>11;#Community Services|c23dee46-a4de-4c29-8bbc-79830d9e7d7c</vt:lpwstr>
  </property>
</Properties>
</file>