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codeName="ThisWorkbook"/>
  <mc:AlternateContent xmlns:mc="http://schemas.openxmlformats.org/markup-compatibility/2006">
    <mc:Choice Requires="x15">
      <x15ac:absPath xmlns:x15ac="http://schemas.microsoft.com/office/spreadsheetml/2010/11/ac" url="L:\MHE\Business Services\Fiscal\MHSA\RER\FY2122\"/>
    </mc:Choice>
  </mc:AlternateContent>
  <xr:revisionPtr revIDLastSave="0" documentId="13_ncr:1_{42DCDA47-71DD-46EE-AB78-4A513198AA8A}" xr6:coauthVersionLast="47" xr6:coauthVersionMax="47" xr10:uidLastSave="{00000000-0000-0000-0000-000000000000}"/>
  <bookViews>
    <workbookView xWindow="-28920" yWindow="-3315" windowWidth="29040" windowHeight="1584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<sst xmlns="http://schemas.openxmlformats.org/spreadsheetml/2006/main" count="1539" uniqueCount="828">
  <si>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</si>
  <si>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</si>
  <si>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</si>
  <si>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</si>
  <si>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</si>
  <si>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</si>
  <si>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</si>
  <si>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</si>
  <si>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</si>
  <si>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</si>
  <si>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</si>
  <si>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</si>
  <si>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</si>
  <si>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</si>
  <si>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</si>
  <si>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</si>
  <si>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</si>
  <si>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</si>
  <si>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</si>
  <si>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</si>
  <si>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</si>
  <si>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</si>
  <si>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</si>
  <si>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</si>
  <si>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</si>
  <si>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</si>
  <si>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</si>
  <si>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</si>
  <si>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</si>
  <si>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</si>
  <si>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</si>
  <si>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</si>
  <si>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</si>
  <si>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</si>
  <si>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</si>
  <si>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</si>
  <si>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</si>
  <si>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</si>
  <si>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</si>
  <si>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</si>
  <si>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</si>
  <si>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</si>
  <si>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</si>
  <si>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</si>
  <si>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</si>
  <si>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</si>
  <si>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</si>
  <si>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</si>
  <si>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</si>
  <si>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</si>
  <si>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</si>
  <si>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</si>
  <si>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</si>
  <si>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</si>
  <si>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</si>
  <si>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</si>
  <si>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</si>
  <si>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</si>
  <si>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</si>
  <si>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</si>
  <si>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</si>
  <si>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</si>
  <si>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</si>
  <si>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</si>
  <si>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</si>
  <si>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</si>
  <si>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</si>
  <si>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</si>
  <si>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</si>
  <si>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</si>
  <si>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</si>
  <si>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</si>
  <si>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</si>
  <si>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</si>
  <si>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</si>
  <si>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</si>
  <si>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</si>
  <si>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</si>
  <si>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</si>
  <si>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</si>
  <si>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</si>
  <si>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</si>
  <si>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</si>
  <si>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</si>
  <si>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</si>
  <si>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</si>
  <si>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</si>
  <si>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</si>
  <si>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</si>
  <si>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</si>
  <si>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</si>
  <si>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</si>
  <si>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</si>
  <si>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</si>
  <si>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</si>
  <si>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</si>
  <si>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</si>
  <si>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</si>
  <si>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</si>
  <si>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</si>
  <si>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</si>
  <si>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</si>
  <si>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</si>
  <si>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</si>
  <si>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</si>
  <si>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</si>
  <si>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</si>
  <si>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</si>
  <si>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</si>
  <si>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</si>
  <si>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</si>
  <si>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</si>
  <si>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</si>
  <si>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</si>
  <si>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</si>
  <si>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</si>
  <si>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</si>
  <si>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</si>
  <si>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</si>
  <si>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</si>
  <si>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</si>
  <si>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</si>
  <si>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</si>
  <si>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</si>
  <si>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</si>
  <si>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</si>
  <si>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</si>
  <si>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</si>
  <si>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</si>
  <si>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</si>
  <si>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</si>
  <si>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</si>
  <si>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</si>
  <si>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</si>
  <si>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</si>
  <si>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</si>
  <si>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</si>
  <si>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</si>
  <si>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</si>
  <si>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</si>
  <si>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</si>
  <si>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</si>
  <si>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</si>
  <si>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</si>
  <si>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</si>
  <si>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</si>
  <si>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</si>
  <si>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</si>
  <si>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</si>
  <si>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</si>
  <si>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</si>
  <si>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</si>
  <si>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</si>
  <si>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</si>
  <si>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</si>
  <si>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</si>
  <si>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</si>
  <si>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</si>
  <si>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</si>
  <si>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</si>
  <si>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</si>
  <si>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</si>
  <si>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</si>
  <si>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</si>
  <si>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</si>
  <si>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</si>
  <si>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</si>
  <si>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</si>
  <si>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</si>
  <si>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</si>
  <si>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</si>
  <si>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</si>
  <si>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</si>
  <si>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</si>
  <si>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</si>
  <si>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</si>
  <si>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</si>
  <si>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</si>
  <si>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</si>
  <si>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</si>
  <si>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</si>
  <si>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</si>
  <si>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</si>
  <si>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</si>
  <si>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</si>
  <si>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</si>
  <si>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</si>
  <si>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</si>
  <si>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</si>
  <si>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</si>
  <si>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</si>
  <si>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</si>
  <si>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</si>
  <si>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</si>
  <si>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</si>
  <si>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</si>
  <si>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</si>
  <si>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</si>
  <si>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</si>
  <si>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</si>
  <si>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</si>
  <si>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</si>
  <si>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</si>
  <si>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</si>
  <si>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</si>
  <si>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</si>
  <si>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</si>
  <si>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</si>
  <si>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</si>
  <si>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</si>
  <si>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</si>
  <si>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</si>
  <si>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</si>
  <si>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</si>
  <si>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</si>
  <si>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</si>
  <si>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</si>
  <si>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</si>
  <si>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</si>
  <si>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</si>
  <si>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</si>
  <si>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</si>
  <si>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</si>
  <si>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</si>
  <si>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</si>
  <si>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</si>
  <si>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</si>
  <si>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</si>
  <si>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</si>
  <si>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</si>
  <si>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</si>
  <si>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</si>
  <si>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</si>
  <si>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</si>
  <si>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</si>
  <si>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</si>
  <si>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</si>
  <si>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</si>
  <si>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</si>
  <si>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</si>
  <si>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</si>
  <si>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</si>
  <si>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</si>
  <si>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</si>
  <si>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</si>
  <si>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</si>
  <si>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</si>
  <si>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</si>
  <si>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</si>
  <si>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</si>
  <si>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</si>
  <si>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</si>
  <si>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</si>
  <si>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</si>
  <si>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</si>
  <si>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</si>
  <si>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</si>
  <si>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</si>
  <si>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</si>
  <si>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</si>
  <si>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</si>
  <si>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</si>
  <si>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</si>
  <si>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</si>
  <si>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</si>
  <si>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</si>
  <si>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</si>
  <si>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</si>
  <si>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</si>
  <si>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</si>
  <si>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</si>
  <si>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</si>
  <si>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</si>
  <si>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</si>
  <si>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</si>
  <si>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</si>
  <si>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</si>
  <si>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</si>
  <si>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</si>
  <si>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</si>
  <si>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</si>
  <si>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</si>
  <si>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</si>
  <si>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</si>
  <si>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</si>
  <si>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</si>
  <si>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</si>
  <si>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</si>
  <si>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</si>
  <si>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</si>
  <si>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</si>
  <si>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</si>
  <si>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</si>
  <si>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</si>
  <si>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</si>
  <si>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</si>
  <si>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</si>
  <si>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</si>
  <si>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</si>
  <si>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</si>
  <si>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</si>
  <si>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</si>
  <si>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</si>
  <si>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</si>
  <si>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</si>
  <si>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</si>
  <si>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</si>
  <si>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</si>
  <si>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</si>
  <si>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</si>
  <si>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</si>
  <si>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</si>
  <si>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</si>
  <si>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</si>
  <si>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</si>
  <si>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</si>
  <si>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</si>
  <si>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</si>
  <si>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</si>
  <si>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</si>
  <si>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</si>
  <si>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</si>
  <si>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</si>
  <si>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</si>
  <si>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</si>
  <si>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</si>
  <si>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</si>
  <si>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</si>
  <si>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</si>
  <si>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</si>
  <si>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</si>
  <si>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</si>
  <si>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</si>
  <si>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</si>
  <si>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</si>
  <si>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</si>
  <si>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</si>
  <si>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</si>
  <si>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</si>
  <si>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</si>
  <si>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</si>
  <si>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</si>
  <si>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</si>
  <si>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</si>
  <si>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</si>
  <si>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</si>
  <si>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</si>
  <si>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</si>
  <si>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</si>
  <si>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</si>
  <si>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</si>
  <si>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</si>
  <si>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</si>
  <si>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</si>
  <si>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</si>
  <si>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</si>
  <si>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</si>
  <si>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</si>
  <si>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</si>
  <si>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</si>
  <si>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</si>
  <si>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</si>
  <si>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</si>
  <si>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</si>
  <si>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</si>
  <si>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</si>
  <si>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</si>
  <si>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</si>
  <si>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</si>
  <si>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</si>
  <si>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</si>
  <si>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</si>
  <si>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</si>
  <si>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</si>
  <si>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</si>
  <si>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</si>
  <si>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</si>
  <si>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</si>
  <si>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</si>
  <si>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</si>
  <si>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</si>
  <si>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</si>
  <si>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</si>
  <si>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</si>
  <si>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</si>
  <si>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</si>
  <si>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</si>
  <si>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</si>
  <si>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</si>
  <si>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</si>
  <si>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</si>
  <si>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</si>
  <si>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</si>
  <si>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</si>
  <si>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</si>
  <si>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</si>
  <si>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</si>
  <si>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</si>
  <si>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</si>
  <si>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</si>
  <si>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</si>
  <si>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</si>
  <si>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</si>
  <si>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</si>
  <si>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</si>
  <si>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</si>
  <si>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</si>
  <si>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</si>
  <si>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</si>
  <si>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</si>
  <si>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</si>
  <si>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</si>
  <si>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</si>
  <si>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</si>
  <si>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</si>
  <si>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</si>
  <si>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</si>
  <si>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</si>
  <si>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</si>
  <si>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</si>
  <si>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</si>
  <si>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</si>
  <si>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</si>
  <si>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</si>
  <si>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</si>
  <si>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</si>
  <si>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</si>
  <si>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</si>
  <si>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</si>
  <si>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</si>
  <si>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</si>
  <si>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</si>
  <si>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</si>
  <si>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</si>
  <si>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</si>
  <si>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</si>
  <si>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</si>
  <si>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</si>
  <si>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</si>
  <si>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</si>
  <si>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</si>
  <si>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</si>
  <si>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</si>
  <si>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</si>
  <si>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</si>
  <si>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</si>
  <si>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</si>
  <si>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</si>
  <si>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</si>
  <si>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</si>
  <si>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</si>
  <si>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</si>
  <si>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</si>
  <si>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</si>
  <si>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</si>
  <si>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</si>
  <si>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</si>
  <si>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</si>
  <si>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</si>
  <si>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</si>
  <si>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</si>
  <si>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</si>
  <si>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</si>
  <si>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</si>
  <si>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</si>
  <si>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</si>
  <si>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</si>
  <si>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</si>
  <si>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</si>
  <si>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</si>
  <si>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</si>
  <si>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</si>
  <si>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</si>
  <si>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</si>
  <si>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</si>
  <si>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</si>
  <si>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</si>
  <si>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</si>
  <si>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</si>
  <si>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</si>
  <si>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</si>
  <si>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</si>
  <si>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</si>
  <si>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</si>
  <si>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</si>
  <si>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</si>
  <si>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</si>
  <si>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</si>
  <si>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</si>
  <si>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</si>
  <si>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</si>
  <si>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</si>
  <si>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</si>
  <si>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</si>
  <si>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</si>
  <si>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</si>
  <si>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</si>
  <si>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</si>
  <si>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</si>
  <si>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</si>
  <si>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</si>
  <si>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</si>
  <si>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</si>
  <si>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</si>
  <si>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</si>
  <si>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</si>
  <si>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</si>
  <si>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</si>
  <si>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</si>
  <si>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</si>
  <si>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</si>
  <si>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</si>
  <si>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</si>
  <si>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</si>
  <si>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</si>
  <si>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</si>
  <si>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</si>
  <si>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</si>
  <si>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</si>
  <si>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</si>
  <si>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</si>
  <si>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</si>
  <si>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</si>
  <si>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</si>
  <si>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</si>
  <si>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</si>
  <si>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</si>
  <si>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</si>
  <si>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</si>
  <si>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</si>
  <si>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</si>
  <si>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</si>
  <si>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</si>
  <si>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</si>
  <si>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</si>
  <si>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</si>
  <si>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</si>
  <si>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</si>
  <si>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</si>
  <si>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</si>
  <si>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</si>
  <si>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</si>
  <si>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</si>
  <si>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</si>
  <si>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</si>
  <si>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</si>
  <si>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</si>
  <si>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</si>
  <si>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</si>
  <si>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</si>
  <si>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</si>
  <si>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</si>
  <si>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</si>
  <si>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</si>
  <si>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</si>
  <si>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</si>
  <si>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</si>
  <si>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</si>
  <si>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</si>
  <si>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</si>
  <si>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</si>
  <si>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</si>
  <si>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</si>
  <si>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</si>
  <si>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</si>
  <si>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</si>
  <si>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</si>
  <si>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</si>
  <si>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</si>
  <si>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</si>
  <si>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</si>
  <si>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</si>
  <si>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</si>
  <si>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</si>
  <si>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</si>
  <si>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</si>
  <si>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</si>
  <si>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</si>
  <si>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</si>
  <si>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</si>
  <si>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</si>
  <si>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</si>
  <si>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</si>
  <si>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</si>
  <si>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</si>
  <si>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</si>
  <si>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</si>
  <si>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</si>
  <si>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</si>
  <si>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</si>
  <si>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</si>
  <si>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</si>
  <si>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</si>
  <si>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</si>
  <si>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</si>
  <si>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</si>
  <si>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</si>
  <si>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</si>
  <si>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</si>
  <si>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</si>
  <si>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</si>
  <si>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</si>
  <si>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</si>
  <si>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</si>
  <si>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</si>
  <si>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</si>
  <si>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</si>
  <si>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</si>
  <si>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</si>
  <si>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</si>
  <si>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</si>
  <si>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</si>
  <si>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</si>
  <si>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</si>
  <si>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</si>
  <si>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</si>
  <si>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</si>
  <si>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</si>
  <si>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</si>
  <si>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</si>
  <si>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</si>
  <si>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</si>
  <si>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</si>
  <si>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</si>
  <si>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</si>
  <si>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</si>
  <si>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</si>
  <si>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</si>
  <si>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</si>
  <si>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</si>
  <si>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</si>
  <si>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</si>
  <si>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</si>
  <si>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</si>
  <si>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</si>
  <si>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</si>
  <si>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</si>
  <si>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</si>
  <si>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</si>
  <si>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</si>
  <si>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</si>
  <si>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</si>
  <si>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</si>
  <si>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</si>
  <si>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</si>
  <si>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</si>
  <si>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</si>
  <si>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</si>
  <si>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</si>
  <si>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</si>
  <si>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</si>
  <si>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</si>
  <si>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</si>
  <si>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</si>
  <si>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</si>
  <si>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</si>
  <si>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</si>
  <si>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</si>
  <si>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</si>
  <si>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</si>
  <si>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</si>
  <si>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</si>
  <si>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</si>
  <si>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</si>
  <si>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</si>
  <si>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</si>
  <si>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</si>
  <si>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</si>
  <si>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</si>
  <si>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</si>
  <si>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</si>
  <si>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</si>
  <si>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</si>
  <si>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</si>
  <si>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</si>
  <si>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</si>
  <si>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</si>
  <si>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</si>
  <si>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</si>
  <si>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</si>
  <si>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</si>
  <si>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</si>
  <si>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</si>
  <si>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</si>
  <si>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</si>
  <si>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</si>
  <si>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</si>
  <si>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</si>
  <si>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</si>
  <si>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</si>
  <si>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</si>
  <si>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</si>
  <si>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</si>
  <si>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</si>
  <si>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</si>
  <si>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</si>
  <si>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</si>
  <si>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</si>
  <si>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</si>
  <si>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</si>
  <si>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</si>
  <si>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</si>
  <si>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</si>
  <si>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</si>
  <si>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</si>
  <si>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</si>
  <si>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</si>
  <si>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</si>
  <si>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</si>
  <si>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</si>
  <si>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</si>
  <si>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</si>
  <si>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</si>
  <si>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</si>
  <si>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</si>
  <si>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</si>
  <si>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</si>
  <si>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</si>
  <si>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</si>
  <si>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</si>
  <si>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</si>
  <si>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</si>
  <si>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</si>
  <si>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</si>
  <si>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</si>
  <si>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</si>
  <si>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</si>
  <si>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</si>
  <si>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</si>
  <si>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</si>
  <si>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</si>
  <si>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</si>
  <si>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</si>
  <si>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</si>
  <si>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</si>
  <si>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</si>
  <si>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</si>
  <si>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</si>
  <si>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</si>
  <si>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</si>
  <si>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</si>
  <si>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</si>
  <si>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</si>
  <si>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</si>
  <si>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</si>
  <si>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</si>
  <si>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</si>
  <si>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</si>
  <si>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</si>
  <si>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</si>
  <si>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</si>
  <si>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</si>
  <si>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</si>
  <si>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</si>
  <si>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</si>
  <si>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</si>
  <si>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</si>
  <si>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</si>
  <si>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</si>
  <si>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</si>
  <si>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</si>
  <si>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</si>
  <si>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</si>
  <si>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</si>
  <si>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</si>
  <si>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</si>
  <si>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</si>
  <si>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</si>
  <si>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</si>
  <si>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</si>
  <si>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</si>
  <si>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</si>
  <si>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</si>
  <si>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</si>
  <si>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</si>
  <si>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</si>
  <si>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</si>
  <si>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</si>
  <si>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</si>
  <si>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</si>
  <si>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</si>
  <si>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</si>
  <si>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</si>
  <si>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137 N. Cottonwood St.</t>
  </si>
  <si>
    <t>Woodland</t>
  </si>
  <si>
    <t>Grace Brown</t>
  </si>
  <si>
    <t>grace.brown@yolocounty.org</t>
  </si>
  <si>
    <t>530-666-8947</t>
  </si>
  <si>
    <t>Children's Mental Health Services</t>
  </si>
  <si>
    <t>Pathways to Independence</t>
  </si>
  <si>
    <t>Pathways to Independence Program</t>
  </si>
  <si>
    <t>Adult Wellness Services</t>
  </si>
  <si>
    <t>Adult Wellness Services Program</t>
  </si>
  <si>
    <t>Older Adult Outreach and Assessment Program</t>
  </si>
  <si>
    <t>Tele-Mental Health Services</t>
  </si>
  <si>
    <t>Community-Based Drop-In Navigation Center</t>
  </si>
  <si>
    <t>Mental Health Crisis Service and Crisis Intervention Team (CIT) Training</t>
  </si>
  <si>
    <t>Peer- and Family-Led Support Services</t>
  </si>
  <si>
    <t>Early Childhood Mental Health Access and Linkage Program</t>
  </si>
  <si>
    <t>Senior Peer Counseling Program</t>
  </si>
  <si>
    <t>Maternal Mental Health Access Hub</t>
  </si>
  <si>
    <t>College Partnerships</t>
  </si>
  <si>
    <t>College Partnerships Program</t>
  </si>
  <si>
    <t>K-12 School Partnerships Program</t>
  </si>
  <si>
    <t>Youth Early Intervention Program</t>
  </si>
  <si>
    <t>Cultural Competence</t>
  </si>
  <si>
    <t>Early Signs Training and Assistance</t>
  </si>
  <si>
    <t>Latinx Outreach/Mental Health Promotores Program</t>
  </si>
  <si>
    <t>Crisis Now Learning Collaborative</t>
  </si>
  <si>
    <t>Planning and Stakeholder Input Process for Crisis System Re-Design and Implementation</t>
  </si>
  <si>
    <t>Youth Early Intervention First Episode Psychosis (FEP) Program</t>
  </si>
  <si>
    <t>Peer-Run Housing</t>
  </si>
  <si>
    <t>IT Hardware/Sofware/Subscriptions Services</t>
  </si>
  <si>
    <t>Expenditure</t>
  </si>
  <si>
    <t>2020-21</t>
  </si>
  <si>
    <t>Accounting for transactions not reported on FY 2020-21 ARER</t>
  </si>
  <si>
    <t>Program names are listed according to the text of Yolo County's FY2021-2022 MHSA Annual Update.</t>
  </si>
  <si>
    <t>Reported JPA transfers and expenditures (for CalMHSA's Presumptive Transfers) are based on transactions in Yolo County's ledgers and monthly statements from CalMHSA occurring within FY2021-22, which differ from what CalMHSA reported on their FY2021-22 RER for revenue received and disbursements issued within that fiscal year.</t>
  </si>
  <si>
    <t>Reported PEI funds expended by CalMHSA for PEI Statewide, and expenditures incurred by JPA (for CalMHSA's North Valley Suicide Prevention Hotline contract), are based on disbursements listed on CalMHSA's FY2021-22 RER.  Transfers to JPA (for the NVSPH contract) are based on actual transactions in Yolo County's ledgers.</t>
  </si>
  <si>
    <t>The contract with CalMHSA's North Valley Suicide Prevention Hotline, reported as a JPA, is budgeted in Yolo County's FY2021-22 MHSA Annual Update under the PEI program Early Signs Training and Assistance.</t>
  </si>
  <si>
    <t>PEI program Maternal Mental Health Access Hub was included in Yolo County's FY2021-22 MHSA Annual Update, however, program start was delayed to FY2022-23 due to COVID-19 and limited available staffing.</t>
  </si>
  <si>
    <t>The contract with CalMHSA's WET program, also called Central Regional Partnership - OSHPD WET Grant, is budgeted on Yolo County's FY2021-22 MHSA Annual Update under the WET program Central Regional WET Partnership.</t>
  </si>
  <si>
    <t>CFTN program Peer-Run Housing was included in Yolo County's FY2021-21 MHSA Annual Update as pending, however, the program was canceled before implementation.</t>
  </si>
  <si>
    <t xml:space="preserve">Component Summary tab, Section 5, regarding the cost of mental health services for veterans - veteran specific data is not available for most programs.  The amount reported is the estimated expense based on the limited client-reported demographics received. </t>
  </si>
  <si>
    <t xml:space="preserve">The percent expended for clients age 25 or younger is 53.06% of the total of all PEI.  Therefore, though the formula in this report calculates the percentage differently, Yolo County believes it is in compliance with Title 9, Section 3706.  The County has been following State guidance to braid grant and Medi-Cal funding to establish and grow PEI programs. </t>
  </si>
  <si>
    <t>An extension and request of additional funds for the INN program, Planning and Stakeholder Input Process for Crisis System Re-Design and Implementation (which was initially approved on 06/22/2021 for $114,000), was approved on 06/20/2022 in the amount of $500,000, for a total budget of $614,000 and a total of three years, in order to support the preparatory work needed to get to full implementation of a revised approach to crisis response for all Yolo County residents.</t>
  </si>
  <si>
    <t>The expenses related to the INN portion of Yolo County's Crisis Now system were included in Yolo County's FY2021-22 MHSA Annual Update under the program name, Crisis Now Learning Collaborative, which reflect the County's participation in the MHSOAC's multi-county Crisis Now Academy.  In May 2021, after the FY2021-22 MHSA Annual Update had already been written, the County submitted a request for approval to the MHSOAC for supplemental spending toward this goal.  The request process and subsequent approval (approval dated 06/22/2021) for this spending re-christened the program name to Planning and Stakeholder Input Process for Crisis System Re-Design and Implementation.</t>
  </si>
  <si>
    <t>Accountant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</si>
</sst>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7" zoomScale="90" zoomScaleNormal="90" zoomScaleSheetLayoutView="40" workbookViewId="0">
      <selection activeCell="L36" sqref="L36"/>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Yolo</v>
      </c>
      <c r="G9" s="226" t="s">
        <v>1</v>
      </c>
      <c r="H9" s="264">
        <f>IF(ISBLANK('1. Information'!D9),"",'1. Information'!D9)</f>
        <v>44999</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842.65</v>
      </c>
      <c r="G15" s="136"/>
      <c r="H15" s="136"/>
      <c r="I15" s="136"/>
      <c r="J15" s="136"/>
      <c r="K15" s="246">
        <f>SUM(F15:J15)</f>
        <v>842.65</v>
      </c>
      <c r="L15" s="175"/>
      <c r="M15" s="175"/>
      <c r="N15" s="175"/>
      <c r="O15" s="27"/>
      <c r="P15" s="27"/>
    </row>
    <row r="16" spans="1:17" ht="15.75" x14ac:dyDescent="0.25">
      <c r="B16" s="300">
        <v>2</v>
      </c>
      <c r="C16" s="308" t="s">
        <v>143</v>
      </c>
      <c r="D16" s="242"/>
      <c r="E16" s="243"/>
      <c r="F16" s="136">
        <v>4715.3</v>
      </c>
      <c r="G16" s="136"/>
      <c r="H16" s="136"/>
      <c r="I16" s="136"/>
      <c r="J16" s="136"/>
      <c r="K16" s="246">
        <f>SUM(F16:J16)</f>
        <v>4715.3</v>
      </c>
      <c r="L16" s="175"/>
      <c r="M16" s="175"/>
      <c r="N16" s="175"/>
      <c r="O16" s="27"/>
      <c r="P16" s="27"/>
    </row>
    <row r="17" spans="2:17" ht="15.75" x14ac:dyDescent="0.25">
      <c r="B17" s="300">
        <v>3</v>
      </c>
      <c r="C17" s="309" t="s">
        <v>238</v>
      </c>
      <c r="D17" s="245"/>
      <c r="E17" s="243"/>
      <c r="F17" s="136">
        <v>0</v>
      </c>
      <c r="G17" s="310"/>
      <c r="H17" s="310"/>
      <c r="I17" s="310"/>
      <c r="J17" s="310"/>
      <c r="K17" s="246">
        <f>F17</f>
        <v>0</v>
      </c>
      <c r="L17" s="175"/>
      <c r="M17" s="175"/>
      <c r="N17" s="175"/>
      <c r="O17" s="27"/>
      <c r="P17" s="27"/>
    </row>
    <row r="18" spans="2:17" ht="15.75" x14ac:dyDescent="0.25">
      <c r="B18" s="300">
        <v>4</v>
      </c>
      <c r="C18" s="309" t="s">
        <v>293</v>
      </c>
      <c r="D18" s="245"/>
      <c r="E18" s="243"/>
      <c r="F18" s="136">
        <v>0</v>
      </c>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684.75</v>
      </c>
      <c r="G20" s="313">
        <f>SUMIF($K$29:$K$128,"Project Evaluation",M$29:M$128)</f>
        <v>0</v>
      </c>
      <c r="H20" s="310">
        <f>SUMIF($K$29:$K$128,"Project Evaluation",N$29:N$128)</f>
        <v>0</v>
      </c>
      <c r="I20" s="310">
        <f>SUMIF($K$29:$K$128,"Project Evaluation",O$29:O$128)</f>
        <v>0</v>
      </c>
      <c r="J20" s="310">
        <f>SUMIF($K$29:$K$128,"Project Evaluation",P$29:P$128)</f>
        <v>0</v>
      </c>
      <c r="K20" s="246">
        <f t="shared" si="0"/>
        <v>684.75</v>
      </c>
      <c r="L20" s="175"/>
      <c r="M20" s="175"/>
      <c r="N20" s="175"/>
      <c r="O20" s="27"/>
      <c r="P20" s="27"/>
    </row>
    <row r="21" spans="2:17" ht="15.75" x14ac:dyDescent="0.25">
      <c r="B21" s="300">
        <v>7</v>
      </c>
      <c r="C21" s="308" t="s">
        <v>196</v>
      </c>
      <c r="D21" s="242"/>
      <c r="E21" s="243"/>
      <c r="F21" s="310">
        <f>SUMIF($K$29:$K$128,"Project Direct",L$29:L$128)</f>
        <v>55772.62</v>
      </c>
      <c r="G21" s="313">
        <f>SUMIF($K$29:$K$128,"Project Direct",M$29:M$128)</f>
        <v>0</v>
      </c>
      <c r="H21" s="310">
        <f>SUMIF($K$29:$K$128,"Project Direct",N$29:N$128)</f>
        <v>0</v>
      </c>
      <c r="I21" s="310">
        <f>SUMIF($K$29:$K$128,"Project Direct",O$29:O$128)</f>
        <v>0</v>
      </c>
      <c r="J21" s="310">
        <f>SUMIF($K$29:$K$128,"Project Direct",P$29:P$128)</f>
        <v>0</v>
      </c>
      <c r="K21" s="246">
        <f t="shared" si="0"/>
        <v>55772.62</v>
      </c>
      <c r="L21" s="175"/>
      <c r="M21" s="175"/>
      <c r="N21" s="175"/>
      <c r="O21" s="27"/>
      <c r="P21" s="27"/>
    </row>
    <row r="22" spans="2:17" ht="15.75" x14ac:dyDescent="0.25">
      <c r="B22" s="300">
        <v>8</v>
      </c>
      <c r="C22" s="308" t="s">
        <v>146</v>
      </c>
      <c r="D22" s="314"/>
      <c r="F22" s="315">
        <f>SUM(F19:F21)</f>
        <v>56457.37</v>
      </c>
      <c r="G22" s="316">
        <f>SUM(G19:G21)</f>
        <v>0</v>
      </c>
      <c r="H22" s="315">
        <f>SUM(H19:H21)</f>
        <v>0</v>
      </c>
      <c r="I22" s="315">
        <f>SUM(I19:I21)</f>
        <v>0</v>
      </c>
      <c r="J22" s="315">
        <f t="shared" ref="J22" si="1">SUM(J19:J21)</f>
        <v>0</v>
      </c>
      <c r="K22" s="246">
        <f t="shared" si="0"/>
        <v>56457.37</v>
      </c>
      <c r="L22" s="175"/>
      <c r="M22" s="175"/>
      <c r="N22" s="175"/>
      <c r="O22" s="27"/>
      <c r="P22" s="27"/>
    </row>
    <row r="23" spans="2:17" ht="30.95" customHeight="1" x14ac:dyDescent="0.25">
      <c r="B23" s="300">
        <v>9</v>
      </c>
      <c r="C23" s="317" t="s">
        <v>239</v>
      </c>
      <c r="D23" s="318"/>
      <c r="E23" s="319"/>
      <c r="F23" s="320">
        <f>SUM(F15:F16,F18:F21)</f>
        <v>62015.32</v>
      </c>
      <c r="G23" s="320">
        <f>SUM(G15:G16,G19:G21)</f>
        <v>0</v>
      </c>
      <c r="H23" s="320">
        <f t="shared" ref="H23:J23" si="2">SUM(H15:H16,H19:H21)</f>
        <v>0</v>
      </c>
      <c r="I23" s="320">
        <f t="shared" si="2"/>
        <v>0</v>
      </c>
      <c r="J23" s="320">
        <f t="shared" si="2"/>
        <v>0</v>
      </c>
      <c r="K23" s="279">
        <f t="shared" si="0"/>
        <v>62015.32</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ht="45" x14ac:dyDescent="0.2">
      <c r="B29" s="276">
        <v>10</v>
      </c>
      <c r="C29" s="293" t="s">
        <v>23</v>
      </c>
      <c r="D29" s="325">
        <f>IF(Q32&lt;&gt;0,VLOOKUP($E$9,Info_County_Code,2,FALSE),"")</f>
        <v>57</v>
      </c>
      <c r="E29" s="144" t="s">
        <v>809</v>
      </c>
      <c r="F29" s="144" t="s">
        <v>808</v>
      </c>
      <c r="G29" s="38">
        <v>44369</v>
      </c>
      <c r="H29" s="38">
        <v>44378</v>
      </c>
      <c r="I29" s="30">
        <v>114000</v>
      </c>
      <c r="J29" s="30">
        <v>500000</v>
      </c>
      <c r="K29" s="326" t="s">
        <v>140</v>
      </c>
      <c r="L29" s="32"/>
      <c r="M29" s="32"/>
      <c r="N29" s="30"/>
      <c r="O29" s="30"/>
      <c r="P29" s="34"/>
      <c r="Q29" s="246">
        <f>SUM(L29:P29)</f>
        <v>0</v>
      </c>
    </row>
    <row r="30" spans="2:17" x14ac:dyDescent="0.2">
      <c r="B30" s="276">
        <v>10</v>
      </c>
      <c r="C30" s="218" t="s">
        <v>25</v>
      </c>
      <c r="D30" s="327">
        <f t="shared" ref="D30:J31" si="3">IF(ISBLANK(D29),"",D29)</f>
        <v>57</v>
      </c>
      <c r="E30" s="328" t="str">
        <f t="shared" si="3"/>
        <v>Planning and Stakeholder Input Process for Crisis System Re-Design and Implementation</v>
      </c>
      <c r="F30" s="329" t="str">
        <f t="shared" si="3"/>
        <v>Crisis Now Learning Collaborative</v>
      </c>
      <c r="G30" s="329">
        <f t="shared" si="3"/>
        <v>44369</v>
      </c>
      <c r="H30" s="329">
        <f t="shared" si="3"/>
        <v>44378</v>
      </c>
      <c r="I30" s="330">
        <f t="shared" si="3"/>
        <v>114000</v>
      </c>
      <c r="J30" s="330">
        <f t="shared" si="3"/>
        <v>500000</v>
      </c>
      <c r="K30" s="275" t="s">
        <v>141</v>
      </c>
      <c r="L30" s="32">
        <v>684.75</v>
      </c>
      <c r="M30" s="32"/>
      <c r="N30" s="30"/>
      <c r="O30" s="30"/>
      <c r="P30" s="34"/>
      <c r="Q30" s="246">
        <f t="shared" ref="Q30:Q60" si="4">SUM(L30:P30)</f>
        <v>684.75</v>
      </c>
    </row>
    <row r="31" spans="2:17" x14ac:dyDescent="0.2">
      <c r="B31" s="276">
        <v>10</v>
      </c>
      <c r="C31" s="218" t="s">
        <v>27</v>
      </c>
      <c r="D31" s="327">
        <f t="shared" ref="D31:I31" si="5">IF(ISBLANK(D29),"",D29)</f>
        <v>57</v>
      </c>
      <c r="E31" s="331" t="str">
        <f t="shared" si="5"/>
        <v>Planning and Stakeholder Input Process for Crisis System Re-Design and Implementation</v>
      </c>
      <c r="F31" s="332" t="str">
        <f t="shared" si="5"/>
        <v>Crisis Now Learning Collaborative</v>
      </c>
      <c r="G31" s="332">
        <f t="shared" si="5"/>
        <v>44369</v>
      </c>
      <c r="H31" s="332">
        <f t="shared" si="5"/>
        <v>44378</v>
      </c>
      <c r="I31" s="275">
        <f t="shared" si="5"/>
        <v>114000</v>
      </c>
      <c r="J31" s="275">
        <f t="shared" si="3"/>
        <v>500000</v>
      </c>
      <c r="K31" s="275" t="s">
        <v>197</v>
      </c>
      <c r="L31" s="32">
        <v>55772.62</v>
      </c>
      <c r="M31" s="32"/>
      <c r="N31" s="30"/>
      <c r="O31" s="30"/>
      <c r="P31" s="34"/>
      <c r="Q31" s="246">
        <f t="shared" si="4"/>
        <v>55772.62</v>
      </c>
    </row>
    <row r="32" spans="2:17" ht="15.75" x14ac:dyDescent="0.25">
      <c r="B32" s="333">
        <v>10</v>
      </c>
      <c r="C32" s="333" t="s">
        <v>202</v>
      </c>
      <c r="D32" s="334">
        <f t="shared" ref="D32:J32" si="6">IF(ISBLANK(D29),"",D29)</f>
        <v>57</v>
      </c>
      <c r="E32" s="335" t="str">
        <f t="shared" si="6"/>
        <v>Planning and Stakeholder Input Process for Crisis System Re-Design and Implementation</v>
      </c>
      <c r="F32" s="336" t="str">
        <f t="shared" si="6"/>
        <v>Crisis Now Learning Collaborative</v>
      </c>
      <c r="G32" s="336">
        <f t="shared" si="6"/>
        <v>44369</v>
      </c>
      <c r="H32" s="336">
        <f t="shared" si="6"/>
        <v>44378</v>
      </c>
      <c r="I32" s="337">
        <f t="shared" si="6"/>
        <v>114000</v>
      </c>
      <c r="J32" s="337">
        <f t="shared" si="6"/>
        <v>500000</v>
      </c>
      <c r="K32" s="279" t="s">
        <v>217</v>
      </c>
      <c r="L32" s="338">
        <f>SUM(L29:L31)</f>
        <v>56457.37</v>
      </c>
      <c r="M32" s="338">
        <f>SUM(M29:M31)</f>
        <v>0</v>
      </c>
      <c r="N32" s="339">
        <f t="shared" ref="N32:P32" si="7">SUM(N29:N31)</f>
        <v>0</v>
      </c>
      <c r="O32" s="339">
        <f t="shared" si="7"/>
        <v>0</v>
      </c>
      <c r="P32" s="340">
        <f t="shared" si="7"/>
        <v>0</v>
      </c>
      <c r="Q32" s="279">
        <f t="shared" si="4"/>
        <v>56457.37</v>
      </c>
    </row>
    <row r="33" spans="2:17" x14ac:dyDescent="0.2">
      <c r="B33" s="276">
        <v>11</v>
      </c>
      <c r="C33" s="293" t="s">
        <v>23</v>
      </c>
      <c r="D33" s="325" t="str">
        <f>IF(Q36&lt;&gt;0,VLOOKUP($E$9,Info_County_Code,2,FALSE),"")</f>
        <v/>
      </c>
      <c r="E33" s="144"/>
      <c r="F33" s="144"/>
      <c r="G33" s="38"/>
      <c r="H33" s="38"/>
      <c r="I33" s="30"/>
      <c r="J33" s="30"/>
      <c r="K33" s="326" t="str">
        <f>IF(NOT(ISBLANK(E33)),$K$29,"")</f>
        <v/>
      </c>
      <c r="L33" s="32"/>
      <c r="M33" s="32"/>
      <c r="N33" s="30"/>
      <c r="O33" s="30"/>
      <c r="P33" s="34"/>
      <c r="Q33" s="246">
        <f t="shared" ref="Q33:Q36" si="8">SUM(L33:P33)</f>
        <v>0</v>
      </c>
    </row>
    <row r="34" spans="2:17" ht="30"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ht="30"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31.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58"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30.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Yolo</v>
      </c>
      <c r="F9" s="226" t="s">
        <v>1</v>
      </c>
      <c r="G9" s="346">
        <f>IF(ISBLANK('1. Information'!D9),"",'1. Information'!D9)</f>
        <v>44999</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3108.16</v>
      </c>
      <c r="G15" s="136"/>
      <c r="H15" s="136"/>
      <c r="I15" s="136"/>
      <c r="J15" s="136"/>
      <c r="K15" s="241">
        <f>SUM(F15:J15)</f>
        <v>3108.16</v>
      </c>
      <c r="L15" s="175"/>
      <c r="M15" s="175"/>
      <c r="N15" s="27"/>
      <c r="O15" s="27"/>
    </row>
    <row r="16" spans="1:22" ht="15.75" x14ac:dyDescent="0.25">
      <c r="A16" s="27"/>
      <c r="B16" s="300">
        <v>2</v>
      </c>
      <c r="C16" s="163" t="s">
        <v>14</v>
      </c>
      <c r="D16" s="242"/>
      <c r="E16" s="350"/>
      <c r="F16" s="136">
        <v>2525.73</v>
      </c>
      <c r="G16" s="136"/>
      <c r="H16" s="136"/>
      <c r="I16" s="136"/>
      <c r="J16" s="136"/>
      <c r="K16" s="241">
        <f t="shared" ref="K16:K21" si="0">SUM(F16:J16)</f>
        <v>2525.73</v>
      </c>
      <c r="L16" s="175"/>
      <c r="M16" s="175"/>
      <c r="N16" s="27"/>
      <c r="O16" s="27"/>
    </row>
    <row r="17" spans="1:22" ht="15.75" x14ac:dyDescent="0.25">
      <c r="A17" s="27"/>
      <c r="B17" s="300">
        <v>3</v>
      </c>
      <c r="C17" s="163" t="s">
        <v>198</v>
      </c>
      <c r="D17" s="242"/>
      <c r="E17" s="350"/>
      <c r="F17" s="136">
        <v>17392.560000000001</v>
      </c>
      <c r="G17" s="136"/>
      <c r="H17" s="136"/>
      <c r="I17" s="136"/>
      <c r="J17" s="136"/>
      <c r="K17" s="241">
        <f t="shared" si="0"/>
        <v>17392.560000000001</v>
      </c>
      <c r="L17" s="175"/>
      <c r="M17" s="175"/>
      <c r="N17" s="27"/>
      <c r="O17" s="27"/>
    </row>
    <row r="18" spans="1:22" ht="15.75" x14ac:dyDescent="0.25">
      <c r="A18" s="27"/>
      <c r="B18" s="300">
        <v>4</v>
      </c>
      <c r="C18" s="163" t="s">
        <v>189</v>
      </c>
      <c r="D18" s="242"/>
      <c r="E18" s="350"/>
      <c r="F18" s="136">
        <v>82755.91</v>
      </c>
      <c r="G18" s="275"/>
      <c r="H18" s="275"/>
      <c r="I18" s="275"/>
      <c r="J18" s="275"/>
      <c r="K18" s="241">
        <f>F18</f>
        <v>82755.91</v>
      </c>
      <c r="L18" s="175"/>
      <c r="M18" s="175"/>
      <c r="N18" s="27"/>
      <c r="O18" s="27"/>
    </row>
    <row r="19" spans="1:22" ht="15.75" x14ac:dyDescent="0.25">
      <c r="A19" s="27"/>
      <c r="B19" s="300">
        <v>5</v>
      </c>
      <c r="C19" s="163" t="s">
        <v>296</v>
      </c>
      <c r="D19" s="242"/>
      <c r="E19" s="350"/>
      <c r="F19" s="136">
        <v>43775.51</v>
      </c>
      <c r="G19" s="275"/>
      <c r="H19" s="275"/>
      <c r="I19" s="275"/>
      <c r="J19" s="275"/>
      <c r="K19" s="241">
        <f>F19</f>
        <v>43775.51</v>
      </c>
      <c r="L19" s="175"/>
      <c r="M19" s="175"/>
      <c r="N19" s="27"/>
      <c r="O19" s="27"/>
    </row>
    <row r="20" spans="1:22" ht="15.75" x14ac:dyDescent="0.25">
      <c r="A20" s="27"/>
      <c r="B20" s="300">
        <v>6</v>
      </c>
      <c r="C20" s="242" t="s">
        <v>153</v>
      </c>
      <c r="D20" s="245"/>
      <c r="E20" s="243"/>
      <c r="F20" s="330">
        <f>SUM(E28:E32)</f>
        <v>104467.6</v>
      </c>
      <c r="G20" s="351">
        <f t="shared" ref="G20:I20" si="1">SUM(F28:F32)</f>
        <v>0</v>
      </c>
      <c r="H20" s="330">
        <f t="shared" si="1"/>
        <v>0</v>
      </c>
      <c r="I20" s="330">
        <f t="shared" si="1"/>
        <v>0</v>
      </c>
      <c r="J20" s="330">
        <f>SUM(I28:I32)</f>
        <v>0</v>
      </c>
      <c r="K20" s="246">
        <f t="shared" si="0"/>
        <v>104467.6</v>
      </c>
      <c r="L20" s="175"/>
      <c r="M20" s="175"/>
      <c r="N20" s="27"/>
      <c r="O20" s="27"/>
    </row>
    <row r="21" spans="1:22" ht="30.95" customHeight="1" x14ac:dyDescent="0.25">
      <c r="A21" s="27"/>
      <c r="B21" s="300">
        <v>7</v>
      </c>
      <c r="C21" s="277" t="s">
        <v>188</v>
      </c>
      <c r="D21" s="277"/>
      <c r="E21" s="277"/>
      <c r="F21" s="279">
        <f>SUM(F15:F17,F19:F20)</f>
        <v>171269.56</v>
      </c>
      <c r="G21" s="251">
        <f>SUM(G15:G17,G20)</f>
        <v>0</v>
      </c>
      <c r="H21" s="250">
        <f>SUM(H15:H17,H20)</f>
        <v>0</v>
      </c>
      <c r="I21" s="250">
        <f>SUM(I15:I17,I20)</f>
        <v>0</v>
      </c>
      <c r="J21" s="250">
        <f>SUM(J15:J17,J20)</f>
        <v>0</v>
      </c>
      <c r="K21" s="279">
        <f t="shared" si="0"/>
        <v>171269.56</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f t="shared" ref="C28:C32" si="2">IF(J28&lt;&gt;0,VLOOKUP($D$9,Info_County_Code,2,FALSE),"")</f>
        <v>57</v>
      </c>
      <c r="D28" s="355" t="s">
        <v>98</v>
      </c>
      <c r="E28" s="31">
        <v>2153.3000000000002</v>
      </c>
      <c r="F28" s="32"/>
      <c r="G28" s="31"/>
      <c r="H28" s="31"/>
      <c r="I28" s="128"/>
      <c r="J28" s="275">
        <f>SUM(E28:I28)</f>
        <v>2153.3000000000002</v>
      </c>
      <c r="K28" s="175"/>
      <c r="L28" s="175"/>
      <c r="M28" s="175"/>
      <c r="N28" s="175"/>
      <c r="O28" s="175"/>
      <c r="P28" s="175"/>
      <c r="Q28" s="175"/>
      <c r="R28" s="175"/>
    </row>
    <row r="29" spans="1:22" ht="15.75" x14ac:dyDescent="0.25">
      <c r="A29" s="27"/>
      <c r="B29" s="300">
        <v>9</v>
      </c>
      <c r="C29" s="301">
        <f t="shared" si="2"/>
        <v>57</v>
      </c>
      <c r="D29" s="355" t="s">
        <v>99</v>
      </c>
      <c r="E29" s="31">
        <v>63534.29</v>
      </c>
      <c r="F29" s="32"/>
      <c r="G29" s="31"/>
      <c r="H29" s="31"/>
      <c r="I29" s="128"/>
      <c r="J29" s="275">
        <f t="shared" ref="J29:J32" si="3">SUM(E29:I29)</f>
        <v>63534.29</v>
      </c>
      <c r="K29" s="175"/>
      <c r="L29" s="175"/>
      <c r="M29" s="175"/>
      <c r="N29" s="175"/>
      <c r="O29" s="175"/>
      <c r="P29" s="175"/>
      <c r="Q29" s="175"/>
      <c r="R29" s="175"/>
    </row>
    <row r="30" spans="1:22" ht="15.75" x14ac:dyDescent="0.25">
      <c r="A30" s="27"/>
      <c r="B30" s="300">
        <v>10</v>
      </c>
      <c r="C30" s="301">
        <f t="shared" si="2"/>
        <v>57</v>
      </c>
      <c r="D30" s="219" t="s">
        <v>295</v>
      </c>
      <c r="E30" s="31">
        <v>38780.01</v>
      </c>
      <c r="F30" s="32"/>
      <c r="G30" s="31"/>
      <c r="H30" s="31"/>
      <c r="I30" s="128"/>
      <c r="J30" s="275">
        <f t="shared" si="3"/>
        <v>38780.01</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28" sqref="A28"/>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B1" sqref="B1"/>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Yolo</v>
      </c>
      <c r="E9" s="8"/>
      <c r="F9" s="162" t="s">
        <v>1</v>
      </c>
      <c r="G9" s="264">
        <f>IF(ISBLANK('1. Information'!D9),"",'1. Information'!D9)</f>
        <v>44999</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12917.03</v>
      </c>
      <c r="G15" s="136"/>
      <c r="H15" s="136"/>
      <c r="I15" s="136"/>
      <c r="J15" s="136"/>
      <c r="K15" s="326">
        <f>SUM(F15:J15)</f>
        <v>12917.03</v>
      </c>
      <c r="L15" s="175"/>
      <c r="M15" s="175"/>
      <c r="U15" s="27"/>
      <c r="V15" s="27"/>
      <c r="W15" s="27"/>
    </row>
    <row r="16" spans="1:23" x14ac:dyDescent="0.25">
      <c r="B16" s="300">
        <v>2</v>
      </c>
      <c r="C16" s="162" t="s">
        <v>309</v>
      </c>
      <c r="D16" s="225"/>
      <c r="E16" s="358"/>
      <c r="F16" s="136">
        <v>10496.55</v>
      </c>
      <c r="G16" s="136"/>
      <c r="H16" s="136"/>
      <c r="I16" s="136"/>
      <c r="J16" s="136"/>
      <c r="K16" s="326">
        <f t="shared" ref="K16:K20" si="0">SUM(F16:J16)</f>
        <v>10496.55</v>
      </c>
      <c r="L16" s="175"/>
      <c r="M16" s="175"/>
      <c r="U16" s="27"/>
      <c r="V16" s="27"/>
      <c r="W16" s="27"/>
    </row>
    <row r="17" spans="1:23" x14ac:dyDescent="0.25">
      <c r="B17" s="300">
        <v>3</v>
      </c>
      <c r="C17" s="162" t="s">
        <v>311</v>
      </c>
      <c r="D17" s="225"/>
      <c r="E17" s="358"/>
      <c r="F17" s="136">
        <v>72280.820000000007</v>
      </c>
      <c r="G17" s="136"/>
      <c r="H17" s="136"/>
      <c r="I17" s="136"/>
      <c r="J17" s="136"/>
      <c r="K17" s="326">
        <f t="shared" si="0"/>
        <v>72280.820000000007</v>
      </c>
      <c r="L17" s="175"/>
      <c r="M17" s="175"/>
      <c r="U17" s="27"/>
      <c r="V17" s="27"/>
      <c r="W17" s="27"/>
    </row>
    <row r="18" spans="1:23" s="25" customFormat="1" x14ac:dyDescent="0.25">
      <c r="A18" s="27"/>
      <c r="B18" s="300">
        <v>4</v>
      </c>
      <c r="C18" s="163" t="s">
        <v>642</v>
      </c>
      <c r="D18" s="242"/>
      <c r="E18" s="350"/>
      <c r="F18" s="136">
        <v>0</v>
      </c>
      <c r="G18" s="275"/>
      <c r="H18" s="275"/>
      <c r="I18" s="275"/>
      <c r="J18" s="275"/>
      <c r="K18" s="241">
        <f>F18</f>
        <v>0</v>
      </c>
      <c r="L18" s="175"/>
      <c r="M18" s="175"/>
      <c r="N18" s="27"/>
      <c r="O18" s="27"/>
    </row>
    <row r="19" spans="1:23" s="25" customFormat="1" x14ac:dyDescent="0.25">
      <c r="A19" s="27"/>
      <c r="B19" s="300">
        <v>5</v>
      </c>
      <c r="C19" s="163" t="s">
        <v>643</v>
      </c>
      <c r="D19" s="242"/>
      <c r="E19" s="350"/>
      <c r="F19" s="136">
        <v>0</v>
      </c>
      <c r="G19" s="275"/>
      <c r="H19" s="275"/>
      <c r="I19" s="275"/>
      <c r="J19" s="275"/>
      <c r="K19" s="241">
        <f>F19</f>
        <v>0</v>
      </c>
      <c r="L19" s="175"/>
      <c r="M19" s="175"/>
      <c r="N19" s="27"/>
      <c r="O19" s="27"/>
    </row>
    <row r="20" spans="1:23" x14ac:dyDescent="0.25">
      <c r="B20" s="300">
        <v>6</v>
      </c>
      <c r="C20" s="162" t="s">
        <v>310</v>
      </c>
      <c r="D20" s="225"/>
      <c r="E20" s="240"/>
      <c r="F20" s="351">
        <f>SUM(G27:G46)</f>
        <v>728670.8</v>
      </c>
      <c r="G20" s="351">
        <f>SUM(H27:H46)</f>
        <v>0</v>
      </c>
      <c r="H20" s="330">
        <f t="shared" ref="H20" si="1">SUM(I27:I46)</f>
        <v>0</v>
      </c>
      <c r="I20" s="330">
        <f>SUM(J27:J46)</f>
        <v>0</v>
      </c>
      <c r="J20" s="275">
        <f>SUM(K27:K46)</f>
        <v>0</v>
      </c>
      <c r="K20" s="326">
        <f t="shared" si="0"/>
        <v>728670.8</v>
      </c>
      <c r="L20" s="175"/>
      <c r="M20" s="175"/>
      <c r="U20" s="27"/>
      <c r="V20" s="27"/>
      <c r="W20" s="27"/>
    </row>
    <row r="21" spans="1:23" ht="30.95" customHeight="1" x14ac:dyDescent="0.25">
      <c r="B21" s="300">
        <v>7</v>
      </c>
      <c r="C21" s="359" t="s">
        <v>768</v>
      </c>
      <c r="D21" s="360"/>
      <c r="E21" s="361"/>
      <c r="F21" s="279">
        <f>SUM(F15:F17,F19:F20)</f>
        <v>824365.20000000007</v>
      </c>
      <c r="G21" s="251">
        <f>SUM(G15:G17,G20)</f>
        <v>0</v>
      </c>
      <c r="H21" s="251">
        <f t="shared" ref="H21:J21" si="2">SUM(H15:H17,H20)</f>
        <v>0</v>
      </c>
      <c r="I21" s="251">
        <f t="shared" si="2"/>
        <v>0</v>
      </c>
      <c r="J21" s="251">
        <f t="shared" si="2"/>
        <v>0</v>
      </c>
      <c r="K21" s="250">
        <f>SUM(F21:J21)</f>
        <v>824365.20000000007</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t="s">
        <v>811</v>
      </c>
      <c r="E27" s="144"/>
      <c r="F27" s="127" t="s">
        <v>154</v>
      </c>
      <c r="G27" s="126">
        <v>0</v>
      </c>
      <c r="H27" s="126"/>
      <c r="I27" s="126"/>
      <c r="J27" s="129"/>
      <c r="K27" s="126"/>
      <c r="L27" s="364">
        <f>SUM(G27:K27)</f>
        <v>0</v>
      </c>
      <c r="M27" s="175"/>
      <c r="U27" s="27"/>
      <c r="V27" s="27"/>
      <c r="W27" s="27"/>
    </row>
    <row r="28" spans="1:23" x14ac:dyDescent="0.25">
      <c r="B28" s="300">
        <v>9</v>
      </c>
      <c r="C28" s="301">
        <f t="shared" si="3"/>
        <v>57</v>
      </c>
      <c r="D28" s="144" t="s">
        <v>812</v>
      </c>
      <c r="E28" s="144"/>
      <c r="F28" s="127" t="s">
        <v>155</v>
      </c>
      <c r="G28" s="126">
        <v>728670.8</v>
      </c>
      <c r="H28" s="126"/>
      <c r="I28" s="126"/>
      <c r="J28" s="129"/>
      <c r="K28" s="126"/>
      <c r="L28" s="364">
        <f t="shared" ref="L28:L46" si="4">SUM(G28:K28)</f>
        <v>728670.8</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Yolo</v>
      </c>
      <c r="E9" s="2"/>
      <c r="F9" s="365" t="s">
        <v>156</v>
      </c>
      <c r="G9" s="264">
        <f>IF(ISBLANK('1. Information'!D9),"",'1. Information'!D9)</f>
        <v>44999</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ht="30" x14ac:dyDescent="0.2">
      <c r="B15" s="300">
        <v>1</v>
      </c>
      <c r="C15" s="301">
        <f t="shared" ref="C15:C44" si="0">IF(G15&lt;&gt;0,VLOOKUP($D$9,Info_County_Code,2,FALSE),"")</f>
        <v>57</v>
      </c>
      <c r="D15" s="40" t="s">
        <v>28</v>
      </c>
      <c r="E15" s="40" t="s">
        <v>813</v>
      </c>
      <c r="F15" s="150" t="s">
        <v>814</v>
      </c>
      <c r="G15" s="132">
        <v>229801.57</v>
      </c>
      <c r="H15" s="134" t="s">
        <v>815</v>
      </c>
    </row>
    <row r="16" spans="1:11" ht="30" x14ac:dyDescent="0.2">
      <c r="B16" s="300">
        <v>2</v>
      </c>
      <c r="C16" s="301">
        <f t="shared" si="0"/>
        <v>57</v>
      </c>
      <c r="D16" s="40" t="s">
        <v>29</v>
      </c>
      <c r="E16" s="139" t="s">
        <v>813</v>
      </c>
      <c r="F16" s="150" t="s">
        <v>814</v>
      </c>
      <c r="G16" s="132">
        <v>55288.19</v>
      </c>
      <c r="H16" s="134" t="s">
        <v>815</v>
      </c>
    </row>
    <row r="17" spans="2:8" ht="30" x14ac:dyDescent="0.2">
      <c r="B17" s="300">
        <v>3</v>
      </c>
      <c r="C17" s="301">
        <f t="shared" si="0"/>
        <v>57</v>
      </c>
      <c r="D17" s="40" t="s">
        <v>31</v>
      </c>
      <c r="E17" s="139" t="s">
        <v>813</v>
      </c>
      <c r="F17" s="150" t="s">
        <v>814</v>
      </c>
      <c r="G17" s="132">
        <v>423.3</v>
      </c>
      <c r="H17" s="134" t="s">
        <v>815</v>
      </c>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Yolo</v>
      </c>
      <c r="F9" s="226" t="s">
        <v>1</v>
      </c>
      <c r="G9" s="346">
        <f>IF(ISBLANK('1. Information'!D9),"",'1. Information'!D9)</f>
        <v>44999</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19" sqref="D1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44999</v>
      </c>
    </row>
    <row r="10" spans="1:5" ht="34.5" customHeight="1" x14ac:dyDescent="0.2">
      <c r="B10" s="203">
        <v>2</v>
      </c>
      <c r="C10" s="205" t="s">
        <v>303</v>
      </c>
      <c r="D10" s="151" t="s">
        <v>782</v>
      </c>
    </row>
    <row r="11" spans="1:5" ht="34.5" customHeight="1" x14ac:dyDescent="0.2">
      <c r="B11" s="203">
        <v>3</v>
      </c>
      <c r="C11" s="204" t="s">
        <v>0</v>
      </c>
      <c r="D11" s="135" t="s">
        <v>92</v>
      </c>
    </row>
    <row r="12" spans="1:5" ht="34.5" customHeight="1" x14ac:dyDescent="0.2">
      <c r="B12" s="203">
        <v>4</v>
      </c>
      <c r="C12" s="206" t="s">
        <v>113</v>
      </c>
      <c r="D12" s="182">
        <f>IF(ISBLANK(D11),"",VLOOKUP(D11,Info_County_Code,2))</f>
        <v>57</v>
      </c>
    </row>
    <row r="13" spans="1:5" ht="34.5" customHeight="1" x14ac:dyDescent="0.2">
      <c r="B13" s="203">
        <v>5</v>
      </c>
      <c r="C13" s="204" t="s">
        <v>114</v>
      </c>
      <c r="D13" s="412" t="s">
        <v>783</v>
      </c>
    </row>
    <row r="14" spans="1:5" ht="34.5" customHeight="1" x14ac:dyDescent="0.2">
      <c r="B14" s="203">
        <v>6</v>
      </c>
      <c r="C14" s="204" t="s">
        <v>115</v>
      </c>
      <c r="D14" s="135" t="s">
        <v>784</v>
      </c>
    </row>
    <row r="15" spans="1:5" ht="34.5" customHeight="1" x14ac:dyDescent="0.2">
      <c r="B15" s="203">
        <v>7</v>
      </c>
      <c r="C15" s="204" t="s">
        <v>116</v>
      </c>
      <c r="D15" s="172">
        <v>95695</v>
      </c>
    </row>
    <row r="16" spans="1:5" ht="34.5" customHeight="1" x14ac:dyDescent="0.2">
      <c r="B16" s="203">
        <v>8</v>
      </c>
      <c r="C16" s="207" t="s">
        <v>162</v>
      </c>
      <c r="D16" s="183" t="str">
        <f>IF(ISBLANK(D11),"",VLOOKUP(D11,County_Population,5,FALSE))</f>
        <v>Yes</v>
      </c>
    </row>
    <row r="17" spans="2:4" ht="34.5" customHeight="1" x14ac:dyDescent="0.2">
      <c r="B17" s="203">
        <v>9</v>
      </c>
      <c r="C17" s="204" t="s">
        <v>112</v>
      </c>
      <c r="D17" s="135" t="s">
        <v>785</v>
      </c>
    </row>
    <row r="18" spans="2:4" ht="34.5" customHeight="1" x14ac:dyDescent="0.2">
      <c r="B18" s="203">
        <v>10</v>
      </c>
      <c r="C18" s="208" t="s">
        <v>167</v>
      </c>
      <c r="D18" s="413" t="s">
        <v>827</v>
      </c>
    </row>
    <row r="19" spans="2:4" ht="34.5" customHeight="1" x14ac:dyDescent="0.2">
      <c r="B19" s="203">
        <v>11</v>
      </c>
      <c r="C19" s="208" t="s">
        <v>184</v>
      </c>
      <c r="D19" s="413" t="s">
        <v>786</v>
      </c>
    </row>
    <row r="20" spans="2:4" ht="34.5" customHeight="1" x14ac:dyDescent="0.2">
      <c r="B20" s="203">
        <v>12</v>
      </c>
      <c r="C20" s="209" t="s">
        <v>280</v>
      </c>
      <c r="D20" s="414"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topLeftCell="A19" zoomScaleNormal="100" workbookViewId="0">
      <selection activeCell="B21" sqref="B21"/>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Yolo</v>
      </c>
      <c r="F9" s="226" t="s">
        <v>1</v>
      </c>
      <c r="G9" s="346">
        <f>IF(ISBLANK('1. Information'!D9),"",'1. Information'!D9)</f>
        <v>44999</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60" x14ac:dyDescent="0.2">
      <c r="B13" s="375">
        <v>1</v>
      </c>
      <c r="C13" s="169"/>
      <c r="D13" s="169" t="s">
        <v>782</v>
      </c>
      <c r="E13" s="117" t="s">
        <v>823</v>
      </c>
    </row>
    <row r="14" spans="1:30" ht="30" x14ac:dyDescent="0.2">
      <c r="B14" s="376">
        <v>2</v>
      </c>
      <c r="C14" s="169" t="s">
        <v>28</v>
      </c>
      <c r="D14" s="169" t="s">
        <v>782</v>
      </c>
      <c r="E14" s="117" t="s">
        <v>816</v>
      </c>
    </row>
    <row r="15" spans="1:30" ht="90" x14ac:dyDescent="0.2">
      <c r="B15" s="376">
        <v>3</v>
      </c>
      <c r="C15" s="169" t="s">
        <v>28</v>
      </c>
      <c r="D15" s="169" t="s">
        <v>782</v>
      </c>
      <c r="E15" s="117" t="s">
        <v>817</v>
      </c>
    </row>
    <row r="16" spans="1:30" ht="30" x14ac:dyDescent="0.2">
      <c r="B16" s="375">
        <v>4</v>
      </c>
      <c r="C16" s="169" t="s">
        <v>29</v>
      </c>
      <c r="D16" s="169" t="s">
        <v>782</v>
      </c>
      <c r="E16" s="117" t="s">
        <v>816</v>
      </c>
    </row>
    <row r="17" spans="2:14" ht="75" x14ac:dyDescent="0.2">
      <c r="B17" s="376">
        <v>5</v>
      </c>
      <c r="C17" s="169" t="s">
        <v>29</v>
      </c>
      <c r="D17" s="169" t="s">
        <v>782</v>
      </c>
      <c r="E17" s="117" t="s">
        <v>818</v>
      </c>
    </row>
    <row r="18" spans="2:14" ht="60" x14ac:dyDescent="0.2">
      <c r="B18" s="376">
        <v>6</v>
      </c>
      <c r="C18" s="169" t="s">
        <v>29</v>
      </c>
      <c r="D18" s="169" t="s">
        <v>782</v>
      </c>
      <c r="E18" s="117" t="s">
        <v>819</v>
      </c>
      <c r="N18" s="122"/>
    </row>
    <row r="19" spans="2:14" ht="90" x14ac:dyDescent="0.2">
      <c r="B19" s="375">
        <v>7</v>
      </c>
      <c r="C19" s="169" t="s">
        <v>29</v>
      </c>
      <c r="D19" s="169" t="s">
        <v>782</v>
      </c>
      <c r="E19" s="117" t="s">
        <v>824</v>
      </c>
    </row>
    <row r="20" spans="2:14" ht="60" x14ac:dyDescent="0.2">
      <c r="B20" s="376">
        <v>8</v>
      </c>
      <c r="C20" s="169" t="s">
        <v>29</v>
      </c>
      <c r="D20" s="169" t="s">
        <v>782</v>
      </c>
      <c r="E20" s="117" t="s">
        <v>820</v>
      </c>
    </row>
    <row r="21" spans="2:14" ht="165" x14ac:dyDescent="0.2">
      <c r="B21" s="376">
        <v>9</v>
      </c>
      <c r="C21" s="169" t="s">
        <v>30</v>
      </c>
      <c r="D21" s="169" t="s">
        <v>782</v>
      </c>
      <c r="E21" s="117" t="s">
        <v>826</v>
      </c>
    </row>
    <row r="22" spans="2:14" ht="105" x14ac:dyDescent="0.2">
      <c r="B22" s="375">
        <v>10</v>
      </c>
      <c r="C22" s="169" t="s">
        <v>30</v>
      </c>
      <c r="D22" s="169" t="s">
        <v>782</v>
      </c>
      <c r="E22" s="117" t="s">
        <v>825</v>
      </c>
    </row>
    <row r="23" spans="2:14" ht="60" x14ac:dyDescent="0.2">
      <c r="B23" s="376">
        <v>11</v>
      </c>
      <c r="C23" s="169" t="s">
        <v>31</v>
      </c>
      <c r="D23" s="169" t="s">
        <v>782</v>
      </c>
      <c r="E23" s="117" t="s">
        <v>821</v>
      </c>
    </row>
    <row r="24" spans="2:14" ht="30" x14ac:dyDescent="0.2">
      <c r="B24" s="376">
        <v>12</v>
      </c>
      <c r="C24" s="169" t="s">
        <v>32</v>
      </c>
      <c r="D24" s="169" t="s">
        <v>782</v>
      </c>
      <c r="E24" s="117" t="s">
        <v>816</v>
      </c>
    </row>
    <row r="25" spans="2:14" ht="45" x14ac:dyDescent="0.2">
      <c r="B25" s="375">
        <v>13</v>
      </c>
      <c r="C25" s="169" t="s">
        <v>32</v>
      </c>
      <c r="D25" s="169" t="s">
        <v>782</v>
      </c>
      <c r="E25" s="117" t="s">
        <v>822</v>
      </c>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xWindow="199" yWindow="510"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Yolo</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6" zoomScale="80" zoomScaleNormal="80" zoomScaleSheetLayoutView="40" zoomScalePageLayoutView="85" workbookViewId="0">
      <selection activeCell="G42" sqref="G4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Yolo</v>
      </c>
      <c r="F9" s="210" t="s">
        <v>1</v>
      </c>
      <c r="G9" s="185">
        <f>IF(ISBLANK('1. Information'!D9),"",'1. Information'!D9)</f>
        <v>44999</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83578.02</v>
      </c>
      <c r="E14" s="149">
        <v>23795.53</v>
      </c>
      <c r="F14" s="149">
        <v>6448.63</v>
      </c>
      <c r="G14" s="149">
        <v>2351.9899999999998</v>
      </c>
      <c r="H14" s="149">
        <v>2213.38</v>
      </c>
      <c r="I14" s="186">
        <f>SUM(D14:H14)</f>
        <v>118387.55000000002</v>
      </c>
    </row>
    <row r="15" spans="1:9" x14ac:dyDescent="0.2">
      <c r="B15" s="218">
        <v>2</v>
      </c>
      <c r="C15" s="219" t="s">
        <v>278</v>
      </c>
      <c r="D15" s="164">
        <v>31.95</v>
      </c>
      <c r="E15" s="164"/>
      <c r="F15" s="164"/>
      <c r="G15" s="164"/>
      <c r="H15" s="164"/>
      <c r="I15" s="186">
        <f>SUM(D15:H15)</f>
        <v>31.95</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2224069</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2224069</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-1200000</v>
      </c>
      <c r="E27" s="188">
        <f>'3. CSS'!F21</f>
        <v>0</v>
      </c>
      <c r="F27" s="186">
        <f>'3. CSS'!F22</f>
        <v>200000</v>
      </c>
      <c r="G27" s="194">
        <f>'3. CSS'!F23</f>
        <v>1000000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11132200.619999999</v>
      </c>
      <c r="E31" s="194">
        <f>'4. PEI'!F22</f>
        <v>2523290.17</v>
      </c>
      <c r="F31" s="194">
        <f>'5. INN'!F23</f>
        <v>62015.32</v>
      </c>
      <c r="G31" s="194">
        <f>'6. WET'!F21</f>
        <v>171269.56</v>
      </c>
      <c r="H31" s="194">
        <f>'7. CFTN'!F21</f>
        <v>824365.20000000007</v>
      </c>
      <c r="I31" s="194">
        <f t="shared" ref="I31:I35" si="0">SUM(D31:H31)</f>
        <v>14713140.869999999</v>
      </c>
    </row>
    <row r="32" spans="2:10" x14ac:dyDescent="0.2">
      <c r="B32" s="211">
        <v>10</v>
      </c>
      <c r="C32" s="223" t="s">
        <v>4</v>
      </c>
      <c r="D32" s="189">
        <f>'3. CSS'!G27</f>
        <v>2923228.2899999996</v>
      </c>
      <c r="E32" s="189">
        <f>'4. PEI'!G22</f>
        <v>34860.119999999995</v>
      </c>
      <c r="F32" s="189">
        <f>'5. INN'!G23</f>
        <v>0</v>
      </c>
      <c r="G32" s="189">
        <f>'6. WET'!G21</f>
        <v>0</v>
      </c>
      <c r="H32" s="189">
        <f>'7. CFTN'!G21</f>
        <v>0</v>
      </c>
      <c r="I32" s="194">
        <f t="shared" si="0"/>
        <v>2958088.4099999997</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307519.89999999997</v>
      </c>
      <c r="E35" s="189">
        <f>'4. PEI'!J22</f>
        <v>1019748.52</v>
      </c>
      <c r="F35" s="189">
        <f>'5. INN'!J23</f>
        <v>0</v>
      </c>
      <c r="G35" s="189">
        <f>'6. WET'!J21</f>
        <v>0</v>
      </c>
      <c r="H35" s="189">
        <f>'7. CFTN'!J21</f>
        <v>0</v>
      </c>
      <c r="I35" s="194">
        <f t="shared" si="0"/>
        <v>1327268.42</v>
      </c>
    </row>
    <row r="36" spans="2:9" ht="15.75" x14ac:dyDescent="0.25">
      <c r="B36" s="211">
        <v>14</v>
      </c>
      <c r="C36" s="224" t="s">
        <v>21</v>
      </c>
      <c r="D36" s="195">
        <f>SUM(D31:D35)</f>
        <v>14362948.809999999</v>
      </c>
      <c r="E36" s="195">
        <f t="shared" ref="E36:H36" si="1">SUM(E31:E35)</f>
        <v>3577898.81</v>
      </c>
      <c r="F36" s="195">
        <f t="shared" si="1"/>
        <v>62015.32</v>
      </c>
      <c r="G36" s="195">
        <f t="shared" si="1"/>
        <v>171269.56</v>
      </c>
      <c r="H36" s="195">
        <f t="shared" si="1"/>
        <v>824365.20000000007</v>
      </c>
      <c r="I36" s="196">
        <f>SUM(D36:H36)</f>
        <v>18998497.699999996</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292467.34000000003</v>
      </c>
      <c r="E40" s="154"/>
      <c r="F40" s="120"/>
      <c r="H40" s="120"/>
      <c r="I40" s="122"/>
    </row>
    <row r="41" spans="2:9" ht="15.75" x14ac:dyDescent="0.25">
      <c r="B41" s="211">
        <v>16</v>
      </c>
      <c r="C41" s="162" t="s">
        <v>19</v>
      </c>
      <c r="D41" s="197">
        <f>'3. CSS'!F16+'4. PEI'!F16+'5. INN'!F20+'6. WET'!F16+'7. CFTN'!F16</f>
        <v>237662.83000000002</v>
      </c>
      <c r="E41" s="121"/>
      <c r="F41" s="120"/>
      <c r="G41" s="120"/>
      <c r="H41" s="120"/>
      <c r="I41" s="122"/>
    </row>
    <row r="42" spans="2:9" ht="15.75" x14ac:dyDescent="0.25">
      <c r="B42" s="211">
        <v>17</v>
      </c>
      <c r="C42" s="162" t="s">
        <v>20</v>
      </c>
      <c r="D42" s="198">
        <f>'3. CSS'!F17+'4. PEI'!F17+'5. INN'!F16+'5. INN'!F19+'6. WET'!F17+'7. CFTN'!F17</f>
        <v>1495109.7500000002</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618.80999999999995</v>
      </c>
    </row>
    <row r="45" spans="2:9" ht="15.75" x14ac:dyDescent="0.25">
      <c r="B45" s="211">
        <v>20</v>
      </c>
      <c r="C45" s="225" t="s">
        <v>245</v>
      </c>
      <c r="D45" s="149">
        <v>0</v>
      </c>
    </row>
    <row r="46" spans="2:9" ht="15.75" x14ac:dyDescent="0.25">
      <c r="B46" s="211">
        <v>21</v>
      </c>
      <c r="C46" s="162" t="s">
        <v>249</v>
      </c>
      <c r="D46" s="149">
        <v>3075.79</v>
      </c>
      <c r="E46" s="154"/>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4"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Yolo</v>
      </c>
      <c r="E9" s="123"/>
      <c r="F9" s="226" t="s">
        <v>1</v>
      </c>
      <c r="G9" s="227">
        <f>IF(ISBLANK('1. Information'!D9),"",'1. Information'!D9)</f>
        <v>44999</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218664.85</v>
      </c>
      <c r="G15" s="136"/>
      <c r="H15" s="136"/>
      <c r="I15" s="136"/>
      <c r="J15" s="136"/>
      <c r="K15" s="241">
        <f>SUM(F15:J15)</f>
        <v>218664.85</v>
      </c>
      <c r="L15" s="175"/>
    </row>
    <row r="16" spans="1:12" ht="15" customHeight="1" x14ac:dyDescent="0.25">
      <c r="A16" s="123"/>
      <c r="B16" s="234">
        <v>2</v>
      </c>
      <c r="C16" s="163" t="s">
        <v>7</v>
      </c>
      <c r="D16" s="242"/>
      <c r="E16" s="243"/>
      <c r="F16" s="136">
        <v>177689.95</v>
      </c>
      <c r="G16" s="136"/>
      <c r="H16" s="136"/>
      <c r="I16" s="136"/>
      <c r="J16" s="136"/>
      <c r="K16" s="241">
        <f t="shared" ref="K16:K17" si="0">SUM(F16:J16)</f>
        <v>177689.95</v>
      </c>
      <c r="L16" s="175"/>
    </row>
    <row r="17" spans="1:12" ht="15.75" customHeight="1" x14ac:dyDescent="0.25">
      <c r="A17" s="123"/>
      <c r="B17" s="234">
        <v>3</v>
      </c>
      <c r="C17" s="163" t="s">
        <v>117</v>
      </c>
      <c r="D17" s="242"/>
      <c r="E17" s="243"/>
      <c r="F17" s="136">
        <v>1083205.0900000001</v>
      </c>
      <c r="G17" s="136">
        <v>141177.63</v>
      </c>
      <c r="H17" s="136"/>
      <c r="I17" s="136"/>
      <c r="J17" s="136"/>
      <c r="K17" s="241">
        <f t="shared" si="0"/>
        <v>1224382.7200000002</v>
      </c>
      <c r="L17" s="175"/>
    </row>
    <row r="18" spans="1:12" x14ac:dyDescent="0.25">
      <c r="A18" s="123"/>
      <c r="B18" s="234">
        <v>4</v>
      </c>
      <c r="C18" s="163" t="s">
        <v>187</v>
      </c>
      <c r="D18" s="242"/>
      <c r="E18" s="243"/>
      <c r="F18" s="136">
        <v>82207.460000000006</v>
      </c>
      <c r="G18" s="244"/>
      <c r="H18" s="244"/>
      <c r="I18" s="244"/>
      <c r="J18" s="244"/>
      <c r="K18" s="241">
        <f>F18</f>
        <v>82207.460000000006</v>
      </c>
      <c r="L18" s="175"/>
    </row>
    <row r="19" spans="1:12" x14ac:dyDescent="0.25">
      <c r="A19" s="123"/>
      <c r="B19" s="234">
        <v>5</v>
      </c>
      <c r="C19" s="163" t="s">
        <v>284</v>
      </c>
      <c r="D19" s="242"/>
      <c r="E19" s="243"/>
      <c r="F19" s="136">
        <v>133003.78</v>
      </c>
      <c r="G19" s="244"/>
      <c r="H19" s="244"/>
      <c r="I19" s="244"/>
      <c r="J19" s="244"/>
      <c r="K19" s="241">
        <f t="shared" ref="K19:K24" si="1">F19</f>
        <v>133003.78</v>
      </c>
      <c r="L19" s="175"/>
    </row>
    <row r="20" spans="1:12" ht="15.75" customHeight="1" x14ac:dyDescent="0.25">
      <c r="A20" s="123"/>
      <c r="B20" s="234">
        <v>6</v>
      </c>
      <c r="C20" s="163" t="s">
        <v>186</v>
      </c>
      <c r="D20" s="242"/>
      <c r="E20" s="243"/>
      <c r="F20" s="136">
        <v>0</v>
      </c>
      <c r="G20" s="244"/>
      <c r="H20" s="244"/>
      <c r="I20" s="244"/>
      <c r="J20" s="244"/>
      <c r="K20" s="241">
        <f t="shared" si="1"/>
        <v>0</v>
      </c>
      <c r="L20" s="175"/>
    </row>
    <row r="21" spans="1:12" x14ac:dyDescent="0.25">
      <c r="A21" s="124"/>
      <c r="B21" s="218">
        <v>7</v>
      </c>
      <c r="C21" s="242" t="s">
        <v>247</v>
      </c>
      <c r="D21" s="245"/>
      <c r="E21" s="243"/>
      <c r="F21" s="136">
        <v>0</v>
      </c>
      <c r="G21" s="246"/>
      <c r="H21" s="246"/>
      <c r="I21" s="246"/>
      <c r="J21" s="246"/>
      <c r="K21" s="241">
        <f t="shared" si="1"/>
        <v>0</v>
      </c>
      <c r="L21" s="175"/>
    </row>
    <row r="22" spans="1:12" x14ac:dyDescent="0.25">
      <c r="A22" s="124"/>
      <c r="B22" s="218">
        <v>8</v>
      </c>
      <c r="C22" s="242" t="s">
        <v>192</v>
      </c>
      <c r="D22" s="245"/>
      <c r="E22" s="243"/>
      <c r="F22" s="136">
        <v>200000</v>
      </c>
      <c r="G22" s="246"/>
      <c r="H22" s="246"/>
      <c r="I22" s="246"/>
      <c r="J22" s="246"/>
      <c r="K22" s="241">
        <f t="shared" si="1"/>
        <v>200000</v>
      </c>
      <c r="L22" s="175"/>
    </row>
    <row r="23" spans="1:12" x14ac:dyDescent="0.25">
      <c r="A23" s="124"/>
      <c r="B23" s="218">
        <v>9</v>
      </c>
      <c r="C23" s="242" t="s">
        <v>193</v>
      </c>
      <c r="D23" s="245"/>
      <c r="E23" s="243"/>
      <c r="F23" s="136">
        <v>1000000</v>
      </c>
      <c r="G23" s="246"/>
      <c r="H23" s="246"/>
      <c r="I23" s="246"/>
      <c r="J23" s="246"/>
      <c r="K23" s="241">
        <f t="shared" si="1"/>
        <v>1000000</v>
      </c>
      <c r="L23" s="175"/>
    </row>
    <row r="24" spans="1:12" x14ac:dyDescent="0.25">
      <c r="A24" s="124"/>
      <c r="B24" s="218">
        <v>10</v>
      </c>
      <c r="C24" s="242" t="s">
        <v>191</v>
      </c>
      <c r="D24" s="245"/>
      <c r="E24" s="243"/>
      <c r="F24" s="136">
        <v>0</v>
      </c>
      <c r="G24" s="246"/>
      <c r="H24" s="246"/>
      <c r="I24" s="246"/>
      <c r="J24" s="246"/>
      <c r="K24" s="241">
        <f t="shared" si="1"/>
        <v>0</v>
      </c>
      <c r="L24" s="175"/>
    </row>
    <row r="25" spans="1:12" ht="15.75" customHeight="1" x14ac:dyDescent="0.25">
      <c r="A25" s="123"/>
      <c r="B25" s="234">
        <v>11</v>
      </c>
      <c r="C25" s="163" t="s">
        <v>123</v>
      </c>
      <c r="D25" s="242"/>
      <c r="E25" s="243"/>
      <c r="F25" s="244">
        <f>SUM(G34:G133)</f>
        <v>9519636.9499999993</v>
      </c>
      <c r="G25" s="246">
        <f>SUM(H34:H133)</f>
        <v>2782050.6599999997</v>
      </c>
      <c r="H25" s="246">
        <f>SUM(I34:I133)</f>
        <v>0</v>
      </c>
      <c r="I25" s="246">
        <f>SUM(J34:J133)</f>
        <v>0</v>
      </c>
      <c r="J25" s="246">
        <f>SUM(K34:K133)</f>
        <v>307519.89999999997</v>
      </c>
      <c r="K25" s="246">
        <f>SUM(F25:J25)</f>
        <v>12609207.51</v>
      </c>
      <c r="L25" s="175"/>
    </row>
    <row r="26" spans="1:12" ht="30.95" customHeight="1" x14ac:dyDescent="0.25">
      <c r="A26" s="123"/>
      <c r="B26" s="234">
        <v>12</v>
      </c>
      <c r="C26" s="247" t="s">
        <v>190</v>
      </c>
      <c r="D26" s="248"/>
      <c r="E26" s="249"/>
      <c r="F26" s="250">
        <f t="shared" ref="F26" si="2">SUM(F15:F17,F19:F25)</f>
        <v>12332200.619999999</v>
      </c>
      <c r="G26" s="250">
        <f>SUM(G15:G17,G25)</f>
        <v>2923228.2899999996</v>
      </c>
      <c r="H26" s="251">
        <f>SUM(H15:H17,H25)</f>
        <v>0</v>
      </c>
      <c r="I26" s="250">
        <f>SUM(I15:I17,I25)</f>
        <v>0</v>
      </c>
      <c r="J26" s="250">
        <f>SUM(J15:J17,J25)</f>
        <v>307519.89999999997</v>
      </c>
      <c r="K26" s="250">
        <f>SUM(F26:J26)</f>
        <v>15562948.809999999</v>
      </c>
      <c r="L26" s="175"/>
    </row>
    <row r="27" spans="1:12" ht="30.95" customHeight="1" x14ac:dyDescent="0.25">
      <c r="A27" s="123"/>
      <c r="B27" s="234">
        <v>13</v>
      </c>
      <c r="C27" s="252" t="s">
        <v>675</v>
      </c>
      <c r="D27" s="252"/>
      <c r="E27" s="252"/>
      <c r="F27" s="250">
        <f>SUM(F15:F17,F19,F20,F25)</f>
        <v>11132200.619999999</v>
      </c>
      <c r="G27" s="250">
        <f>SUM(G15:G17,G25)</f>
        <v>2923228.2899999996</v>
      </c>
      <c r="H27" s="250">
        <f t="shared" ref="H27:J27" si="3">SUM(H15:H17,H25)</f>
        <v>0</v>
      </c>
      <c r="I27" s="250">
        <f t="shared" si="3"/>
        <v>0</v>
      </c>
      <c r="J27" s="250">
        <f t="shared" si="3"/>
        <v>307519.89999999997</v>
      </c>
      <c r="K27" s="250">
        <f>SUM(F27:J27)</f>
        <v>14362948.809999999</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57</v>
      </c>
      <c r="D34" s="144" t="s">
        <v>788</v>
      </c>
      <c r="E34" s="144"/>
      <c r="F34" s="127" t="s">
        <v>95</v>
      </c>
      <c r="G34" s="126">
        <v>207738.89</v>
      </c>
      <c r="H34" s="126">
        <v>59707.86</v>
      </c>
      <c r="I34" s="126"/>
      <c r="J34" s="129"/>
      <c r="K34" s="126"/>
      <c r="L34" s="246">
        <f>SUM(G34:K34)</f>
        <v>267446.75</v>
      </c>
    </row>
    <row r="35" spans="1:12" x14ac:dyDescent="0.25">
      <c r="A35" s="123"/>
      <c r="B35" s="262">
        <v>15</v>
      </c>
      <c r="C35" s="263">
        <f t="shared" si="4"/>
        <v>57</v>
      </c>
      <c r="D35" s="144" t="s">
        <v>789</v>
      </c>
      <c r="E35" s="144" t="s">
        <v>790</v>
      </c>
      <c r="F35" s="127" t="s">
        <v>95</v>
      </c>
      <c r="G35" s="126">
        <v>223180.99</v>
      </c>
      <c r="H35" s="126">
        <v>64146.19</v>
      </c>
      <c r="I35" s="126"/>
      <c r="J35" s="129"/>
      <c r="K35" s="126"/>
      <c r="L35" s="246">
        <f t="shared" ref="L35:L98" si="5">SUM(G35:K35)</f>
        <v>287327.18</v>
      </c>
    </row>
    <row r="36" spans="1:12" x14ac:dyDescent="0.25">
      <c r="A36" s="123"/>
      <c r="B36" s="262">
        <v>16</v>
      </c>
      <c r="C36" s="263">
        <f t="shared" si="4"/>
        <v>57</v>
      </c>
      <c r="D36" s="144" t="s">
        <v>791</v>
      </c>
      <c r="E36" s="144" t="s">
        <v>792</v>
      </c>
      <c r="F36" s="127" t="s">
        <v>95</v>
      </c>
      <c r="G36" s="126">
        <v>4680035.29</v>
      </c>
      <c r="H36" s="126">
        <v>1345125.48</v>
      </c>
      <c r="I36" s="126"/>
      <c r="J36" s="129"/>
      <c r="K36" s="126"/>
      <c r="L36" s="246">
        <f t="shared" si="5"/>
        <v>6025160.7699999996</v>
      </c>
    </row>
    <row r="37" spans="1:12" x14ac:dyDescent="0.25">
      <c r="A37" s="123"/>
      <c r="B37" s="262">
        <v>17</v>
      </c>
      <c r="C37" s="263">
        <f t="shared" si="4"/>
        <v>57</v>
      </c>
      <c r="D37" s="144" t="s">
        <v>793</v>
      </c>
      <c r="E37" s="144"/>
      <c r="F37" s="127" t="s">
        <v>95</v>
      </c>
      <c r="G37" s="126">
        <v>113211.44</v>
      </c>
      <c r="H37" s="126">
        <v>32538.99</v>
      </c>
      <c r="I37" s="126"/>
      <c r="J37" s="129"/>
      <c r="K37" s="126"/>
      <c r="L37" s="246">
        <f t="shared" si="5"/>
        <v>145750.43</v>
      </c>
    </row>
    <row r="38" spans="1:12" x14ac:dyDescent="0.25">
      <c r="A38" s="123"/>
      <c r="B38" s="262">
        <v>18</v>
      </c>
      <c r="C38" s="263">
        <f t="shared" si="4"/>
        <v>57</v>
      </c>
      <c r="D38" s="144" t="s">
        <v>794</v>
      </c>
      <c r="E38" s="144"/>
      <c r="F38" s="127" t="s">
        <v>95</v>
      </c>
      <c r="G38" s="126">
        <v>45068.98</v>
      </c>
      <c r="H38" s="126"/>
      <c r="I38" s="126"/>
      <c r="J38" s="129"/>
      <c r="K38" s="126"/>
      <c r="L38" s="246">
        <f t="shared" si="5"/>
        <v>45068.98</v>
      </c>
    </row>
    <row r="39" spans="1:12" x14ac:dyDescent="0.25">
      <c r="A39" s="123"/>
      <c r="B39" s="262">
        <v>19</v>
      </c>
      <c r="C39" s="263">
        <f t="shared" si="4"/>
        <v>57</v>
      </c>
      <c r="D39" s="144" t="s">
        <v>795</v>
      </c>
      <c r="E39" s="144"/>
      <c r="F39" s="127" t="s">
        <v>95</v>
      </c>
      <c r="G39" s="126">
        <v>2573.17</v>
      </c>
      <c r="H39" s="126"/>
      <c r="I39" s="126"/>
      <c r="J39" s="129"/>
      <c r="K39" s="126"/>
      <c r="L39" s="246">
        <f t="shared" si="5"/>
        <v>2573.17</v>
      </c>
    </row>
    <row r="40" spans="1:12" ht="30.75" x14ac:dyDescent="0.25">
      <c r="A40" s="123"/>
      <c r="B40" s="262">
        <v>20</v>
      </c>
      <c r="C40" s="263">
        <f t="shared" si="4"/>
        <v>57</v>
      </c>
      <c r="D40" s="144" t="s">
        <v>796</v>
      </c>
      <c r="E40" s="144"/>
      <c r="F40" s="127" t="s">
        <v>95</v>
      </c>
      <c r="G40" s="126">
        <v>19144.830000000002</v>
      </c>
      <c r="H40" s="126">
        <v>5488.32</v>
      </c>
      <c r="I40" s="126"/>
      <c r="J40" s="129"/>
      <c r="K40" s="126"/>
      <c r="L40" s="246">
        <f t="shared" si="5"/>
        <v>24633.15</v>
      </c>
    </row>
    <row r="41" spans="1:12" x14ac:dyDescent="0.25">
      <c r="A41" s="123"/>
      <c r="B41" s="262">
        <v>21</v>
      </c>
      <c r="C41" s="263">
        <f t="shared" si="4"/>
        <v>57</v>
      </c>
      <c r="D41" s="144" t="s">
        <v>788</v>
      </c>
      <c r="E41" s="144"/>
      <c r="F41" s="127" t="s">
        <v>96</v>
      </c>
      <c r="G41" s="126">
        <v>715038.01</v>
      </c>
      <c r="H41" s="126">
        <v>207675.93</v>
      </c>
      <c r="I41" s="126"/>
      <c r="J41" s="129"/>
      <c r="K41" s="126">
        <v>7519.6</v>
      </c>
      <c r="L41" s="246">
        <f t="shared" si="5"/>
        <v>930233.53999999992</v>
      </c>
    </row>
    <row r="42" spans="1:12" x14ac:dyDescent="0.25">
      <c r="A42" s="123"/>
      <c r="B42" s="262">
        <v>22</v>
      </c>
      <c r="C42" s="263">
        <f t="shared" si="4"/>
        <v>57</v>
      </c>
      <c r="D42" s="144" t="s">
        <v>789</v>
      </c>
      <c r="E42" s="144" t="s">
        <v>790</v>
      </c>
      <c r="F42" s="127" t="s">
        <v>96</v>
      </c>
      <c r="G42" s="126">
        <v>278481.32</v>
      </c>
      <c r="H42" s="126">
        <v>80040.490000000005</v>
      </c>
      <c r="I42" s="126"/>
      <c r="J42" s="129"/>
      <c r="K42" s="126"/>
      <c r="L42" s="246">
        <f t="shared" si="5"/>
        <v>358521.81</v>
      </c>
    </row>
    <row r="43" spans="1:12" x14ac:dyDescent="0.25">
      <c r="A43" s="123"/>
      <c r="B43" s="262">
        <v>23</v>
      </c>
      <c r="C43" s="263">
        <f t="shared" si="4"/>
        <v>57</v>
      </c>
      <c r="D43" s="144" t="s">
        <v>791</v>
      </c>
      <c r="E43" s="144" t="s">
        <v>792</v>
      </c>
      <c r="F43" s="127" t="s">
        <v>96</v>
      </c>
      <c r="G43" s="126">
        <v>885597.07</v>
      </c>
      <c r="H43" s="126">
        <v>254536.37</v>
      </c>
      <c r="I43" s="126"/>
      <c r="J43" s="129"/>
      <c r="K43" s="126"/>
      <c r="L43" s="246">
        <f t="shared" si="5"/>
        <v>1140133.44</v>
      </c>
    </row>
    <row r="44" spans="1:12" x14ac:dyDescent="0.25">
      <c r="A44" s="123"/>
      <c r="B44" s="262">
        <v>24</v>
      </c>
      <c r="C44" s="263">
        <f t="shared" si="4"/>
        <v>57</v>
      </c>
      <c r="D44" s="144" t="s">
        <v>793</v>
      </c>
      <c r="E44" s="144"/>
      <c r="F44" s="127" t="s">
        <v>96</v>
      </c>
      <c r="G44" s="126">
        <v>221691.51</v>
      </c>
      <c r="H44" s="126">
        <v>63718.09</v>
      </c>
      <c r="I44" s="126"/>
      <c r="J44" s="129"/>
      <c r="K44" s="126"/>
      <c r="L44" s="246">
        <f t="shared" si="5"/>
        <v>285409.59999999998</v>
      </c>
    </row>
    <row r="45" spans="1:12" x14ac:dyDescent="0.25">
      <c r="A45" s="123"/>
      <c r="B45" s="262">
        <v>25</v>
      </c>
      <c r="C45" s="263">
        <f t="shared" si="4"/>
        <v>57</v>
      </c>
      <c r="D45" s="144" t="s">
        <v>794</v>
      </c>
      <c r="E45" s="144"/>
      <c r="F45" s="127" t="s">
        <v>96</v>
      </c>
      <c r="G45" s="126">
        <v>466611.47</v>
      </c>
      <c r="H45" s="126">
        <v>134112.44</v>
      </c>
      <c r="I45" s="126"/>
      <c r="J45" s="129"/>
      <c r="K45" s="126"/>
      <c r="L45" s="246">
        <f t="shared" si="5"/>
        <v>600723.90999999992</v>
      </c>
    </row>
    <row r="46" spans="1:12" x14ac:dyDescent="0.25">
      <c r="A46" s="123"/>
      <c r="B46" s="262">
        <v>26</v>
      </c>
      <c r="C46" s="263">
        <f t="shared" si="4"/>
        <v>57</v>
      </c>
      <c r="D46" s="144" t="s">
        <v>795</v>
      </c>
      <c r="E46" s="144"/>
      <c r="F46" s="127" t="s">
        <v>96</v>
      </c>
      <c r="G46" s="126">
        <v>698778.02</v>
      </c>
      <c r="H46" s="126">
        <v>200841.25</v>
      </c>
      <c r="I46" s="126"/>
      <c r="J46" s="129"/>
      <c r="K46" s="126"/>
      <c r="L46" s="246">
        <f t="shared" si="5"/>
        <v>899619.27</v>
      </c>
    </row>
    <row r="47" spans="1:12" x14ac:dyDescent="0.25">
      <c r="A47" s="123"/>
      <c r="B47" s="262">
        <v>27</v>
      </c>
      <c r="C47" s="263">
        <f t="shared" si="4"/>
        <v>57</v>
      </c>
      <c r="D47" s="144" t="s">
        <v>797</v>
      </c>
      <c r="E47" s="144"/>
      <c r="F47" s="127" t="s">
        <v>96</v>
      </c>
      <c r="G47" s="126">
        <v>100000</v>
      </c>
      <c r="H47" s="126"/>
      <c r="I47" s="126"/>
      <c r="J47" s="129"/>
      <c r="K47" s="126"/>
      <c r="L47" s="246">
        <f t="shared" si="5"/>
        <v>100000</v>
      </c>
    </row>
    <row r="48" spans="1:12" ht="30.75" x14ac:dyDescent="0.25">
      <c r="A48" s="123"/>
      <c r="B48" s="262">
        <v>28</v>
      </c>
      <c r="C48" s="263">
        <f t="shared" si="4"/>
        <v>57</v>
      </c>
      <c r="D48" s="144" t="s">
        <v>796</v>
      </c>
      <c r="E48" s="144"/>
      <c r="F48" s="127" t="s">
        <v>96</v>
      </c>
      <c r="G48" s="126">
        <v>862485.96</v>
      </c>
      <c r="H48" s="126">
        <v>334119.25</v>
      </c>
      <c r="I48" s="126"/>
      <c r="J48" s="129"/>
      <c r="K48" s="126">
        <v>300000.3</v>
      </c>
      <c r="L48" s="246">
        <f t="shared" si="5"/>
        <v>1496605.51</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9" zoomScale="80" zoomScaleNormal="80" zoomScaleSheetLayoutView="40" zoomScalePageLayoutView="80" workbookViewId="0">
      <selection activeCell="J35" sqref="J35"/>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Yolo</v>
      </c>
      <c r="E9" s="27" t="str">
        <f>IF(ISBLANK('1. Information'!D11),"",'1. Information'!D11)</f>
        <v>Yolo</v>
      </c>
      <c r="F9" s="226" t="s">
        <v>1</v>
      </c>
      <c r="G9" s="264">
        <f>IF(ISBLANK('1. Information'!D9),"",'1. Information'!D9)</f>
        <v>44999</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56934.65</v>
      </c>
      <c r="G15" s="136"/>
      <c r="H15" s="136"/>
      <c r="I15" s="136"/>
      <c r="J15" s="136"/>
      <c r="K15" s="241">
        <f>SUM(F15:J15)</f>
        <v>56934.65</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46265.85</v>
      </c>
      <c r="G16" s="136"/>
      <c r="H16" s="136"/>
      <c r="I16" s="136"/>
      <c r="J16" s="136"/>
      <c r="K16" s="241">
        <f t="shared" ref="K16:K22" si="0">SUM(F16:J16)</f>
        <v>46265.85</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317515.98</v>
      </c>
      <c r="G17" s="136">
        <v>1683.57</v>
      </c>
      <c r="H17" s="136"/>
      <c r="I17" s="136"/>
      <c r="J17" s="136"/>
      <c r="K17" s="241">
        <f t="shared" si="0"/>
        <v>319199.55</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618.80999999999995</v>
      </c>
      <c r="G18" s="244"/>
      <c r="H18" s="244"/>
      <c r="I18" s="244"/>
      <c r="J18" s="244"/>
      <c r="K18" s="241">
        <f>F18</f>
        <v>618.80999999999995</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v>55034.37</v>
      </c>
      <c r="G19" s="244"/>
      <c r="H19" s="244"/>
      <c r="I19" s="244"/>
      <c r="J19" s="244"/>
      <c r="K19" s="241">
        <f t="shared" ref="K19:K20" si="1">F19</f>
        <v>55034.37</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93284.56</v>
      </c>
      <c r="G20" s="244"/>
      <c r="H20" s="244"/>
      <c r="I20" s="244"/>
      <c r="J20" s="244"/>
      <c r="K20" s="241">
        <f t="shared" si="1"/>
        <v>93284.56</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2009289.13</v>
      </c>
      <c r="G21" s="275">
        <f>SUMIF($G$34:$G$133,"Combined Summary",M$34:M$133) + SUMIF($F$34:$F$133,"Standalone",M$34:M$133)</f>
        <v>33176.549999999996</v>
      </c>
      <c r="H21" s="275">
        <f>SUMIF($G$34:$G$133,"Combined Summary",N$34:N$133) + SUMIF($F$34:$F$133,"Standalone",N$34:N$133)</f>
        <v>0</v>
      </c>
      <c r="I21" s="275">
        <f>SUMIF($G$34:$G$133,"Combined Summary",O$34:O$133) + SUMIF($F$34:$F$133,"Standalone",O$34:O$133)</f>
        <v>0</v>
      </c>
      <c r="J21" s="275">
        <f>SUMIF($G$34:$G$133,"Combined Summary",P$34:P$133) + SUMIF($F$34:$F$133,"Standalone",P$34:P$133)</f>
        <v>1019748.52</v>
      </c>
      <c r="K21" s="246">
        <f t="shared" si="0"/>
        <v>3062214.2</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2523290.17</v>
      </c>
      <c r="G22" s="279">
        <f t="shared" ref="G22:J22" si="2">SUM(G15:G17,G20:G21)</f>
        <v>34860.119999999995</v>
      </c>
      <c r="H22" s="279">
        <f t="shared" si="2"/>
        <v>0</v>
      </c>
      <c r="I22" s="279">
        <f t="shared" si="2"/>
        <v>0</v>
      </c>
      <c r="J22" s="279">
        <f t="shared" si="2"/>
        <v>1019748.52</v>
      </c>
      <c r="K22" s="279">
        <f t="shared" si="0"/>
        <v>3577898.81</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0.33981762029334894</v>
      </c>
      <c r="F28" s="18">
        <v>0.12</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ht="30.75" x14ac:dyDescent="0.25">
      <c r="B34" s="300">
        <v>10</v>
      </c>
      <c r="C34" s="301">
        <f t="shared" ref="C34:C65" si="3">IF(AND(NOT(COUNTA(D34:J34)),(NOT(COUNTA(L34:P34)))),"",VLOOKUP($D$9,Info_County_Code,2,FALSE))</f>
        <v>57</v>
      </c>
      <c r="D34" s="144" t="s">
        <v>798</v>
      </c>
      <c r="E34" s="144"/>
      <c r="F34" s="147" t="s">
        <v>125</v>
      </c>
      <c r="G34" s="148" t="s">
        <v>118</v>
      </c>
      <c r="H34" s="33"/>
      <c r="I34" s="36">
        <v>1</v>
      </c>
      <c r="J34" s="36">
        <v>1</v>
      </c>
      <c r="K34" s="302">
        <f>IF(OR(G34="Combined Summary",F34="Standalone"),(SUMPRODUCT(--(D$34:D$133=D34),I$34:I$133,J$34:J$133)),"")</f>
        <v>1</v>
      </c>
      <c r="L34" s="126">
        <v>385949.67</v>
      </c>
      <c r="M34" s="133"/>
      <c r="N34" s="30"/>
      <c r="O34" s="30"/>
      <c r="P34" s="30"/>
      <c r="Q34" s="303">
        <f>SUM(L34:P34)</f>
        <v>385949.67</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57</v>
      </c>
      <c r="D35" s="144" t="s">
        <v>799</v>
      </c>
      <c r="E35" s="144"/>
      <c r="F35" s="147" t="s">
        <v>125</v>
      </c>
      <c r="G35" s="148" t="s">
        <v>122</v>
      </c>
      <c r="H35" s="33"/>
      <c r="I35" s="36">
        <v>1</v>
      </c>
      <c r="J35" s="36">
        <v>0</v>
      </c>
      <c r="K35" s="302">
        <f t="shared" ref="K35:K98" si="4">IF(OR(G35="Combined Summary",F35="Standalone"),(SUMPRODUCT(--(D$34:D$133=D35),I$34:I$133,J$34:J$133)),"")</f>
        <v>0</v>
      </c>
      <c r="L35" s="126">
        <v>50000</v>
      </c>
      <c r="M35" s="133"/>
      <c r="N35" s="30"/>
      <c r="O35" s="30"/>
      <c r="P35" s="30"/>
      <c r="Q35" s="303">
        <f t="shared" ref="Q35:Q98" si="5">SUM(L35:P35)</f>
        <v>50000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57</v>
      </c>
      <c r="D36" s="144" t="s">
        <v>800</v>
      </c>
      <c r="E36" s="144"/>
      <c r="F36" s="147" t="s">
        <v>125</v>
      </c>
      <c r="G36" s="148" t="s">
        <v>122</v>
      </c>
      <c r="H36" s="33"/>
      <c r="I36" s="36">
        <v>1</v>
      </c>
      <c r="J36" s="36">
        <v>0</v>
      </c>
      <c r="K36" s="302">
        <f t="shared" si="4"/>
        <v>0</v>
      </c>
      <c r="L36" s="126">
        <v>0</v>
      </c>
      <c r="M36" s="133"/>
      <c r="N36" s="30"/>
      <c r="O36" s="30"/>
      <c r="P36" s="30"/>
      <c r="Q36" s="303">
        <f t="shared" si="5"/>
        <v>0</v>
      </c>
      <c r="R36" s="178">
        <f t="shared" si="6"/>
        <v>1</v>
      </c>
      <c r="S36" s="180" t="str">
        <f t="shared" si="7"/>
        <v/>
      </c>
      <c r="AL36" s="27"/>
      <c r="AM36" s="27"/>
      <c r="AN36" s="27"/>
    </row>
    <row r="37" spans="2:40" x14ac:dyDescent="0.25">
      <c r="B37" s="300">
        <v>13</v>
      </c>
      <c r="C37" s="301">
        <f t="shared" si="3"/>
        <v>57</v>
      </c>
      <c r="D37" s="144" t="s">
        <v>801</v>
      </c>
      <c r="E37" s="144" t="s">
        <v>802</v>
      </c>
      <c r="F37" s="147" t="s">
        <v>125</v>
      </c>
      <c r="G37" s="148" t="s">
        <v>122</v>
      </c>
      <c r="H37" s="33"/>
      <c r="I37" s="36">
        <v>1</v>
      </c>
      <c r="J37" s="36">
        <v>0.61309999999999998</v>
      </c>
      <c r="K37" s="302">
        <f t="shared" si="4"/>
        <v>0.61309999999999998</v>
      </c>
      <c r="L37" s="126">
        <v>164417.43</v>
      </c>
      <c r="M37" s="133"/>
      <c r="N37" s="30"/>
      <c r="O37" s="30"/>
      <c r="P37" s="30">
        <v>30000</v>
      </c>
      <c r="Q37" s="303">
        <f t="shared" si="5"/>
        <v>194417.43</v>
      </c>
      <c r="R37" s="178">
        <f t="shared" si="6"/>
        <v>1</v>
      </c>
      <c r="S37" s="180" t="str">
        <f t="shared" si="7"/>
        <v/>
      </c>
      <c r="AL37" s="27"/>
      <c r="AM37" s="27"/>
      <c r="AN37" s="27"/>
    </row>
    <row r="38" spans="2:40" x14ac:dyDescent="0.25">
      <c r="B38" s="300">
        <v>14</v>
      </c>
      <c r="C38" s="301">
        <f t="shared" si="3"/>
        <v>57</v>
      </c>
      <c r="D38" s="144" t="s">
        <v>803</v>
      </c>
      <c r="E38" s="144"/>
      <c r="F38" s="147" t="s">
        <v>125</v>
      </c>
      <c r="G38" s="148" t="s">
        <v>122</v>
      </c>
      <c r="H38" s="33"/>
      <c r="I38" s="36">
        <v>1</v>
      </c>
      <c r="J38" s="36">
        <v>1</v>
      </c>
      <c r="K38" s="302">
        <f t="shared" si="4"/>
        <v>1</v>
      </c>
      <c r="L38" s="126">
        <v>273403.39</v>
      </c>
      <c r="M38" s="133">
        <v>32136.42</v>
      </c>
      <c r="N38" s="30"/>
      <c r="O38" s="30"/>
      <c r="P38" s="30">
        <v>989748.52</v>
      </c>
      <c r="Q38" s="303">
        <f t="shared" si="5"/>
        <v>1295288.33</v>
      </c>
      <c r="R38" s="178">
        <f t="shared" si="6"/>
        <v>1</v>
      </c>
      <c r="S38" s="180" t="str">
        <f t="shared" si="7"/>
        <v/>
      </c>
      <c r="AL38" s="27"/>
      <c r="AM38" s="27"/>
      <c r="AN38" s="27"/>
    </row>
    <row r="39" spans="2:40" ht="30.75" x14ac:dyDescent="0.25">
      <c r="B39" s="300">
        <v>15</v>
      </c>
      <c r="C39" s="301">
        <f t="shared" si="3"/>
        <v>57</v>
      </c>
      <c r="D39" s="144" t="s">
        <v>810</v>
      </c>
      <c r="E39" s="144" t="s">
        <v>804</v>
      </c>
      <c r="F39" s="147" t="s">
        <v>125</v>
      </c>
      <c r="G39" s="148" t="s">
        <v>121</v>
      </c>
      <c r="H39" s="33"/>
      <c r="I39" s="36">
        <v>1</v>
      </c>
      <c r="J39" s="36">
        <v>0.71189999999999998</v>
      </c>
      <c r="K39" s="302">
        <f t="shared" si="4"/>
        <v>0.71189999999999998</v>
      </c>
      <c r="L39" s="126">
        <v>40883.339999999997</v>
      </c>
      <c r="M39" s="133">
        <v>1040.1300000000001</v>
      </c>
      <c r="N39" s="30"/>
      <c r="O39" s="30"/>
      <c r="P39" s="30"/>
      <c r="Q39" s="303">
        <f t="shared" si="5"/>
        <v>41923.469999999994</v>
      </c>
      <c r="R39" s="178">
        <f t="shared" si="6"/>
        <v>1</v>
      </c>
      <c r="S39" s="180" t="str">
        <f t="shared" si="7"/>
        <v/>
      </c>
      <c r="AL39" s="27"/>
      <c r="AM39" s="27"/>
      <c r="AN39" s="27"/>
    </row>
    <row r="40" spans="2:40" x14ac:dyDescent="0.25">
      <c r="B40" s="300">
        <v>16</v>
      </c>
      <c r="C40" s="301">
        <f t="shared" si="3"/>
        <v>57</v>
      </c>
      <c r="D40" s="144" t="s">
        <v>805</v>
      </c>
      <c r="E40" s="144"/>
      <c r="F40" s="147" t="s">
        <v>125</v>
      </c>
      <c r="G40" s="148" t="s">
        <v>122</v>
      </c>
      <c r="H40" s="33"/>
      <c r="I40" s="36">
        <v>1</v>
      </c>
      <c r="J40" s="36">
        <v>0</v>
      </c>
      <c r="K40" s="302">
        <f t="shared" si="4"/>
        <v>0</v>
      </c>
      <c r="L40" s="126">
        <v>481475.88</v>
      </c>
      <c r="M40" s="133"/>
      <c r="N40" s="30"/>
      <c r="O40" s="30"/>
      <c r="P40" s="30"/>
      <c r="Q40" s="303">
        <f t="shared" si="5"/>
        <v>481475.88</v>
      </c>
      <c r="R40" s="178">
        <f t="shared" si="6"/>
        <v>1</v>
      </c>
      <c r="S40" s="180" t="str">
        <f t="shared" si="7"/>
        <v/>
      </c>
      <c r="AL40" s="27"/>
      <c r="AM40" s="27"/>
      <c r="AN40" s="27"/>
    </row>
    <row r="41" spans="2:40" x14ac:dyDescent="0.25">
      <c r="B41" s="300">
        <v>17</v>
      </c>
      <c r="C41" s="301">
        <f t="shared" si="3"/>
        <v>57</v>
      </c>
      <c r="D41" s="144" t="s">
        <v>806</v>
      </c>
      <c r="E41" s="144"/>
      <c r="F41" s="147" t="s">
        <v>125</v>
      </c>
      <c r="G41" s="148" t="s">
        <v>127</v>
      </c>
      <c r="H41" s="33"/>
      <c r="I41" s="36">
        <v>1</v>
      </c>
      <c r="J41" s="36">
        <v>0</v>
      </c>
      <c r="K41" s="302">
        <f t="shared" si="4"/>
        <v>0</v>
      </c>
      <c r="L41" s="126">
        <v>174681.9</v>
      </c>
      <c r="M41" s="133"/>
      <c r="N41" s="30"/>
      <c r="O41" s="30"/>
      <c r="P41" s="30"/>
      <c r="Q41" s="303">
        <f t="shared" si="5"/>
        <v>174681.9</v>
      </c>
      <c r="R41" s="178">
        <f t="shared" si="6"/>
        <v>1</v>
      </c>
      <c r="S41" s="180" t="str">
        <f t="shared" si="7"/>
        <v/>
      </c>
      <c r="AL41" s="27"/>
      <c r="AM41" s="27"/>
      <c r="AN41" s="27"/>
    </row>
    <row r="42" spans="2:40" ht="30.75" x14ac:dyDescent="0.25">
      <c r="B42" s="300">
        <v>18</v>
      </c>
      <c r="C42" s="301">
        <f t="shared" si="3"/>
        <v>57</v>
      </c>
      <c r="D42" s="144" t="s">
        <v>807</v>
      </c>
      <c r="E42" s="144"/>
      <c r="F42" s="147" t="s">
        <v>125</v>
      </c>
      <c r="G42" s="148" t="s">
        <v>128</v>
      </c>
      <c r="H42" s="33"/>
      <c r="I42" s="36">
        <v>1</v>
      </c>
      <c r="J42" s="36">
        <v>0.13</v>
      </c>
      <c r="K42" s="302">
        <f t="shared" si="4"/>
        <v>0.13</v>
      </c>
      <c r="L42" s="126">
        <v>438477.52</v>
      </c>
      <c r="M42" s="133"/>
      <c r="N42" s="30"/>
      <c r="O42" s="30"/>
      <c r="P42" s="30"/>
      <c r="Q42" s="303">
        <f t="shared" si="5"/>
        <v>438477.52</v>
      </c>
      <c r="R42" s="178">
        <f t="shared" si="6"/>
        <v>1</v>
      </c>
      <c r="S42" s="180" t="str">
        <f t="shared" si="7"/>
        <v/>
      </c>
      <c r="AL42" s="27"/>
      <c r="AM42" s="27"/>
      <c r="AN42" s="27"/>
    </row>
    <row r="43" spans="2:40" x14ac:dyDescent="0.2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34"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DHCSDOC-1797567310-6426</_dlc_DocId>
    <_dlc_DocIdUrl xmlns="69bc34b3-1921-46c7-8c7a-d18363374b4b">
      <Url>https://dhcscagovauthoring/_layouts/15/DocIdRedir.aspx?ID=DHCSDOC-1797567310-6426</Url>
      <Description>DHCSDOC-1797567310-6426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7B1A64E9-5F12-449C-A0C4-451CA1E96C9A}"/>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Yolo-FY-21-22</dc:title>
  <dc:creator>Donna Ures</dc:creator>
  <cp:keywords/>
  <cp:lastModifiedBy>Grace Brown</cp:lastModifiedBy>
  <cp:lastPrinted>2019-01-14T22:40:46Z</cp:lastPrinted>
  <dcterms:created xsi:type="dcterms:W3CDTF">2017-07-05T19:48:18Z</dcterms:created>
  <dcterms:modified xsi:type="dcterms:W3CDTF">2023-03-14T21:42:38Z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354f7b5f-adc7-4b09-a7b8-f7ed42c338be</vt:lpwstr>
  </property>
  <property fmtid="{D5CDD505-2E9C-101B-9397-08002B2CF9AE}" pid="4" name="Remediated">
    <vt:bool>false</vt:bool>
  </property>
  <property fmtid="{D5CDD505-2E9C-101B-9397-08002B2CF9AE}" pid="5" name="Division">
    <vt:lpwstr>11;#Community Services|c23dee46-a4de-4c29-8bbc-79830d9e7d7c</vt:lpwstr>
  </property>
</Properties>
</file>