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83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CSS'!$A$1:$L$51</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<sst xmlns="http://schemas.openxmlformats.org/spreadsheetml/2006/main" count="848" uniqueCount="374">
  <si>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</si>
  <si>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</si>
  <si>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</si>
  <si>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</si>
  <si>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</si>
  <si>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</si>
  <si>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</si>
  <si>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</si>
  <si>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</si>
  <si>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</si>
  <si>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</si>
  <si>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</si>
  <si>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</si>
  <si>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</si>
  <si>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</si>
  <si>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</si>
  <si>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</si>
  <si>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</si>
  <si>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</si>
  <si>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</si>
  <si>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</si>
  <si>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</si>
  <si>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</si>
  <si>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</si>
  <si>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</si>
  <si>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</si>
  <si>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</si>
  <si>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</si>
  <si>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</si>
  <si>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</si>
  <si>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</si>
  <si>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</si>
  <si>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</si>
  <si>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</si>
  <si>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</si>
  <si>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</si>
  <si>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</si>
  <si>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</si>
  <si>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</si>
  <si>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</si>
  <si>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</si>
  <si>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</si>
  <si>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</si>
  <si>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</si>
  <si>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</si>
  <si>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</si>
  <si>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</si>
  <si>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</si>
  <si>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</si>
  <si>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</si>
  <si>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</si>
  <si>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</si>
  <si>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</si>
  <si>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</si>
  <si>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</si>
  <si>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</si>
  <si>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</si>
  <si>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</si>
  <si>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</si>
  <si>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</si>
  <si>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</si>
  <si>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</si>
  <si>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</si>
  <si>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</si>
  <si>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</si>
  <si>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</si>
  <si>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</si>
  <si>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</si>
  <si>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</si>
  <si>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</si>
  <si>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</si>
  <si>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</si>
  <si>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</si>
  <si>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</si>
  <si>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</si>
  <si>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</si>
  <si>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</si>
  <si>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</si>
  <si>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</si>
  <si>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</si>
  <si>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</si>
  <si>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</si>
  <si>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</si>
  <si>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</si>
  <si>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</si>
  <si>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</si>
  <si>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</si>
  <si>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</si>
  <si>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</si>
  <si>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</si>
  <si>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</si>
  <si>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</si>
  <si>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</si>
  <si>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</si>
  <si>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</si>
  <si>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</si>
  <si>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</si>
  <si>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</si>
  <si>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</si>
  <si>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</si>
  <si>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</si>
  <si>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</si>
  <si>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</si>
  <si>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</si>
  <si>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</si>
  <si>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</si>
  <si>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</si>
  <si>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</si>
  <si>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</si>
  <si>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</si>
  <si>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</si>
  <si>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</si>
  <si>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</si>
  <si>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</si>
  <si>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</si>
  <si>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</si>
  <si>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</si>
  <si>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</si>
  <si>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</si>
  <si>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</si>
  <si>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</si>
  <si>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</si>
  <si>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</si>
  <si>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</si>
  <si>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</si>
  <si>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</si>
  <si>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</si>
  <si>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</si>
  <si>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</si>
  <si>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</si>
  <si>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</si>
  <si>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</si>
  <si>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</si>
  <si>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</si>
  <si>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</si>
  <si>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</si>
  <si>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</si>
  <si>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</si>
  <si>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</si>
  <si>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</si>
  <si>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</si>
  <si>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</si>
  <si>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</si>
  <si>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</si>
  <si>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</si>
  <si>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</si>
  <si>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</si>
  <si>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</si>
  <si>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</si>
  <si>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</si>
  <si>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</si>
  <si>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</si>
  <si>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</si>
  <si>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</si>
  <si>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</si>
  <si>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</si>
  <si>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</si>
  <si>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</si>
  <si>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</si>
  <si>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</si>
  <si>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</si>
  <si>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</si>
  <si>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</si>
  <si>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</si>
  <si>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</si>
  <si>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</si>
  <si>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</si>
  <si>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</si>
  <si>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</si>
  <si>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</si>
  <si>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</si>
  <si>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</si>
  <si>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</si>
  <si>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</si>
  <si>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</si>
  <si>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</si>
  <si>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</si>
  <si>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</si>
  <si>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</si>
  <si>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</si>
  <si>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</si>
  <si>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</si>
  <si>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</si>
  <si>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</si>
  <si>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</si>
  <si>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</si>
  <si>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</si>
  <si>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</si>
  <si>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</si>
  <si>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</si>
  <si>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</si>
  <si>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</si>
  <si>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</si>
  <si>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</si>
  <si>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</si>
  <si>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</si>
  <si>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</si>
  <si>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</si>
  <si>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</si>
  <si>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</si>
  <si>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</si>
  <si>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</si>
  <si>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</si>
  <si>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</si>
  <si>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</si>
  <si>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</si>
  <si>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</si>
  <si>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</si>
  <si>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</si>
  <si>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</si>
  <si>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</si>
  <si>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</si>
  <si>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</si>
  <si>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</si>
  <si>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</si>
  <si>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</si>
  <si>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</si>
  <si>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</si>
  <si>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</si>
  <si>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</si>
  <si>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</si>
  <si>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</si>
  <si>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</si>
  <si>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</si>
  <si>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</si>
  <si>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</si>
  <si>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</si>
  <si>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</si>
  <si>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</si>
  <si>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</si>
  <si>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</si>
  <si>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</si>
  <si>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</si>
  <si>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</si>
  <si>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</si>
  <si>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</si>
  <si>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</si>
  <si>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</si>
  <si>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</si>
  <si>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</si>
  <si>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</si>
  <si>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</si>
  <si>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</si>
  <si>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</si>
  <si>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</si>
  <si>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</si>
  <si>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</si>
  <si>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</si>
  <si>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</si>
  <si>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</si>
  <si>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</si>
  <si>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</si>
  <si>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</si>
  <si>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</si>
  <si>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</si>
  <si>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</si>
  <si>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</si>
  <si>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</si>
  <si>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</si>
  <si>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</si>
  <si>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</si>
  <si>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</si>
  <si>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</si>
  <si>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</si>
  <si>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</si>
  <si>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</si>
  <si>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</si>
  <si>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</si>
  <si>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</si>
  <si>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</si>
  <si>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</si>
  <si>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</si>
  <si>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</si>
  <si>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</si>
  <si>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</si>
  <si>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</si>
  <si>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</si>
  <si>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</si>
  <si>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</si>
  <si>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</si>
  <si>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</si>
  <si>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</si>
  <si>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</si>
  <si>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</si>
  <si>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</si>
  <si>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</si>
  <si>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</si>
  <si>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</si>
  <si>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</si>
  <si>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</si>
  <si>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</si>
  <si>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</si>
  <si>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</si>
  <si>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</si>
  <si>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</si>
  <si>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</si>
  <si>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</si>
  <si>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</si>
  <si>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</si>
  <si>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</si>
  <si>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</si>
  <si>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</si>
  <si>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</si>
  <si>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</si>
  <si>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</si>
  <si>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</si>
  <si>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</si>
  <si>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</si>
  <si>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</si>
  <si>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</si>
  <si>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</si>
  <si>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</si>
  <si>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</si>
  <si>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</si>
  <si>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</si>
  <si>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</si>
  <si>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</si>
  <si>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</si>
  <si>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</si>
  <si>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</si>
  <si>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</si>
  <si>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</si>
  <si>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16/17 Revised MHSA contracts cost report</t>
  </si>
  <si>
    <t xml:space="preserve">      </t>
  </si>
  <si>
    <t>C-1 Comprehensive Child and Family Support System</t>
  </si>
  <si>
    <t>C-2 Integrated New Family Opportunity Program</t>
  </si>
  <si>
    <t>TAY - One Stop Center</t>
  </si>
  <si>
    <t>A-2 Forensic Integrated Mental Health Services</t>
  </si>
  <si>
    <t>A-3 Forensics Continuum of Care</t>
  </si>
  <si>
    <t>A-7 Homeless Assistance Resources and Support Program</t>
  </si>
  <si>
    <t>A-8 Big Bear Full Services Partnership</t>
  </si>
  <si>
    <t>OA-2 Older Adult Case Management</t>
  </si>
  <si>
    <t>A-11 Regional Adult</t>
  </si>
  <si>
    <t>A-1 Clubhouse</t>
  </si>
  <si>
    <t>A-4 Crisis Walk-In Center/Crisis Stablization Unit</t>
  </si>
  <si>
    <t>A-5 Psych Diversion Team at ARMC</t>
  </si>
  <si>
    <t>A-6 Community Crisis Response Team</t>
  </si>
  <si>
    <t>OA-1 Circle of Care</t>
  </si>
  <si>
    <t>A-9 Assessment, Coordination &amp; Enhancement</t>
  </si>
  <si>
    <t>A-10 Crisis Residential Treatment Program</t>
  </si>
  <si>
    <t>SI-2 Preschool Program</t>
  </si>
  <si>
    <t>CI-4 National Crossroads Education Institute Training</t>
  </si>
  <si>
    <t>SE-1 Older Adult Community Services</t>
  </si>
  <si>
    <t>SE-4 Military Services &amp; Family Support</t>
  </si>
  <si>
    <t>SE-5 LIFT</t>
  </si>
  <si>
    <t>CI-3 Native American Resource Centers</t>
  </si>
  <si>
    <t>SE-2 Child and Youth Connection</t>
  </si>
  <si>
    <t>SE-3 Community Wholeness and Enrichment</t>
  </si>
  <si>
    <t>Recovery Based Engagement Supp Team</t>
  </si>
  <si>
    <t>303 E. Vanderbilt Way</t>
  </si>
  <si>
    <t>Kevin Bunch</t>
  </si>
  <si>
    <t>Staff Analyst II</t>
  </si>
  <si>
    <t>kbunch@dbh.sbcounty.gov</t>
  </si>
  <si>
    <t>909-388-0835</t>
  </si>
  <si>
    <t>Data Warehouse Continuation Project</t>
  </si>
  <si>
    <t>Empowered Communication/Sharepoint Project</t>
  </si>
  <si>
    <t>Virtual Infrastructure Project</t>
  </si>
  <si>
    <t>Electronic Health Record Project</t>
  </si>
  <si>
    <t xml:space="preserve">BHMIS Replacement Project </t>
  </si>
  <si>
    <t>SI-1 Student Assistance Prgm</t>
  </si>
  <si>
    <t>SI-3 Resilience in African-Amr Children</t>
  </si>
  <si>
    <t>CI-1 Promotores de Salud/Comm Health Worker</t>
  </si>
  <si>
    <t>CI-2 Family Resource Centers</t>
  </si>
  <si>
    <t>SE-6 Coalition Against Sexual Exploitation (CASE)</t>
  </si>
  <si>
    <t xml:space="preserve">Use Left or RIGHT and UP or DOWN arrow to navigate the page. </t>
  </si>
  <si>
    <t>Press UP or DOWN arrow to navigate through section tables. Press UP and DOWN arrow to read expenditure types. Press LEFT or RIGHT arrow on each row to input funding amounts.</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</si>
  <si>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</si>
  <si>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</si>
  <si>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</si>
  <si>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</si>
  <si>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</si>
  <si>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Use LEFT or RIGHT and UP and DOWN arrow to navigate the page for WET RP and HP Component. </t>
  </si>
  <si>
    <t xml:space="preserve">Press UP or DOWN arrow to input items into each row. Use LEFT or RIGHT arrow on Row 11 to read the headers for information needed. </t>
  </si>
  <si>
    <t xml:space="preserve">Press UP or DOWN arrow to leave comments on the cell rows.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</si>
</sst>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8">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2"/>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b/>
      <sz val="14"/>
      <color theme="1"/>
      <name val="Arial"/>
      <family val="2"/>
    </font>
    <font>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style="thin">
        <color rgb="FF0000FF"/>
      </left>
      <right style="thin">
        <color rgb="FF0000FF"/>
      </right>
      <top style="thin">
        <color rgb="FF0000FF"/>
      </top>
      <bottom style="thin"/>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right/>
      <top style="thin"/>
      <bottom style="thin"/>
    </border>
    <border>
      <left style="thin"/>
      <right style="thin"/>
      <top/>
      <bottom/>
    </border>
    <border>
      <left/>
      <right/>
      <top style="thin"/>
      <bottom/>
    </border>
    <border>
      <left style="thin"/>
      <right style="thin"/>
      <top style="thin"/>
      <bottom/>
    </border>
    <border>
      <left style="thin"/>
      <right style="thin"/>
      <top/>
      <bottom style="thin"/>
    </border>
    <border>
      <left/>
      <right style="thin"/>
      <top style="thin"/>
      <bottom style="thin"/>
    </border>
    <border>
      <left style="thin"/>
      <right/>
      <top style="thin"/>
      <bottom/>
    </border>
    <border>
      <left/>
      <right/>
      <top style="thin"/>
      <bottom style="thin"/>
    </border>
    <border>
      <left style="thin"/>
      <right/>
      <top/>
      <bottom style="thin"/>
    </border>
    <border>
      <left/>
      <right style="thin"/>
      <top/>
      <bottom style="thin"/>
    </border>
    <border>
      <left/>
      <right style="thin"/>
      <top style="thin"/>
      <bottom/>
    </border>
    <border>
      <left style="thin"/>
      <right/>
      <top/>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52" fillId="0" borderId="0">
      <alignment/>
      <protection/>
    </xf>
    <xf numFmtId="0" fontId="5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66">
    <xf numFmtId="0" fontId="0" fillId="0" borderId="0" xfId="0" applyFont="1" applyAlignment="1">
      <alignment/>
    </xf>
    <xf numFmtId="0" fontId="3" fillId="0" borderId="0" xfId="0" applyFont="1" applyBorder="1" applyAlignment="1" applyProtection="1">
      <alignment vertical="center"/>
      <protection/>
    </xf>
    <xf numFmtId="0" fontId="58"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9"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9"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58" fillId="0" borderId="0" xfId="0" applyFont="1" applyAlignment="1">
      <alignment/>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9"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9" fillId="0" borderId="11" xfId="0" applyFont="1" applyBorder="1" applyAlignment="1" applyProtection="1">
      <alignment/>
      <protection/>
    </xf>
    <xf numFmtId="0" fontId="59"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60"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164" fontId="12" fillId="0" borderId="0" xfId="0" applyNumberFormat="1" applyFont="1" applyFill="1" applyBorder="1" applyAlignment="1" applyProtection="1">
      <alignment/>
      <protection/>
    </xf>
    <xf numFmtId="0" fontId="59" fillId="0" borderId="0" xfId="0" applyFont="1" applyBorder="1" applyAlignment="1" applyProtection="1">
      <alignment horizontal="center"/>
      <protection/>
    </xf>
    <xf numFmtId="0" fontId="59"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8" fillId="0" borderId="0" xfId="0" applyFont="1" applyAlignment="1" applyProtection="1">
      <alignment/>
      <protection/>
    </xf>
    <xf numFmtId="0" fontId="58" fillId="0" borderId="0" xfId="0" applyFont="1" applyAlignment="1">
      <alignment/>
    </xf>
    <xf numFmtId="0" fontId="58" fillId="0" borderId="10" xfId="0" applyFont="1" applyBorder="1" applyAlignment="1" applyProtection="1">
      <alignment/>
      <protection locked="0"/>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164" fontId="58" fillId="0" borderId="12" xfId="0" applyNumberFormat="1" applyFont="1" applyFill="1" applyBorder="1" applyAlignment="1" applyProtection="1">
      <alignment/>
      <protection locked="0"/>
    </xf>
    <xf numFmtId="0" fontId="58" fillId="0" borderId="10" xfId="0" applyFont="1" applyFill="1" applyBorder="1" applyAlignment="1" applyProtection="1">
      <alignment/>
      <protection locked="0"/>
    </xf>
    <xf numFmtId="164" fontId="58"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1" fillId="0" borderId="0" xfId="0" applyFont="1" applyBorder="1" applyAlignment="1" applyProtection="1">
      <alignment/>
      <protection/>
    </xf>
    <xf numFmtId="164" fontId="58" fillId="0" borderId="13" xfId="0" applyNumberFormat="1" applyFont="1" applyFill="1" applyBorder="1" applyAlignment="1" applyProtection="1">
      <alignment/>
      <protection locked="0"/>
    </xf>
    <xf numFmtId="0" fontId="58" fillId="0" borderId="0" xfId="0" applyFont="1" applyBorder="1" applyAlignment="1" applyProtection="1">
      <alignment vertical="center"/>
      <protection/>
    </xf>
    <xf numFmtId="0" fontId="58" fillId="0" borderId="10" xfId="0" applyFont="1" applyFill="1" applyBorder="1" applyAlignment="1" applyProtection="1">
      <alignment horizontal="center"/>
      <protection locked="0"/>
    </xf>
    <xf numFmtId="9" fontId="58" fillId="0" borderId="10" xfId="63" applyFont="1" applyFill="1" applyBorder="1" applyAlignment="1" applyProtection="1">
      <alignment/>
      <protection locked="0"/>
    </xf>
    <xf numFmtId="14" fontId="58" fillId="0" borderId="10" xfId="0" applyNumberFormat="1" applyFont="1" applyFill="1" applyBorder="1" applyAlignment="1" applyProtection="1">
      <alignment/>
      <protection locked="0"/>
    </xf>
    <xf numFmtId="164" fontId="58" fillId="33" borderId="10" xfId="0" applyNumberFormat="1" applyFont="1" applyFill="1" applyBorder="1" applyAlignment="1" applyProtection="1">
      <alignment/>
      <protection locked="0"/>
    </xf>
    <xf numFmtId="0" fontId="58" fillId="0" borderId="0" xfId="0" applyNumberFormat="1" applyFont="1" applyBorder="1" applyAlignment="1" applyProtection="1">
      <alignment/>
      <protection/>
    </xf>
    <xf numFmtId="14" fontId="58" fillId="0" borderId="0" xfId="0" applyNumberFormat="1" applyFont="1" applyBorder="1" applyAlignment="1" applyProtection="1">
      <alignment horizontal="center"/>
      <protection/>
    </xf>
    <xf numFmtId="14" fontId="58" fillId="0" borderId="11" xfId="0" applyNumberFormat="1" applyFont="1" applyBorder="1" applyAlignment="1" applyProtection="1">
      <alignment horizontal="center"/>
      <protection/>
    </xf>
    <xf numFmtId="165" fontId="58" fillId="0" borderId="10" xfId="0" applyNumberFormat="1" applyFont="1" applyFill="1" applyBorder="1" applyAlignment="1" applyProtection="1">
      <alignment horizontal="center"/>
      <protection locked="0"/>
    </xf>
    <xf numFmtId="164" fontId="58" fillId="0" borderId="10" xfId="0" applyNumberFormat="1" applyFont="1" applyFill="1" applyBorder="1" applyAlignment="1" applyProtection="1">
      <alignment horizontal="center"/>
      <protection locked="0"/>
    </xf>
    <xf numFmtId="0" fontId="58" fillId="0" borderId="10" xfId="0" applyFont="1" applyBorder="1" applyAlignment="1" applyProtection="1">
      <alignment wrapText="1"/>
      <protection locked="0"/>
    </xf>
    <xf numFmtId="164" fontId="58" fillId="0" borderId="10" xfId="0" applyNumberFormat="1" applyFont="1" applyBorder="1" applyAlignment="1" applyProtection="1">
      <alignment horizontal="center"/>
      <protection locked="0"/>
    </xf>
    <xf numFmtId="165" fontId="58" fillId="0" borderId="0" xfId="0" applyNumberFormat="1" applyFont="1" applyFill="1" applyBorder="1" applyAlignment="1" applyProtection="1">
      <alignment/>
      <protection/>
    </xf>
    <xf numFmtId="164" fontId="58" fillId="0" borderId="0" xfId="0" applyNumberFormat="1" applyFont="1" applyBorder="1" applyAlignment="1" applyProtection="1">
      <alignment/>
      <protection/>
    </xf>
    <xf numFmtId="165" fontId="58" fillId="0" borderId="11" xfId="0" applyNumberFormat="1" applyFont="1" applyFill="1" applyBorder="1" applyAlignment="1" applyProtection="1">
      <alignment/>
      <protection/>
    </xf>
    <xf numFmtId="164" fontId="58" fillId="0" borderId="11" xfId="0" applyNumberFormat="1" applyFont="1" applyBorder="1" applyAlignment="1" applyProtection="1">
      <alignment/>
      <protection/>
    </xf>
    <xf numFmtId="0" fontId="58" fillId="0" borderId="0" xfId="0" applyFont="1" applyBorder="1" applyAlignment="1" applyProtection="1">
      <alignment horizontal="center" vertical="center"/>
      <protection/>
    </xf>
    <xf numFmtId="0" fontId="59" fillId="34" borderId="14" xfId="0" applyFont="1" applyFill="1" applyBorder="1" applyAlignment="1">
      <alignment/>
    </xf>
    <xf numFmtId="0" fontId="59" fillId="34" borderId="14" xfId="0" applyFont="1" applyFill="1" applyBorder="1" applyAlignment="1">
      <alignment wrapText="1"/>
    </xf>
    <xf numFmtId="0" fontId="59" fillId="34" borderId="15" xfId="0" applyFont="1" applyFill="1" applyBorder="1" applyAlignment="1">
      <alignment/>
    </xf>
    <xf numFmtId="0" fontId="58" fillId="0" borderId="16" xfId="0" applyFont="1" applyBorder="1" applyAlignment="1">
      <alignment/>
    </xf>
    <xf numFmtId="165" fontId="58" fillId="0" borderId="0" xfId="0" applyNumberFormat="1" applyFont="1" applyBorder="1" applyAlignment="1">
      <alignment/>
    </xf>
    <xf numFmtId="0" fontId="58" fillId="0" borderId="0" xfId="0" applyFont="1" applyBorder="1" applyAlignment="1">
      <alignment/>
    </xf>
    <xf numFmtId="0" fontId="58" fillId="0" borderId="17" xfId="0" applyFont="1" applyBorder="1" applyAlignment="1">
      <alignment/>
    </xf>
    <xf numFmtId="0" fontId="58" fillId="0" borderId="18" xfId="0" applyFont="1" applyBorder="1" applyAlignment="1">
      <alignment/>
    </xf>
    <xf numFmtId="165" fontId="58" fillId="0" borderId="19" xfId="0" applyNumberFormat="1" applyFont="1" applyBorder="1" applyAlignment="1">
      <alignment/>
    </xf>
    <xf numFmtId="0" fontId="58" fillId="0" borderId="19" xfId="0" applyFont="1" applyBorder="1" applyAlignment="1">
      <alignment/>
    </xf>
    <xf numFmtId="0" fontId="58" fillId="0" borderId="20" xfId="0" applyFont="1" applyBorder="1" applyAlignment="1">
      <alignment/>
    </xf>
    <xf numFmtId="0" fontId="58" fillId="0" borderId="0" xfId="59" applyFont="1">
      <alignment/>
      <protection/>
    </xf>
    <xf numFmtId="0" fontId="60"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8" fillId="0" borderId="23" xfId="59" applyFont="1" applyBorder="1">
      <alignment/>
      <protection/>
    </xf>
    <xf numFmtId="0" fontId="3" fillId="0" borderId="18" xfId="58" applyFont="1" applyBorder="1" applyAlignment="1">
      <alignment horizontal="left"/>
      <protection/>
    </xf>
    <xf numFmtId="14" fontId="10" fillId="35" borderId="19" xfId="58" applyNumberFormat="1" applyFont="1" applyFill="1" applyBorder="1" applyAlignment="1">
      <alignment horizontal="right"/>
      <protection/>
    </xf>
    <xf numFmtId="14" fontId="10" fillId="0" borderId="19" xfId="58" applyNumberFormat="1" applyFont="1" applyFill="1" applyBorder="1" applyAlignment="1">
      <alignment horizontal="right"/>
      <protection/>
    </xf>
    <xf numFmtId="170" fontId="3" fillId="0" borderId="19" xfId="58" applyNumberFormat="1" applyFont="1" applyBorder="1" applyAlignment="1">
      <alignment horizontal="right"/>
      <protection/>
    </xf>
    <xf numFmtId="170" fontId="3" fillId="35"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8" fillId="0" borderId="17" xfId="59" applyFont="1" applyBorder="1" applyAlignment="1">
      <alignment horizontal="center"/>
      <protection/>
    </xf>
    <xf numFmtId="0" fontId="62" fillId="0" borderId="16" xfId="59" applyFont="1" applyBorder="1" applyAlignment="1">
      <alignment vertical="center"/>
      <protection/>
    </xf>
    <xf numFmtId="3" fontId="63" fillId="0" borderId="0" xfId="59" applyNumberFormat="1" applyFont="1" applyBorder="1" applyAlignment="1">
      <alignment horizontal="right" vertical="center"/>
      <protection/>
    </xf>
    <xf numFmtId="171" fontId="63" fillId="0" borderId="0" xfId="59" applyNumberFormat="1" applyFont="1" applyBorder="1" applyAlignment="1">
      <alignment horizontal="right" vertical="center"/>
      <protection/>
    </xf>
    <xf numFmtId="171" fontId="58" fillId="0" borderId="17" xfId="59" applyNumberFormat="1" applyFont="1" applyBorder="1" applyAlignment="1">
      <alignment horizontal="center"/>
      <protection/>
    </xf>
    <xf numFmtId="0" fontId="58" fillId="0" borderId="16" xfId="59" applyFont="1" applyBorder="1" applyAlignment="1">
      <alignment vertical="center"/>
      <protection/>
    </xf>
    <xf numFmtId="0" fontId="58" fillId="0" borderId="0" xfId="59" applyFont="1" applyBorder="1" applyAlignment="1">
      <alignment vertical="center"/>
      <protection/>
    </xf>
    <xf numFmtId="171" fontId="58" fillId="0" borderId="0" xfId="59" applyNumberFormat="1" applyFont="1" applyBorder="1" applyAlignment="1">
      <alignment vertical="center"/>
      <protection/>
    </xf>
    <xf numFmtId="0" fontId="63" fillId="0" borderId="16" xfId="59" applyFont="1" applyBorder="1" applyAlignment="1">
      <alignment vertical="center"/>
      <protection/>
    </xf>
    <xf numFmtId="0" fontId="63" fillId="0" borderId="18" xfId="59" applyFont="1" applyBorder="1" applyAlignment="1">
      <alignment vertical="center"/>
      <protection/>
    </xf>
    <xf numFmtId="3" fontId="63" fillId="0" borderId="19" xfId="59" applyNumberFormat="1" applyFont="1" applyBorder="1" applyAlignment="1">
      <alignment horizontal="right" vertical="center"/>
      <protection/>
    </xf>
    <xf numFmtId="171" fontId="63" fillId="0" borderId="19" xfId="59" applyNumberFormat="1" applyFont="1" applyBorder="1" applyAlignment="1">
      <alignment horizontal="right" vertical="center"/>
      <protection/>
    </xf>
    <xf numFmtId="0" fontId="64" fillId="0" borderId="21" xfId="59" applyFont="1" applyBorder="1">
      <alignment/>
      <protection/>
    </xf>
    <xf numFmtId="3" fontId="64" fillId="0" borderId="22" xfId="59" applyNumberFormat="1" applyFont="1" applyBorder="1">
      <alignment/>
      <protection/>
    </xf>
    <xf numFmtId="0" fontId="64" fillId="0" borderId="22" xfId="59" applyFont="1" applyBorder="1">
      <alignment/>
      <protection/>
    </xf>
    <xf numFmtId="171" fontId="64" fillId="0" borderId="23" xfId="59" applyNumberFormat="1" applyFont="1" applyBorder="1" applyAlignment="1">
      <alignment horizontal="center"/>
      <protection/>
    </xf>
    <xf numFmtId="0" fontId="64" fillId="0" borderId="16" xfId="59" applyFont="1" applyBorder="1">
      <alignment/>
      <protection/>
    </xf>
    <xf numFmtId="3" fontId="64" fillId="0" borderId="0" xfId="59" applyNumberFormat="1" applyFont="1" applyBorder="1">
      <alignment/>
      <protection/>
    </xf>
    <xf numFmtId="0" fontId="58" fillId="0" borderId="0" xfId="59" applyFont="1" applyBorder="1">
      <alignment/>
      <protection/>
    </xf>
    <xf numFmtId="171" fontId="64" fillId="0" borderId="17" xfId="59" applyNumberFormat="1" applyFont="1" applyBorder="1" applyAlignment="1">
      <alignment horizontal="center"/>
      <protection/>
    </xf>
    <xf numFmtId="0" fontId="64" fillId="0" borderId="18" xfId="0" applyFont="1" applyBorder="1" applyAlignment="1">
      <alignment/>
    </xf>
    <xf numFmtId="3" fontId="64" fillId="0" borderId="19" xfId="59" applyNumberFormat="1" applyFont="1" applyBorder="1">
      <alignment/>
      <protection/>
    </xf>
    <xf numFmtId="0" fontId="58" fillId="0" borderId="19" xfId="59" applyFont="1" applyBorder="1">
      <alignment/>
      <protection/>
    </xf>
    <xf numFmtId="171" fontId="64" fillId="0" borderId="20" xfId="59" applyNumberFormat="1" applyFont="1" applyBorder="1" applyAlignment="1">
      <alignment horizontal="center"/>
      <protection/>
    </xf>
    <xf numFmtId="3" fontId="58" fillId="0" borderId="0" xfId="59" applyNumberFormat="1" applyFont="1" applyBorder="1">
      <alignment/>
      <protection/>
    </xf>
    <xf numFmtId="171" fontId="58" fillId="0" borderId="0" xfId="59" applyNumberFormat="1" applyFont="1" applyBorder="1" applyAlignment="1">
      <alignment horizontal="center"/>
      <protection/>
    </xf>
    <xf numFmtId="3" fontId="64" fillId="0" borderId="0" xfId="0" applyNumberFormat="1" applyFont="1" applyAlignment="1">
      <alignment horizontal="right" vertical="center"/>
    </xf>
    <xf numFmtId="0" fontId="59" fillId="0" borderId="0" xfId="58" applyFont="1">
      <alignment/>
      <protection/>
    </xf>
    <xf numFmtId="0" fontId="59" fillId="0" borderId="0" xfId="59" applyFont="1">
      <alignment/>
      <protection/>
    </xf>
    <xf numFmtId="0" fontId="3" fillId="0" borderId="0" xfId="60" applyFont="1" applyBorder="1" applyAlignment="1">
      <alignment/>
      <protection/>
    </xf>
    <xf numFmtId="0" fontId="58" fillId="0" borderId="0" xfId="59" applyFont="1">
      <alignment/>
      <protection/>
    </xf>
    <xf numFmtId="0" fontId="58" fillId="0" borderId="0" xfId="0" applyFont="1" applyBorder="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Border="1" applyAlignment="1">
      <alignment/>
    </xf>
    <xf numFmtId="0" fontId="58"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14" fontId="58" fillId="0" borderId="24" xfId="0" applyNumberFormat="1" applyFont="1" applyBorder="1" applyAlignment="1" applyProtection="1">
      <alignment horizontal="left" vertical="center"/>
      <protection locked="0"/>
    </xf>
    <xf numFmtId="168" fontId="58" fillId="0" borderId="24" xfId="0" applyNumberFormat="1" applyFont="1" applyBorder="1" applyAlignment="1" applyProtection="1">
      <alignment horizontal="left" vertical="center"/>
      <protection locked="0"/>
    </xf>
    <xf numFmtId="0" fontId="58" fillId="0" borderId="25" xfId="0" applyFont="1" applyBorder="1" applyAlignment="1" applyProtection="1">
      <alignment wrapText="1"/>
      <protection locked="0"/>
    </xf>
    <xf numFmtId="0" fontId="58" fillId="0" borderId="25" xfId="0" applyFont="1" applyBorder="1" applyAlignment="1" applyProtection="1">
      <alignment wrapText="1"/>
      <protection locked="0"/>
    </xf>
    <xf numFmtId="0" fontId="58"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8" fillId="0" borderId="0" xfId="0" applyFont="1" applyAlignment="1" applyProtection="1">
      <alignment/>
      <protection/>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0" fontId="58" fillId="0" borderId="10" xfId="0" applyFont="1" applyFill="1" applyBorder="1" applyAlignment="1" applyProtection="1">
      <alignment horizontal="left"/>
      <protection locked="0"/>
    </xf>
    <xf numFmtId="0" fontId="58" fillId="0" borderId="26" xfId="0" applyFont="1" applyFill="1" applyBorder="1" applyAlignment="1" applyProtection="1">
      <alignment horizontal="left"/>
      <protection locked="0"/>
    </xf>
    <xf numFmtId="164" fontId="12" fillId="0" borderId="24" xfId="0" applyNumberFormat="1" applyFont="1" applyFill="1" applyBorder="1" applyAlignment="1" applyProtection="1">
      <alignment horizontal="right" wrapText="1"/>
      <protection locked="0"/>
    </xf>
    <xf numFmtId="164" fontId="58" fillId="0" borderId="24" xfId="0" applyNumberFormat="1" applyFont="1" applyBorder="1" applyAlignment="1" applyProtection="1">
      <alignment/>
      <protection locked="0"/>
    </xf>
    <xf numFmtId="164" fontId="58" fillId="0" borderId="24" xfId="0" applyNumberFormat="1" applyFont="1" applyFill="1" applyBorder="1" applyAlignment="1" applyProtection="1">
      <alignment/>
      <protection locked="0"/>
    </xf>
    <xf numFmtId="0" fontId="12" fillId="0" borderId="27" xfId="0" applyFont="1" applyFill="1" applyBorder="1" applyAlignment="1" applyProtection="1">
      <alignment horizontal="left"/>
      <protection/>
    </xf>
    <xf numFmtId="164" fontId="58" fillId="0" borderId="13" xfId="0" applyNumberFormat="1" applyFont="1" applyBorder="1" applyAlignment="1" applyProtection="1">
      <alignment/>
      <protection locked="0"/>
    </xf>
    <xf numFmtId="0" fontId="58" fillId="0" borderId="28" xfId="0" applyFont="1" applyBorder="1" applyAlignment="1" applyProtection="1">
      <alignment/>
      <protection/>
    </xf>
    <xf numFmtId="164" fontId="58" fillId="0" borderId="10" xfId="0" applyNumberFormat="1" applyFont="1" applyFill="1" applyBorder="1" applyAlignment="1" applyProtection="1">
      <alignment horizontal="center"/>
      <protection locked="0"/>
    </xf>
    <xf numFmtId="0" fontId="58" fillId="0" borderId="10"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8" fillId="0" borderId="29" xfId="0" applyNumberFormat="1" applyFont="1" applyBorder="1" applyAlignment="1" applyProtection="1">
      <alignment/>
      <protection locked="0"/>
    </xf>
    <xf numFmtId="164" fontId="58" fillId="0" borderId="10" xfId="0" applyNumberFormat="1" applyFont="1" applyFill="1" applyBorder="1" applyAlignment="1" applyProtection="1">
      <alignment wrapText="1"/>
      <protection locked="0"/>
    </xf>
    <xf numFmtId="164" fontId="58" fillId="0" borderId="10" xfId="0" applyNumberFormat="1" applyFont="1" applyFill="1" applyBorder="1" applyAlignment="1" applyProtection="1">
      <alignment/>
      <protection locked="0"/>
    </xf>
    <xf numFmtId="164" fontId="58" fillId="33" borderId="30" xfId="0" applyNumberFormat="1" applyFont="1" applyFill="1" applyBorder="1" applyAlignment="1" applyProtection="1">
      <alignment/>
      <protection locked="0"/>
    </xf>
    <xf numFmtId="0" fontId="58" fillId="0" borderId="10" xfId="0" applyFont="1" applyBorder="1" applyAlignment="1" applyProtection="1">
      <alignment wrapText="1"/>
      <protection locked="0"/>
    </xf>
    <xf numFmtId="0" fontId="58" fillId="0" borderId="24" xfId="0" applyFont="1" applyBorder="1" applyAlignment="1" applyProtection="1">
      <alignment horizontal="left" vertical="center"/>
      <protection locked="0"/>
    </xf>
    <xf numFmtId="164" fontId="58" fillId="0" borderId="13" xfId="0" applyNumberFormat="1" applyFont="1" applyFill="1" applyBorder="1" applyAlignment="1" applyProtection="1">
      <alignment/>
      <protection locked="0"/>
    </xf>
    <xf numFmtId="164" fontId="12" fillId="0" borderId="10" xfId="0" applyNumberFormat="1" applyFont="1" applyFill="1" applyBorder="1" applyAlignment="1" applyProtection="1">
      <alignment/>
      <protection locked="0"/>
    </xf>
    <xf numFmtId="0" fontId="59" fillId="34" borderId="14" xfId="0" applyFont="1" applyFill="1" applyBorder="1" applyAlignment="1">
      <alignment horizontal="center" wrapText="1"/>
    </xf>
    <xf numFmtId="0" fontId="58" fillId="0" borderId="0" xfId="0" applyFont="1" applyBorder="1" applyAlignment="1">
      <alignment horizontal="right"/>
    </xf>
    <xf numFmtId="165" fontId="58" fillId="0" borderId="10" xfId="0" applyNumberFormat="1" applyFont="1" applyFill="1" applyBorder="1" applyAlignment="1" applyProtection="1">
      <alignment horizontal="center"/>
      <protection locked="0"/>
    </xf>
    <xf numFmtId="171" fontId="58" fillId="0" borderId="20" xfId="59" applyNumberFormat="1" applyFont="1" applyBorder="1" applyAlignment="1">
      <alignment horizontal="center"/>
      <protection/>
    </xf>
    <xf numFmtId="0" fontId="64" fillId="0" borderId="0" xfId="0" applyFont="1" applyFill="1" applyAlignment="1">
      <alignment horizontal="left" vertical="center" indent="2"/>
    </xf>
    <xf numFmtId="3" fontId="64" fillId="0" borderId="0" xfId="0" applyNumberFormat="1" applyFont="1" applyFill="1" applyAlignment="1">
      <alignment horizontal="right" vertical="center"/>
    </xf>
    <xf numFmtId="164" fontId="58" fillId="0" borderId="30" xfId="0" applyNumberFormat="1" applyFont="1" applyFill="1" applyBorder="1" applyAlignment="1" applyProtection="1">
      <alignment/>
      <protection locked="0"/>
    </xf>
    <xf numFmtId="164" fontId="58" fillId="0" borderId="30" xfId="0" applyNumberFormat="1" applyFont="1" applyBorder="1" applyAlignment="1" applyProtection="1">
      <alignment/>
      <protection locked="0"/>
    </xf>
    <xf numFmtId="164" fontId="58" fillId="0" borderId="31" xfId="0" applyNumberFormat="1" applyFont="1" applyBorder="1" applyAlignment="1" applyProtection="1">
      <alignment/>
      <protection locked="0"/>
    </xf>
    <xf numFmtId="0" fontId="12" fillId="0" borderId="10" xfId="0" applyFont="1" applyFill="1" applyBorder="1" applyAlignment="1" applyProtection="1">
      <alignment horizontal="center"/>
      <protection locked="0"/>
    </xf>
    <xf numFmtId="164" fontId="12" fillId="0" borderId="30" xfId="0" applyNumberFormat="1" applyFont="1" applyFill="1" applyBorder="1" applyAlignment="1" applyProtection="1">
      <alignment/>
      <protection locked="0"/>
    </xf>
    <xf numFmtId="0" fontId="58" fillId="0" borderId="10" xfId="0" applyFont="1" applyFill="1" applyBorder="1" applyAlignment="1" applyProtection="1">
      <alignment wrapText="1"/>
      <protection locked="0"/>
    </xf>
    <xf numFmtId="0" fontId="58" fillId="0" borderId="10" xfId="0" applyFont="1" applyFill="1" applyBorder="1" applyAlignment="1" applyProtection="1">
      <alignment wrapText="1"/>
      <protection locked="0"/>
    </xf>
    <xf numFmtId="164" fontId="58" fillId="0" borderId="10" xfId="0" applyNumberFormat="1" applyFont="1" applyFill="1" applyBorder="1" applyAlignment="1" applyProtection="1">
      <alignment wrapText="1"/>
      <protection locked="0"/>
    </xf>
    <xf numFmtId="0" fontId="58" fillId="0" borderId="26" xfId="0" applyFont="1" applyBorder="1" applyAlignment="1" applyProtection="1">
      <alignment wrapText="1"/>
      <protection locked="0"/>
    </xf>
    <xf numFmtId="9" fontId="12" fillId="0" borderId="0" xfId="63" applyFont="1" applyFill="1" applyBorder="1" applyAlignment="1" applyProtection="1">
      <alignment horizontal="center" wrapText="1"/>
      <protection/>
    </xf>
    <xf numFmtId="9" fontId="65" fillId="0" borderId="0" xfId="63" applyFont="1" applyFill="1" applyBorder="1" applyAlignment="1" applyProtection="1">
      <alignment horizontal="center" wrapText="1"/>
      <protection/>
    </xf>
    <xf numFmtId="164" fontId="12" fillId="0" borderId="13" xfId="0" applyNumberFormat="1" applyFont="1" applyFill="1" applyBorder="1" applyAlignment="1" applyProtection="1">
      <alignment horizontal="right" wrapText="1"/>
      <protection locked="0"/>
    </xf>
    <xf numFmtId="164" fontId="12" fillId="0" borderId="32" xfId="0" applyNumberFormat="1" applyFont="1" applyFill="1" applyBorder="1" applyAlignment="1" applyProtection="1">
      <alignment horizontal="right" wrapText="1"/>
      <protection locked="0"/>
    </xf>
    <xf numFmtId="164" fontId="12" fillId="0" borderId="30" xfId="0" applyNumberFormat="1" applyFont="1" applyFill="1" applyBorder="1" applyAlignment="1" applyProtection="1">
      <alignment horizontal="right" wrapText="1"/>
      <protection locked="0"/>
    </xf>
    <xf numFmtId="164" fontId="12" fillId="0" borderId="33" xfId="0" applyNumberFormat="1" applyFont="1" applyFill="1" applyBorder="1" applyAlignment="1" applyProtection="1">
      <alignment horizontal="right" wrapText="1"/>
      <protection locked="0"/>
    </xf>
    <xf numFmtId="0" fontId="58" fillId="0" borderId="10" xfId="0" applyFont="1" applyFill="1" applyBorder="1" applyAlignment="1" applyProtection="1">
      <alignment/>
      <protection locked="0"/>
    </xf>
    <xf numFmtId="0" fontId="58" fillId="0" borderId="10" xfId="0" applyFont="1" applyBorder="1" applyAlignment="1" applyProtection="1">
      <alignment/>
      <protection locked="0"/>
    </xf>
    <xf numFmtId="0" fontId="58" fillId="0" borderId="24" xfId="0" applyFont="1" applyBorder="1" applyAlignment="1" applyProtection="1">
      <alignment horizontal="left" vertical="center" wrapText="1"/>
      <protection locked="0"/>
    </xf>
    <xf numFmtId="0" fontId="58" fillId="0" borderId="24" xfId="0" applyFont="1" applyBorder="1" applyAlignment="1" applyProtection="1">
      <alignment vertical="center"/>
      <protection locked="0"/>
    </xf>
    <xf numFmtId="167" fontId="58" fillId="0" borderId="24" xfId="0" applyNumberFormat="1" applyFont="1" applyBorder="1" applyAlignment="1" applyProtection="1">
      <alignment horizontal="left" vertical="center"/>
      <protection locked="0"/>
    </xf>
    <xf numFmtId="0" fontId="58" fillId="0" borderId="10" xfId="0" applyFont="1" applyFill="1" applyBorder="1" applyAlignment="1" applyProtection="1">
      <alignment/>
      <protection locked="0"/>
    </xf>
    <xf numFmtId="14" fontId="58" fillId="0" borderId="10" xfId="0" applyNumberFormat="1" applyFont="1" applyFill="1" applyBorder="1" applyAlignment="1" applyProtection="1">
      <alignment/>
      <protection locked="0"/>
    </xf>
    <xf numFmtId="164" fontId="58" fillId="0" borderId="12" xfId="0" applyNumberFormat="1" applyFont="1" applyFill="1" applyBorder="1" applyAlignment="1" applyProtection="1">
      <alignment/>
      <protection locked="0"/>
    </xf>
    <xf numFmtId="0" fontId="65"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6" fillId="0" borderId="0" xfId="0" applyFont="1" applyFill="1" applyAlignment="1" applyProtection="1">
      <alignment/>
      <protection locked="0"/>
    </xf>
    <xf numFmtId="0" fontId="66" fillId="0" borderId="0" xfId="0" applyFont="1" applyAlignment="1" applyProtection="1">
      <alignment vertical="center"/>
      <protection locked="0"/>
    </xf>
    <xf numFmtId="0" fontId="58" fillId="0" borderId="25" xfId="0" applyFont="1" applyFill="1" applyBorder="1" applyAlignment="1" applyProtection="1">
      <alignment vertical="center" wrapText="1"/>
      <protection locked="0"/>
    </xf>
    <xf numFmtId="0" fontId="59" fillId="0" borderId="25" xfId="0" applyFont="1" applyFill="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8" fillId="0" borderId="25" xfId="0" applyFont="1" applyBorder="1" applyAlignment="1" applyProtection="1">
      <alignment horizontal="center" vertical="center"/>
      <protection locked="0"/>
    </xf>
    <xf numFmtId="0" fontId="58" fillId="0" borderId="34" xfId="0" applyFont="1" applyBorder="1" applyAlignment="1" applyProtection="1">
      <alignment horizontal="left" vertical="center"/>
      <protection locked="0"/>
    </xf>
    <xf numFmtId="0" fontId="58" fillId="0" borderId="25" xfId="0" applyFont="1" applyBorder="1" applyAlignment="1" applyProtection="1">
      <alignment horizontal="left" vertical="center"/>
      <protection locked="0"/>
    </xf>
    <xf numFmtId="166" fontId="58" fillId="36" borderId="35" xfId="0" applyNumberFormat="1" applyFont="1" applyFill="1" applyBorder="1" applyAlignment="1" applyProtection="1">
      <alignment horizontal="left" vertical="center"/>
      <protection locked="0"/>
    </xf>
    <xf numFmtId="0" fontId="58" fillId="0" borderId="25" xfId="0" applyFont="1" applyBorder="1" applyAlignment="1" applyProtection="1">
      <alignment horizontal="left" vertical="center" wrapText="1"/>
      <protection locked="0"/>
    </xf>
    <xf numFmtId="0" fontId="58" fillId="36" borderId="35" xfId="0" applyFont="1" applyFill="1" applyBorder="1" applyAlignment="1" applyProtection="1">
      <alignment horizontal="left" vertical="center"/>
      <protection locked="0"/>
    </xf>
    <xf numFmtId="0" fontId="58" fillId="0" borderId="34" xfId="0" applyFont="1" applyBorder="1" applyAlignment="1" applyProtection="1">
      <alignment vertical="center"/>
      <protection locked="0"/>
    </xf>
    <xf numFmtId="0" fontId="58" fillId="0" borderId="0" xfId="0" applyFont="1" applyAlignment="1" applyProtection="1">
      <alignment/>
      <protection locked="0"/>
    </xf>
    <xf numFmtId="0" fontId="38"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14" fontId="12"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12" borderId="34" xfId="0" applyFont="1" applyFill="1" applyBorder="1" applyAlignment="1" applyProtection="1">
      <alignment/>
      <protection locked="0"/>
    </xf>
    <xf numFmtId="0" fontId="12" fillId="12" borderId="36" xfId="0" applyFont="1" applyFill="1" applyBorder="1" applyAlignment="1" applyProtection="1">
      <alignment horizontal="right"/>
      <protection locked="0"/>
    </xf>
    <xf numFmtId="9" fontId="3" fillId="12" borderId="37" xfId="63" applyFont="1" applyFill="1" applyBorder="1" applyAlignment="1" applyProtection="1">
      <alignment horizontal="center" wrapText="1"/>
      <protection locked="0"/>
    </xf>
    <xf numFmtId="0" fontId="12" fillId="0" borderId="38" xfId="0" applyFont="1" applyFill="1" applyBorder="1" applyAlignment="1" applyProtection="1">
      <alignment horizontal="center"/>
      <protection locked="0"/>
    </xf>
    <xf numFmtId="0" fontId="12" fillId="0" borderId="34" xfId="0" applyFont="1" applyFill="1" applyBorder="1" applyAlignment="1" applyProtection="1">
      <alignment/>
      <protection locked="0"/>
    </xf>
    <xf numFmtId="0" fontId="12" fillId="0" borderId="25" xfId="0" applyFont="1" applyFill="1" applyBorder="1" applyAlignment="1" applyProtection="1">
      <alignment horizontal="center"/>
      <protection locked="0"/>
    </xf>
    <xf numFmtId="164" fontId="12" fillId="36" borderId="39" xfId="0" applyNumberFormat="1" applyFont="1" applyFill="1" applyBorder="1" applyAlignment="1" applyProtection="1">
      <alignment/>
      <protection locked="0"/>
    </xf>
    <xf numFmtId="0" fontId="12" fillId="0" borderId="25" xfId="0" applyFont="1" applyFill="1" applyBorder="1" applyAlignment="1" applyProtection="1">
      <alignment/>
      <protection locked="0"/>
    </xf>
    <xf numFmtId="0" fontId="3" fillId="12" borderId="40" xfId="0" applyFont="1" applyFill="1" applyBorder="1" applyAlignment="1" applyProtection="1">
      <alignment/>
      <protection locked="0"/>
    </xf>
    <xf numFmtId="0" fontId="0" fillId="12" borderId="36" xfId="0" applyFill="1" applyBorder="1" applyAlignment="1" applyProtection="1">
      <alignment/>
      <protection locked="0"/>
    </xf>
    <xf numFmtId="9" fontId="3" fillId="12" borderId="25" xfId="63" applyFont="1" applyFill="1" applyBorder="1" applyAlignment="1" applyProtection="1">
      <alignment horizontal="center" wrapText="1"/>
      <protection locked="0"/>
    </xf>
    <xf numFmtId="0" fontId="3" fillId="12" borderId="41" xfId="0" applyFont="1" applyFill="1" applyBorder="1" applyAlignment="1" applyProtection="1">
      <alignment/>
      <protection locked="0"/>
    </xf>
    <xf numFmtId="0" fontId="3" fillId="12" borderId="36" xfId="0" applyFont="1" applyFill="1" applyBorder="1" applyAlignment="1" applyProtection="1">
      <alignment/>
      <protection locked="0"/>
    </xf>
    <xf numFmtId="0" fontId="12" fillId="12" borderId="36" xfId="0" applyFont="1" applyFill="1" applyBorder="1" applyAlignment="1" applyProtection="1">
      <alignment/>
      <protection locked="0"/>
    </xf>
    <xf numFmtId="0" fontId="12" fillId="12" borderId="41" xfId="0" applyFont="1" applyFill="1" applyBorder="1" applyAlignment="1" applyProtection="1">
      <alignment/>
      <protection locked="0"/>
    </xf>
    <xf numFmtId="0" fontId="12" fillId="12" borderId="39" xfId="0" applyFont="1" applyFill="1" applyBorder="1" applyAlignment="1" applyProtection="1">
      <alignment/>
      <protection locked="0"/>
    </xf>
    <xf numFmtId="0" fontId="12" fillId="0" borderId="42" xfId="0" applyFont="1" applyFill="1" applyBorder="1" applyAlignment="1" applyProtection="1">
      <alignment/>
      <protection locked="0"/>
    </xf>
    <xf numFmtId="164" fontId="12" fillId="36" borderId="25" xfId="0" applyNumberFormat="1" applyFont="1" applyFill="1" applyBorder="1" applyAlignment="1" applyProtection="1">
      <alignment/>
      <protection locked="0"/>
    </xf>
    <xf numFmtId="164" fontId="12" fillId="36" borderId="38" xfId="0" applyNumberFormat="1" applyFont="1" applyFill="1" applyBorder="1" applyAlignment="1" applyProtection="1">
      <alignment/>
      <protection locked="0"/>
    </xf>
    <xf numFmtId="164" fontId="12" fillId="0" borderId="38" xfId="0" applyNumberFormat="1" applyFont="1" applyFill="1" applyBorder="1" applyAlignment="1" applyProtection="1">
      <alignment/>
      <protection locked="0"/>
    </xf>
    <xf numFmtId="164" fontId="12" fillId="0" borderId="43" xfId="0" applyNumberFormat="1" applyFont="1" applyFill="1" applyBorder="1" applyAlignment="1" applyProtection="1">
      <alignment/>
      <protection locked="0"/>
    </xf>
    <xf numFmtId="164" fontId="12" fillId="0" borderId="42" xfId="0" applyNumberFormat="1" applyFont="1" applyFill="1" applyBorder="1" applyAlignment="1" applyProtection="1">
      <alignment/>
      <protection locked="0"/>
    </xf>
    <xf numFmtId="164" fontId="12" fillId="0" borderId="25" xfId="0" applyNumberFormat="1" applyFont="1" applyFill="1" applyBorder="1" applyAlignment="1" applyProtection="1">
      <alignment/>
      <protection locked="0"/>
    </xf>
    <xf numFmtId="0" fontId="3" fillId="0" borderId="25" xfId="0" applyFont="1" applyFill="1" applyBorder="1" applyAlignment="1" applyProtection="1">
      <alignment/>
      <protection locked="0"/>
    </xf>
    <xf numFmtId="164" fontId="3" fillId="0" borderId="38" xfId="0" applyNumberFormat="1" applyFont="1" applyFill="1" applyBorder="1" applyAlignment="1" applyProtection="1">
      <alignment/>
      <protection locked="0"/>
    </xf>
    <xf numFmtId="164" fontId="3" fillId="0" borderId="43" xfId="0" applyNumberFormat="1" applyFont="1" applyFill="1" applyBorder="1" applyAlignment="1" applyProtection="1">
      <alignment/>
      <protection locked="0"/>
    </xf>
    <xf numFmtId="0" fontId="3" fillId="12" borderId="41" xfId="0" applyFont="1" applyFill="1" applyBorder="1" applyAlignment="1" applyProtection="1">
      <alignment horizontal="left"/>
      <protection locked="0"/>
    </xf>
    <xf numFmtId="0" fontId="3" fillId="12" borderId="41" xfId="0" applyFont="1" applyFill="1" applyBorder="1" applyAlignment="1" applyProtection="1">
      <alignment/>
      <protection locked="0"/>
    </xf>
    <xf numFmtId="0" fontId="3" fillId="12" borderId="39" xfId="0" applyFont="1" applyFill="1" applyBorder="1" applyAlignment="1" applyProtection="1">
      <alignment/>
      <protection locked="0"/>
    </xf>
    <xf numFmtId="0" fontId="0" fillId="0" borderId="0" xfId="0" applyAlignment="1" applyProtection="1">
      <alignment/>
      <protection locked="0"/>
    </xf>
    <xf numFmtId="0" fontId="12" fillId="0" borderId="38" xfId="0" applyFont="1" applyFill="1" applyBorder="1" applyAlignment="1" applyProtection="1">
      <alignment/>
      <protection locked="0"/>
    </xf>
    <xf numFmtId="164" fontId="3" fillId="36" borderId="25"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0" fontId="3" fillId="0" borderId="25" xfId="0" applyFont="1" applyFill="1" applyBorder="1" applyAlignment="1" applyProtection="1">
      <alignment horizontal="left"/>
      <protection locked="0"/>
    </xf>
    <xf numFmtId="164" fontId="12" fillId="0" borderId="25" xfId="44" applyNumberFormat="1" applyFont="1" applyFill="1" applyBorder="1" applyAlignment="1" applyProtection="1">
      <alignment/>
      <protection locked="0"/>
    </xf>
    <xf numFmtId="0" fontId="12" fillId="0" borderId="0" xfId="0" applyFont="1" applyFill="1" applyAlignment="1" applyProtection="1">
      <alignment/>
      <protection locked="0"/>
    </xf>
    <xf numFmtId="0" fontId="65" fillId="0" borderId="0" xfId="0" applyFont="1" applyBorder="1" applyAlignment="1" applyProtection="1">
      <alignment/>
      <protection locked="0"/>
    </xf>
    <xf numFmtId="0" fontId="18" fillId="0" borderId="0" xfId="0" applyFont="1" applyAlignment="1" applyProtection="1">
      <alignment/>
      <protection locked="0"/>
    </xf>
    <xf numFmtId="0" fontId="12" fillId="36" borderId="25" xfId="0" applyFont="1" applyFill="1" applyBorder="1" applyAlignment="1" applyProtection="1">
      <alignment horizontal="center"/>
      <protection locked="0"/>
    </xf>
    <xf numFmtId="14" fontId="58" fillId="36" borderId="25" xfId="0" applyNumberFormat="1"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0" fontId="58" fillId="0" borderId="25" xfId="0" applyFont="1" applyBorder="1" applyAlignment="1" applyProtection="1">
      <alignment horizontal="center"/>
      <protection locked="0"/>
    </xf>
    <xf numFmtId="14" fontId="58" fillId="0" borderId="39" xfId="0" applyNumberFormat="1" applyFont="1" applyFill="1" applyBorder="1" applyAlignment="1" applyProtection="1">
      <alignment horizontal="center"/>
      <protection locked="0"/>
    </xf>
    <xf numFmtId="0" fontId="58" fillId="36" borderId="25" xfId="0" applyFont="1" applyFill="1" applyBorder="1" applyAlignment="1" applyProtection="1">
      <alignment/>
      <protection locked="0"/>
    </xf>
    <xf numFmtId="0" fontId="59" fillId="0" borderId="37"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protection locked="0"/>
    </xf>
    <xf numFmtId="164" fontId="58" fillId="36" borderId="39" xfId="0" applyNumberFormat="1" applyFont="1" applyFill="1" applyBorder="1" applyAlignment="1" applyProtection="1">
      <alignment/>
      <protection locked="0"/>
    </xf>
    <xf numFmtId="164" fontId="58" fillId="36" borderId="38"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3" fillId="36" borderId="39" xfId="0" applyNumberFormat="1" applyFont="1" applyFill="1" applyBorder="1" applyAlignment="1" applyProtection="1">
      <alignment/>
      <protection locked="0"/>
    </xf>
    <xf numFmtId="164" fontId="3" fillId="36" borderId="34" xfId="0" applyNumberFormat="1" applyFont="1" applyFill="1" applyBorder="1" applyAlignment="1" applyProtection="1">
      <alignment/>
      <protection locked="0"/>
    </xf>
    <xf numFmtId="0" fontId="58" fillId="0" borderId="0" xfId="0" applyFont="1" applyBorder="1" applyAlignment="1" applyProtection="1">
      <alignment/>
      <protection locked="0"/>
    </xf>
    <xf numFmtId="0" fontId="66" fillId="0" borderId="11" xfId="0" applyFont="1" applyBorder="1" applyAlignment="1" applyProtection="1">
      <alignment/>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protection locked="0"/>
    </xf>
    <xf numFmtId="0" fontId="3" fillId="0" borderId="34" xfId="63" applyNumberFormat="1" applyFont="1" applyFill="1" applyBorder="1" applyAlignment="1" applyProtection="1">
      <alignment horizontal="center" vertical="center" wrapText="1"/>
      <protection locked="0"/>
    </xf>
    <xf numFmtId="0" fontId="3" fillId="0" borderId="25" xfId="63" applyNumberFormat="1" applyFont="1" applyFill="1" applyBorder="1" applyAlignment="1" applyProtection="1">
      <alignment horizontal="center" vertical="center" wrapText="1"/>
      <protection locked="0"/>
    </xf>
    <xf numFmtId="0" fontId="3" fillId="0" borderId="37" xfId="63" applyNumberFormat="1" applyFont="1" applyFill="1" applyBorder="1" applyAlignment="1" applyProtection="1">
      <alignment horizontal="center" vertical="center" wrapText="1"/>
      <protection locked="0"/>
    </xf>
    <xf numFmtId="0" fontId="3" fillId="0" borderId="40" xfId="63" applyNumberFormat="1" applyFont="1" applyFill="1" applyBorder="1" applyAlignment="1" applyProtection="1">
      <alignment horizontal="center" vertical="center" wrapText="1"/>
      <protection locked="0"/>
    </xf>
    <xf numFmtId="0" fontId="58" fillId="0" borderId="34" xfId="0" applyNumberFormat="1" applyFont="1" applyFill="1" applyBorder="1" applyAlignment="1" applyProtection="1">
      <alignment horizontal="center"/>
      <protection locked="0"/>
    </xf>
    <xf numFmtId="165" fontId="58" fillId="36" borderId="34" xfId="0" applyNumberFormat="1" applyFont="1" applyFill="1" applyBorder="1" applyAlignment="1" applyProtection="1">
      <alignment horizontal="center"/>
      <protection locked="0"/>
    </xf>
    <xf numFmtId="0" fontId="58" fillId="0" borderId="0" xfId="0" applyFont="1" applyAlignment="1" applyProtection="1">
      <alignment/>
      <protection locked="0"/>
    </xf>
    <xf numFmtId="0" fontId="57" fillId="0" borderId="0" xfId="0" applyFont="1" applyAlignment="1" applyProtection="1">
      <alignment/>
      <protection/>
    </xf>
    <xf numFmtId="0" fontId="64" fillId="0" borderId="0" xfId="0" applyFont="1" applyAlignment="1" applyProtection="1">
      <alignment/>
      <protection/>
    </xf>
    <xf numFmtId="9" fontId="38" fillId="0" borderId="0" xfId="63" applyFont="1" applyAlignment="1" applyProtection="1">
      <alignment horizontal="center"/>
      <protection/>
    </xf>
    <xf numFmtId="0" fontId="0" fillId="0" borderId="0" xfId="0" applyAlignment="1" applyProtection="1">
      <alignment horizontal="center"/>
      <protection/>
    </xf>
    <xf numFmtId="0" fontId="8" fillId="0" borderId="0" xfId="0" applyFont="1" applyBorder="1" applyAlignment="1" applyProtection="1">
      <alignment horizontal="left" vertical="center"/>
      <protection locked="0"/>
    </xf>
    <xf numFmtId="14" fontId="58" fillId="36" borderId="25" xfId="0" applyNumberFormat="1" applyFont="1" applyFill="1" applyBorder="1" applyAlignment="1" applyProtection="1">
      <alignment horizontal="center"/>
      <protection locked="0"/>
    </xf>
    <xf numFmtId="0" fontId="58" fillId="0" borderId="37" xfId="0" applyFont="1" applyFill="1" applyBorder="1" applyAlignment="1" applyProtection="1">
      <alignment horizontal="center"/>
      <protection locked="0"/>
    </xf>
    <xf numFmtId="14" fontId="58" fillId="0" borderId="25" xfId="0" applyNumberFormat="1" applyFont="1" applyFill="1" applyBorder="1" applyAlignment="1" applyProtection="1">
      <alignment horizontal="center"/>
      <protection locked="0"/>
    </xf>
    <xf numFmtId="0" fontId="58" fillId="0" borderId="44" xfId="0" applyFont="1" applyBorder="1" applyAlignment="1" applyProtection="1">
      <alignment horizontal="center"/>
      <protection locked="0"/>
    </xf>
    <xf numFmtId="0" fontId="3" fillId="0" borderId="34" xfId="0" applyFont="1" applyFill="1" applyBorder="1" applyAlignment="1" applyProtection="1">
      <alignment horizontal="center"/>
      <protection locked="0"/>
    </xf>
    <xf numFmtId="0" fontId="59" fillId="36" borderId="39" xfId="0" applyFont="1" applyFill="1" applyBorder="1" applyAlignment="1" applyProtection="1">
      <alignment horizontal="center" vertical="center" wrapText="1"/>
      <protection locked="0"/>
    </xf>
    <xf numFmtId="164" fontId="58" fillId="36" borderId="25" xfId="0" applyNumberFormat="1" applyFont="1" applyFill="1" applyBorder="1" applyAlignment="1" applyProtection="1">
      <alignment/>
      <protection locked="0"/>
    </xf>
    <xf numFmtId="164" fontId="58" fillId="36" borderId="42"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59" fillId="36" borderId="25" xfId="0" applyNumberFormat="1" applyFont="1" applyFill="1" applyBorder="1" applyAlignment="1" applyProtection="1">
      <alignment/>
      <protection locked="0"/>
    </xf>
    <xf numFmtId="164" fontId="12" fillId="0" borderId="25" xfId="0" applyNumberFormat="1" applyFont="1" applyFill="1" applyBorder="1" applyAlignment="1" applyProtection="1">
      <alignment horizontal="center"/>
      <protection locked="0"/>
    </xf>
    <xf numFmtId="10" fontId="3" fillId="36" borderId="34" xfId="63" applyNumberFormat="1" applyFont="1" applyFill="1" applyBorder="1" applyAlignment="1" applyProtection="1">
      <alignment horizontal="center"/>
      <protection locked="0"/>
    </xf>
    <xf numFmtId="0" fontId="12" fillId="0" borderId="25" xfId="0" applyFont="1" applyFill="1" applyBorder="1" applyAlignment="1" applyProtection="1">
      <alignment horizontal="center" wrapText="1"/>
      <protection locked="0"/>
    </xf>
    <xf numFmtId="0" fontId="58" fillId="0" borderId="39" xfId="0" applyFont="1" applyFill="1" applyBorder="1" applyAlignment="1" applyProtection="1">
      <alignment horizontal="center"/>
      <protection locked="0"/>
    </xf>
    <xf numFmtId="0" fontId="58" fillId="0" borderId="34" xfId="0" applyFont="1" applyFill="1" applyBorder="1" applyAlignment="1" applyProtection="1">
      <alignment horizontal="center"/>
      <protection locked="0"/>
    </xf>
    <xf numFmtId="0" fontId="57" fillId="0" borderId="0" xfId="0" applyFont="1" applyAlignment="1" applyProtection="1">
      <alignment/>
      <protection locked="0"/>
    </xf>
    <xf numFmtId="0" fontId="58" fillId="0" borderId="0" xfId="0" applyFont="1" applyBorder="1" applyAlignment="1" applyProtection="1">
      <alignment/>
      <protection locked="0"/>
    </xf>
    <xf numFmtId="0" fontId="59" fillId="0" borderId="25"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9" fontId="3" fillId="0" borderId="37" xfId="63" applyFont="1" applyFill="1" applyBorder="1" applyAlignment="1" applyProtection="1">
      <alignment horizontal="center" vertical="center" wrapText="1"/>
      <protection locked="0"/>
    </xf>
    <xf numFmtId="9" fontId="3" fillId="0" borderId="25" xfId="63" applyFont="1" applyFill="1" applyBorder="1" applyAlignment="1" applyProtection="1">
      <alignment horizontal="center" vertical="center" wrapText="1"/>
      <protection locked="0"/>
    </xf>
    <xf numFmtId="9" fontId="3" fillId="0" borderId="44" xfId="63"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0" fontId="58" fillId="0" borderId="25" xfId="0" applyFont="1" applyBorder="1" applyAlignment="1" applyProtection="1">
      <alignment horizontal="center"/>
      <protection locked="0"/>
    </xf>
    <xf numFmtId="0" fontId="58" fillId="36" borderId="34" xfId="0" applyFont="1" applyFill="1" applyBorder="1" applyAlignment="1" applyProtection="1">
      <alignment horizontal="center"/>
      <protection locked="0"/>
    </xf>
    <xf numFmtId="169" fontId="58" fillId="36" borderId="41" xfId="63" applyNumberFormat="1"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0" fontId="58" fillId="0" borderId="0" xfId="0" applyFont="1" applyBorder="1" applyAlignment="1" applyProtection="1">
      <alignment horizontal="left"/>
      <protection locked="0"/>
    </xf>
    <xf numFmtId="0" fontId="0" fillId="0" borderId="45" xfId="0" applyBorder="1" applyAlignment="1" applyProtection="1">
      <alignment/>
      <protection/>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66" fillId="0" borderId="11" xfId="0" applyFont="1" applyFill="1" applyBorder="1" applyAlignment="1" applyProtection="1">
      <alignment/>
      <protection locked="0"/>
    </xf>
    <xf numFmtId="164" fontId="12" fillId="36" borderId="25" xfId="0" applyNumberFormat="1" applyFont="1" applyFill="1" applyBorder="1" applyAlignment="1" applyProtection="1">
      <alignment horizontal="right" wrapText="1"/>
      <protection locked="0"/>
    </xf>
    <xf numFmtId="164" fontId="12" fillId="36" borderId="38" xfId="0" applyNumberFormat="1" applyFont="1" applyFill="1" applyBorder="1" applyAlignment="1" applyProtection="1">
      <alignment horizontal="right" wrapText="1"/>
      <protection locked="0"/>
    </xf>
    <xf numFmtId="164" fontId="12" fillId="36" borderId="43" xfId="0" applyNumberFormat="1" applyFont="1" applyFill="1" applyBorder="1" applyAlignment="1" applyProtection="1">
      <alignment horizontal="right" wrapText="1"/>
      <protection locked="0"/>
    </xf>
    <xf numFmtId="164" fontId="12" fillId="36" borderId="39" xfId="0" applyNumberFormat="1" applyFont="1" applyFill="1" applyBorder="1" applyAlignment="1" applyProtection="1">
      <alignment horizontal="right" wrapText="1"/>
      <protection locked="0"/>
    </xf>
    <xf numFmtId="164" fontId="12" fillId="36" borderId="25" xfId="0" applyNumberFormat="1" applyFont="1" applyFill="1" applyBorder="1" applyAlignment="1" applyProtection="1">
      <alignment/>
      <protection locked="0"/>
    </xf>
    <xf numFmtId="164" fontId="12" fillId="36" borderId="39" xfId="0" applyNumberFormat="1" applyFont="1" applyFill="1" applyBorder="1" applyAlignment="1" applyProtection="1">
      <alignment/>
      <protection locked="0"/>
    </xf>
    <xf numFmtId="164" fontId="12" fillId="36" borderId="25" xfId="0" applyNumberFormat="1" applyFont="1" applyFill="1" applyBorder="1" applyAlignment="1" applyProtection="1">
      <alignment horizontal="right"/>
      <protection locked="0"/>
    </xf>
    <xf numFmtId="0" fontId="58" fillId="0" borderId="34" xfId="0" applyFont="1" applyBorder="1" applyAlignment="1" applyProtection="1">
      <alignment horizontal="center"/>
      <protection locked="0"/>
    </xf>
    <xf numFmtId="0" fontId="59" fillId="0" borderId="25" xfId="0" applyFont="1" applyFill="1" applyBorder="1" applyAlignment="1" applyProtection="1">
      <alignment/>
      <protection locked="0"/>
    </xf>
    <xf numFmtId="0" fontId="3" fillId="36" borderId="39" xfId="0" applyFont="1" applyFill="1" applyBorder="1" applyAlignment="1" applyProtection="1">
      <alignment/>
      <protection locked="0"/>
    </xf>
    <xf numFmtId="0" fontId="58"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9" fontId="3" fillId="0" borderId="40" xfId="63" applyFont="1" applyFill="1" applyBorder="1" applyAlignment="1" applyProtection="1">
      <alignment horizontal="center" vertical="center" wrapText="1"/>
      <protection locked="0"/>
    </xf>
    <xf numFmtId="0" fontId="58" fillId="36" borderId="34" xfId="0" applyNumberFormat="1" applyFont="1" applyFill="1" applyBorder="1" applyAlignment="1" applyProtection="1">
      <alignment horizontal="center"/>
      <protection locked="0"/>
    </xf>
    <xf numFmtId="164" fontId="58" fillId="36" borderId="39" xfId="0" applyNumberFormat="1" applyFont="1" applyFill="1" applyBorder="1" applyAlignment="1" applyProtection="1">
      <alignment/>
      <protection locked="0"/>
    </xf>
    <xf numFmtId="0" fontId="58" fillId="36" borderId="25" xfId="0" applyNumberFormat="1" applyFont="1" applyFill="1" applyBorder="1" applyAlignment="1" applyProtection="1">
      <alignment horizontal="center"/>
      <protection locked="0"/>
    </xf>
    <xf numFmtId="0" fontId="58" fillId="36" borderId="38" xfId="0" applyFont="1" applyFill="1" applyBorder="1" applyAlignment="1" applyProtection="1">
      <alignment wrapText="1"/>
      <protection locked="0"/>
    </xf>
    <xf numFmtId="14" fontId="58" fillId="36" borderId="38" xfId="0" applyNumberFormat="1" applyFont="1" applyFill="1" applyBorder="1" applyAlignment="1" applyProtection="1">
      <alignment/>
      <protection locked="0"/>
    </xf>
    <xf numFmtId="164" fontId="58" fillId="36" borderId="38" xfId="0" applyNumberFormat="1" applyFont="1" applyFill="1" applyBorder="1" applyAlignment="1" applyProtection="1">
      <alignment/>
      <protection locked="0"/>
    </xf>
    <xf numFmtId="0" fontId="58" fillId="36" borderId="25" xfId="0" applyFont="1" applyFill="1" applyBorder="1" applyAlignment="1" applyProtection="1">
      <alignment wrapText="1"/>
      <protection locked="0"/>
    </xf>
    <xf numFmtId="14" fontId="58" fillId="36" borderId="25" xfId="0" applyNumberFormat="1" applyFont="1" applyFill="1" applyBorder="1" applyAlignment="1" applyProtection="1">
      <alignment/>
      <protection locked="0"/>
    </xf>
    <xf numFmtId="0" fontId="59" fillId="0" borderId="25" xfId="0" applyFont="1" applyFill="1" applyBorder="1" applyAlignment="1" applyProtection="1">
      <alignment horizontal="center"/>
      <protection locked="0"/>
    </xf>
    <xf numFmtId="0" fontId="59" fillId="36" borderId="25" xfId="0" applyNumberFormat="1" applyFont="1" applyFill="1" applyBorder="1" applyAlignment="1" applyProtection="1">
      <alignment horizontal="center"/>
      <protection locked="0"/>
    </xf>
    <xf numFmtId="0" fontId="59" fillId="36" borderId="37" xfId="0" applyFont="1" applyFill="1" applyBorder="1" applyAlignment="1" applyProtection="1">
      <alignment wrapText="1"/>
      <protection locked="0"/>
    </xf>
    <xf numFmtId="14" fontId="59" fillId="36" borderId="37" xfId="0" applyNumberFormat="1" applyFont="1" applyFill="1" applyBorder="1" applyAlignment="1" applyProtection="1">
      <alignment/>
      <protection locked="0"/>
    </xf>
    <xf numFmtId="164" fontId="59" fillId="36" borderId="37" xfId="0" applyNumberFormat="1" applyFont="1" applyFill="1" applyBorder="1" applyAlignment="1" applyProtection="1">
      <alignment/>
      <protection locked="0"/>
    </xf>
    <xf numFmtId="164" fontId="59" fillId="36" borderId="27" xfId="0" applyNumberFormat="1" applyFont="1" applyFill="1" applyBorder="1" applyAlignment="1" applyProtection="1">
      <alignment/>
      <protection locked="0"/>
    </xf>
    <xf numFmtId="164" fontId="59" fillId="36" borderId="35" xfId="0" applyNumberFormat="1" applyFont="1" applyFill="1" applyBorder="1" applyAlignment="1" applyProtection="1">
      <alignment/>
      <protection locked="0"/>
    </xf>
    <xf numFmtId="164" fontId="59" fillId="36" borderId="45" xfId="0" applyNumberFormat="1" applyFont="1" applyFill="1" applyBorder="1" applyAlignment="1" applyProtection="1">
      <alignment/>
      <protection locked="0"/>
    </xf>
    <xf numFmtId="0" fontId="59" fillId="36" borderId="25" xfId="0" applyFont="1" applyFill="1" applyBorder="1" applyAlignment="1" applyProtection="1">
      <alignment wrapText="1"/>
      <protection locked="0"/>
    </xf>
    <xf numFmtId="14" fontId="59" fillId="36" borderId="25" xfId="0" applyNumberFormat="1" applyFont="1" applyFill="1" applyBorder="1" applyAlignment="1" applyProtection="1">
      <alignment/>
      <protection locked="0"/>
    </xf>
    <xf numFmtId="164" fontId="59" fillId="36" borderId="43" xfId="0" applyNumberFormat="1" applyFont="1" applyFill="1" applyBorder="1" applyAlignment="1" applyProtection="1">
      <alignment/>
      <protection locked="0"/>
    </xf>
    <xf numFmtId="164" fontId="59" fillId="36" borderId="38" xfId="0" applyNumberFormat="1" applyFont="1" applyFill="1" applyBorder="1" applyAlignment="1" applyProtection="1">
      <alignment/>
      <protection locked="0"/>
    </xf>
    <xf numFmtId="164" fontId="59" fillId="36" borderId="46" xfId="0" applyNumberFormat="1" applyFont="1" applyFill="1" applyBorder="1" applyAlignment="1" applyProtection="1">
      <alignment/>
      <protection locked="0"/>
    </xf>
    <xf numFmtId="0" fontId="58" fillId="0" borderId="0" xfId="0" applyFont="1" applyFill="1" applyBorder="1" applyAlignment="1" applyProtection="1">
      <alignment/>
      <protection locked="0"/>
    </xf>
    <xf numFmtId="14" fontId="12" fillId="36" borderId="25" xfId="0" applyNumberFormat="1" applyFont="1" applyFill="1" applyBorder="1" applyAlignment="1" applyProtection="1">
      <alignment horizontal="center"/>
      <protection locked="0"/>
    </xf>
    <xf numFmtId="0" fontId="59" fillId="36" borderId="25" xfId="0"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0" fontId="58" fillId="0" borderId="39" xfId="0" applyFont="1" applyBorder="1" applyAlignment="1" applyProtection="1">
      <alignment horizontal="center"/>
      <protection locked="0"/>
    </xf>
    <xf numFmtId="0" fontId="59" fillId="0" borderId="34" xfId="0" applyFont="1" applyBorder="1" applyAlignment="1" applyProtection="1">
      <alignment/>
      <protection locked="0"/>
    </xf>
    <xf numFmtId="0" fontId="59" fillId="0" borderId="34" xfId="0" applyFont="1" applyBorder="1" applyAlignment="1" applyProtection="1">
      <alignment horizontal="center"/>
      <protection locked="0"/>
    </xf>
    <xf numFmtId="0" fontId="3" fillId="0" borderId="44" xfId="63" applyNumberFormat="1" applyFont="1" applyFill="1" applyBorder="1" applyAlignment="1" applyProtection="1">
      <alignment horizontal="center" vertical="center" wrapText="1"/>
      <protection locked="0"/>
    </xf>
    <xf numFmtId="0" fontId="58" fillId="0" borderId="25" xfId="0" applyNumberFormat="1" applyFont="1" applyBorder="1" applyAlignment="1" applyProtection="1">
      <alignment horizontal="center"/>
      <protection locked="0"/>
    </xf>
    <xf numFmtId="0" fontId="58" fillId="0" borderId="25" xfId="0" applyFont="1" applyFill="1" applyBorder="1" applyAlignment="1" applyProtection="1">
      <alignment/>
      <protection locked="0"/>
    </xf>
    <xf numFmtId="0" fontId="58" fillId="0" borderId="25" xfId="0" applyFont="1" applyBorder="1" applyAlignment="1" applyProtection="1">
      <alignment/>
      <protection locked="0"/>
    </xf>
    <xf numFmtId="0" fontId="12" fillId="36" borderId="25" xfId="0" applyFont="1" applyFill="1" applyBorder="1" applyAlignment="1" applyProtection="1">
      <alignment horizontal="left"/>
      <protection locked="0"/>
    </xf>
    <xf numFmtId="0" fontId="66" fillId="0" borderId="11" xfId="0" applyFont="1" applyBorder="1" applyAlignment="1" applyProtection="1">
      <alignment horizontal="left"/>
      <protection locked="0"/>
    </xf>
    <xf numFmtId="0" fontId="59" fillId="0" borderId="25" xfId="0" applyFont="1" applyBorder="1" applyAlignment="1" applyProtection="1">
      <alignment/>
      <protection locked="0"/>
    </xf>
    <xf numFmtId="164" fontId="58" fillId="36" borderId="47" xfId="0" applyNumberFormat="1" applyFont="1" applyFill="1" applyBorder="1" applyAlignment="1" applyProtection="1">
      <alignment/>
      <protection locked="0"/>
    </xf>
    <xf numFmtId="0" fontId="58" fillId="0" borderId="39" xfId="0" applyFont="1" applyBorder="1" applyAlignment="1" applyProtection="1">
      <alignment horizontal="center"/>
      <protection locked="0"/>
    </xf>
    <xf numFmtId="0" fontId="58" fillId="0" borderId="34" xfId="0" applyFont="1" applyBorder="1" applyAlignment="1" applyProtection="1">
      <alignment horizontal="center"/>
      <protection locked="0"/>
    </xf>
    <xf numFmtId="0" fontId="59"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protection locked="0"/>
    </xf>
    <xf numFmtId="0" fontId="12" fillId="0" borderId="37" xfId="0" applyFont="1" applyFill="1" applyBorder="1" applyAlignment="1" applyProtection="1">
      <alignment horizontal="center"/>
      <protection locked="0"/>
    </xf>
    <xf numFmtId="0" fontId="58" fillId="0" borderId="37" xfId="0" applyFont="1" applyBorder="1" applyAlignment="1" applyProtection="1">
      <alignment horizontal="center"/>
      <protection locked="0"/>
    </xf>
    <xf numFmtId="165" fontId="58" fillId="0" borderId="34" xfId="0" applyNumberFormat="1" applyFont="1" applyFill="1" applyBorder="1" applyAlignment="1" applyProtection="1">
      <alignment horizontal="center"/>
      <protection locked="0"/>
    </xf>
    <xf numFmtId="165" fontId="58" fillId="0" borderId="37" xfId="0" applyNumberFormat="1" applyFont="1" applyFill="1" applyBorder="1" applyAlignment="1" applyProtection="1">
      <alignment horizontal="center"/>
      <protection locked="0"/>
    </xf>
    <xf numFmtId="165" fontId="58" fillId="0" borderId="34"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58" fillId="0" borderId="0" xfId="0" applyFont="1" applyBorder="1" applyAlignment="1" applyProtection="1">
      <alignment horizontal="center" vertical="center"/>
      <protection locked="0"/>
    </xf>
    <xf numFmtId="0" fontId="58" fillId="0" borderId="0" xfId="0" applyFont="1" applyBorder="1" applyAlignment="1" applyProtection="1">
      <alignment/>
      <protection locked="0"/>
    </xf>
    <xf numFmtId="0" fontId="67" fillId="0" borderId="0" xfId="53" applyFont="1" applyBorder="1" applyAlignment="1" applyProtection="1">
      <alignment/>
      <protection locked="0"/>
    </xf>
    <xf numFmtId="0" fontId="58" fillId="0" borderId="25" xfId="0" applyFont="1" applyBorder="1" applyAlignment="1" applyProtection="1">
      <alignment horizontal="center"/>
      <protection locked="0"/>
    </xf>
    <xf numFmtId="0" fontId="58" fillId="0" borderId="34" xfId="0" applyFont="1" applyBorder="1" applyAlignment="1" applyProtection="1">
      <alignment horizontal="center"/>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37" xfId="0" applyFont="1" applyBorder="1" applyAlignment="1" applyProtection="1">
      <alignment vertical="center" wrapText="1"/>
      <protection locked="0"/>
    </xf>
    <xf numFmtId="0" fontId="58" fillId="0" borderId="35" xfId="0" applyFont="1" applyBorder="1" applyAlignment="1" applyProtection="1">
      <alignment vertical="center" wrapText="1"/>
      <protection locked="0"/>
    </xf>
    <xf numFmtId="0" fontId="58" fillId="0" borderId="38"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horizontal="left" vertical="center" wrapText="1"/>
      <protection locked="0"/>
    </xf>
    <xf numFmtId="0" fontId="58" fillId="0" borderId="25" xfId="0" applyFont="1" applyBorder="1" applyAlignment="1" applyProtection="1">
      <alignment horizontal="left" vertical="center" wrapText="1"/>
      <protection locked="0"/>
    </xf>
    <xf numFmtId="0" fontId="3" fillId="36" borderId="34" xfId="0" applyFont="1" applyFill="1" applyBorder="1" applyAlignment="1" applyProtection="1">
      <alignment horizontal="left" vertical="center" wrapText="1"/>
      <protection locked="0"/>
    </xf>
    <xf numFmtId="0" fontId="3" fillId="36" borderId="41" xfId="0" applyFont="1" applyFill="1" applyBorder="1" applyAlignment="1" applyProtection="1">
      <alignment horizontal="left" vertical="center" wrapText="1"/>
      <protection locked="0"/>
    </xf>
    <xf numFmtId="0" fontId="3" fillId="36" borderId="39" xfId="0" applyFont="1" applyFill="1" applyBorder="1" applyAlignment="1" applyProtection="1">
      <alignment horizontal="left" vertical="center" wrapText="1"/>
      <protection locked="0"/>
    </xf>
    <xf numFmtId="0" fontId="59" fillId="0" borderId="34" xfId="0" applyFont="1" applyFill="1" applyBorder="1" applyAlignment="1" applyProtection="1">
      <alignment horizontal="center"/>
      <protection locked="0"/>
    </xf>
    <xf numFmtId="0" fontId="59" fillId="0" borderId="41" xfId="0" applyFont="1" applyFill="1" applyBorder="1" applyAlignment="1" applyProtection="1">
      <alignment horizontal="center"/>
      <protection locked="0"/>
    </xf>
    <xf numFmtId="0" fontId="59" fillId="0" borderId="39"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3" fillId="36" borderId="25"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center"/>
      <protection locked="0"/>
    </xf>
    <xf numFmtId="0" fontId="3" fillId="0" borderId="39" xfId="0" applyFont="1" applyFill="1" applyBorder="1" applyAlignment="1" applyProtection="1">
      <alignment horizontal="center"/>
      <protection locked="0"/>
    </xf>
    <xf numFmtId="0" fontId="3" fillId="0" borderId="34" xfId="0" applyFont="1" applyFill="1" applyBorder="1" applyAlignment="1" applyProtection="1">
      <alignment horizontal="left"/>
      <protection locked="0"/>
    </xf>
    <xf numFmtId="0" fontId="3" fillId="0" borderId="41" xfId="0" applyFont="1" applyFill="1" applyBorder="1" applyAlignment="1" applyProtection="1">
      <alignment horizontal="left"/>
      <protection locked="0"/>
    </xf>
    <xf numFmtId="0" fontId="3" fillId="0" borderId="39" xfId="0" applyFont="1" applyFill="1" applyBorder="1" applyAlignment="1" applyProtection="1">
      <alignment horizontal="left"/>
      <protection locked="0"/>
    </xf>
    <xf numFmtId="0" fontId="3" fillId="0" borderId="25" xfId="0" applyFont="1" applyFill="1" applyBorder="1" applyAlignment="1" applyProtection="1">
      <alignment horizontal="left" wrapText="1"/>
      <protection locked="0"/>
    </xf>
    <xf numFmtId="0" fontId="3" fillId="0" borderId="25" xfId="0" applyFont="1" applyFill="1" applyBorder="1" applyAlignment="1" applyProtection="1">
      <alignment horizontal="left"/>
      <protection locked="0"/>
    </xf>
    <xf numFmtId="0" fontId="0" fillId="0" borderId="0" xfId="0" applyAlignment="1" applyProtection="1">
      <alignment/>
      <protection/>
    </xf>
    <xf numFmtId="0" fontId="3" fillId="0" borderId="25" xfId="0" applyFont="1" applyFill="1" applyBorder="1" applyAlignment="1" applyProtection="1">
      <alignment horizontal="center"/>
      <protection locked="0"/>
    </xf>
    <xf numFmtId="0" fontId="3" fillId="0" borderId="34"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58" fillId="0" borderId="0" xfId="0" applyFont="1" applyBorder="1" applyAlignment="1" applyProtection="1">
      <alignment horizontal="center"/>
      <protection/>
    </xf>
    <xf numFmtId="0" fontId="3" fillId="0" borderId="25" xfId="0" applyFont="1" applyFill="1" applyBorder="1" applyAlignment="1" applyProtection="1">
      <alignment/>
      <protection locked="0"/>
    </xf>
    <xf numFmtId="0" fontId="3" fillId="0" borderId="34" xfId="0" applyFont="1" applyFill="1" applyBorder="1" applyAlignment="1" applyProtection="1">
      <alignment/>
      <protection locked="0"/>
    </xf>
    <xf numFmtId="0" fontId="3" fillId="0" borderId="25" xfId="0" applyFont="1" applyFill="1" applyBorder="1" applyAlignment="1" applyProtection="1">
      <alignment horizontal="center" wrapText="1"/>
      <protection locked="0"/>
    </xf>
    <xf numFmtId="0" fontId="3" fillId="0" borderId="37" xfId="0" applyFont="1" applyFill="1" applyBorder="1" applyAlignment="1" applyProtection="1">
      <alignment horizontal="center" wrapText="1"/>
      <protection locked="0"/>
    </xf>
    <xf numFmtId="0" fontId="59" fillId="0" borderId="25" xfId="0" applyFont="1" applyBorder="1" applyAlignment="1" applyProtection="1">
      <alignment horizontal="center" wrapText="1"/>
      <protection locked="0"/>
    </xf>
    <xf numFmtId="0" fontId="3" fillId="36" borderId="25" xfId="0" applyFont="1" applyFill="1" applyBorder="1" applyAlignment="1" applyProtection="1">
      <alignment horizontal="left" wrapText="1"/>
      <protection locked="0"/>
    </xf>
    <xf numFmtId="0" fontId="59" fillId="0" borderId="25" xfId="0" applyFont="1" applyFill="1" applyBorder="1" applyAlignment="1" applyProtection="1">
      <alignment horizontal="center"/>
      <protection locked="0"/>
    </xf>
    <xf numFmtId="0" fontId="60" fillId="0" borderId="0" xfId="53" applyFont="1" applyBorder="1" applyAlignment="1" applyProtection="1">
      <alignment horizontal="left"/>
      <protection/>
    </xf>
    <xf numFmtId="0" fontId="3" fillId="0" borderId="25" xfId="0" applyFont="1" applyFill="1" applyBorder="1" applyAlignment="1" applyProtection="1">
      <alignment horizontal="right"/>
      <protection locked="0"/>
    </xf>
    <xf numFmtId="0" fontId="58" fillId="0" borderId="0" xfId="0" applyFont="1" applyFill="1" applyBorder="1" applyAlignment="1" applyProtection="1">
      <alignment horizontal="center"/>
      <protection/>
    </xf>
    <xf numFmtId="14" fontId="3" fillId="0" borderId="34" xfId="0" applyNumberFormat="1" applyFont="1" applyFill="1" applyBorder="1" applyAlignment="1" applyProtection="1">
      <alignment horizontal="center"/>
      <protection locked="0"/>
    </xf>
    <xf numFmtId="14" fontId="3" fillId="0" borderId="41" xfId="0" applyNumberFormat="1" applyFont="1" applyFill="1" applyBorder="1" applyAlignment="1" applyProtection="1">
      <alignment horizontal="center"/>
      <protection locked="0"/>
    </xf>
    <xf numFmtId="14" fontId="3" fillId="0" borderId="39" xfId="0" applyNumberFormat="1" applyFont="1" applyFill="1" applyBorder="1" applyAlignment="1" applyProtection="1">
      <alignment horizontal="center"/>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horizontal="left"/>
      <protection locked="0"/>
    </xf>
    <xf numFmtId="0" fontId="59" fillId="34" borderId="48" xfId="0" applyFont="1" applyFill="1" applyBorder="1" applyAlignment="1">
      <alignment horizontal="center"/>
    </xf>
    <xf numFmtId="0" fontId="59" fillId="34"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Enclosure 1"/>
      <sheetName val="Enclosure 2 (Remit)"/>
      <sheetName val="Reverted Funds (Remit)"/>
      <sheetName val="AB 114 Plans (Remit)"/>
      <sheetName val="Difference (Remit)"/>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G22" sqref="G22"/>
    </sheetView>
  </sheetViews>
  <sheetFormatPr defaultColWidth="9.140625" defaultRowHeight="15"/>
  <cols>
    <col min="1" max="16384" width="9.140625" style="150" customWidth="1"/>
  </cols>
  <sheetData>
    <row r="1" ht="15.75">
      <c r="A1" s="20" t="s">
        <v>270</v>
      </c>
    </row>
    <row r="2" ht="15">
      <c r="A2" s="151" t="s">
        <v>273</v>
      </c>
    </row>
    <row r="3" ht="15">
      <c r="A3" s="150" t="s">
        <v>271</v>
      </c>
    </row>
    <row r="16" ht="15">
      <c r="F16" s="153"/>
    </row>
    <row r="26" ht="15">
      <c r="E26" s="154"/>
    </row>
    <row r="28" ht="15">
      <c r="F28" s="152"/>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A1:T16"/>
  <sheetViews>
    <sheetView showGridLines="0" zoomScale="70" zoomScaleNormal="70" zoomScalePageLayoutView="0" workbookViewId="0" topLeftCell="A1">
      <selection activeCell="F7" sqref="F7"/>
    </sheetView>
  </sheetViews>
  <sheetFormatPr defaultColWidth="0" defaultRowHeight="15" zeroHeight="1"/>
  <cols>
    <col min="1" max="1" width="2.7109375" style="51" customWidth="1"/>
    <col min="2" max="2" width="5.7109375" style="51" customWidth="1"/>
    <col min="3" max="3" width="9.421875" style="51" bestFit="1" customWidth="1"/>
    <col min="4" max="4" width="62.7109375" style="51" bestFit="1" customWidth="1"/>
    <col min="5" max="5" width="17.140625" style="51" bestFit="1" customWidth="1"/>
    <col min="6" max="6" width="17.00390625" style="51" customWidth="1"/>
    <col min="7" max="7" width="16.140625" style="51" bestFit="1" customWidth="1"/>
    <col min="8" max="8" width="22.7109375" style="51" bestFit="1" customWidth="1"/>
    <col min="9" max="9" width="18.57421875" style="51" bestFit="1" customWidth="1"/>
    <col min="10" max="10" width="18.28125" style="51" bestFit="1" customWidth="1"/>
    <col min="11" max="19" width="19.421875" style="182" hidden="1" customWidth="1"/>
    <col min="20" max="22" width="23.7109375" style="51" hidden="1" customWidth="1"/>
    <col min="23" max="23" width="21.28125" style="51" hidden="1" customWidth="1"/>
    <col min="24" max="24" width="22.140625" style="51" hidden="1" customWidth="1"/>
    <col min="25" max="16384" width="9.140625" style="51" hidden="1" customWidth="1"/>
  </cols>
  <sheetData>
    <row r="1" spans="1:4" ht="15.75">
      <c r="A1" s="281" t="s">
        <v>371</v>
      </c>
      <c r="B1" s="454"/>
      <c r="C1" s="454"/>
      <c r="D1" s="454"/>
    </row>
    <row r="2" s="163" customFormat="1" ht="18">
      <c r="B2" s="282" t="str">
        <f>'1. Information'!B2</f>
        <v>Version 7/1/2018</v>
      </c>
    </row>
    <row r="3" spans="2:8" ht="20.25" customHeight="1">
      <c r="B3" s="230" t="str">
        <f>'1. Information'!B3</f>
        <v>Annual Mental Health Services Act Revenue and Expenditure Report</v>
      </c>
      <c r="C3" s="40"/>
      <c r="D3" s="40"/>
      <c r="E3" s="40"/>
      <c r="F3" s="40"/>
      <c r="G3" s="40"/>
      <c r="H3" s="40"/>
    </row>
    <row r="4" spans="2:8" ht="18">
      <c r="B4" s="230" t="str">
        <f>'1. Information'!B4</f>
        <v>Fiscal Year 2017-18</v>
      </c>
      <c r="C4" s="1"/>
      <c r="D4" s="1"/>
      <c r="E4" s="1"/>
      <c r="F4" s="1"/>
      <c r="G4" s="1"/>
      <c r="H4" s="1"/>
    </row>
    <row r="5" spans="2:8" ht="18">
      <c r="B5" s="230" t="s">
        <v>289</v>
      </c>
      <c r="C5" s="1"/>
      <c r="D5" s="1"/>
      <c r="E5" s="1"/>
      <c r="F5" s="1"/>
      <c r="G5" s="1"/>
      <c r="H5" s="1"/>
    </row>
    <row r="6" spans="4:8" ht="15.75">
      <c r="D6" s="29"/>
      <c r="E6" s="29"/>
      <c r="F6" s="29"/>
      <c r="G6" s="29"/>
      <c r="H6" s="29"/>
    </row>
    <row r="7" spans="2:7" ht="15.75">
      <c r="B7" s="442" t="s">
        <v>1</v>
      </c>
      <c r="C7" s="442"/>
      <c r="D7" s="283" t="str">
        <f>IF(ISBLANK('1. Information'!D8),"",'1. Information'!D8)</f>
        <v>San Bernardino</v>
      </c>
      <c r="F7" s="244" t="s">
        <v>2</v>
      </c>
      <c r="G7" s="315">
        <f>IF(ISBLANK('1. Information'!D7),"",'1. Information'!D7)</f>
        <v>43462</v>
      </c>
    </row>
    <row r="8" spans="2:8" ht="15.75">
      <c r="B8" s="6"/>
      <c r="C8" s="6"/>
      <c r="D8" s="6"/>
      <c r="G8" s="6"/>
      <c r="H8" s="71"/>
    </row>
    <row r="9" spans="2:10" ht="18.75" thickBot="1">
      <c r="B9" s="285" t="s">
        <v>260</v>
      </c>
      <c r="C9" s="17"/>
      <c r="D9" s="17"/>
      <c r="E9" s="54"/>
      <c r="F9" s="54"/>
      <c r="G9" s="17"/>
      <c r="H9" s="72"/>
      <c r="I9" s="54"/>
      <c r="J9" s="54"/>
    </row>
    <row r="10" spans="2:8" ht="16.5" thickTop="1">
      <c r="B10" s="6"/>
      <c r="C10" s="6"/>
      <c r="D10" s="6"/>
      <c r="G10" s="6"/>
      <c r="H10" s="71"/>
    </row>
    <row r="11" spans="2:19" ht="15.75">
      <c r="B11" s="6"/>
      <c r="C11" s="250" t="s">
        <v>27</v>
      </c>
      <c r="D11" s="250" t="s">
        <v>29</v>
      </c>
      <c r="E11" s="286" t="s">
        <v>32</v>
      </c>
      <c r="F11" s="399" t="s">
        <v>246</v>
      </c>
      <c r="G11" s="339" t="s">
        <v>247</v>
      </c>
      <c r="H11" s="339" t="s">
        <v>248</v>
      </c>
      <c r="I11" s="400" t="s">
        <v>257</v>
      </c>
      <c r="J11" s="286" t="s">
        <v>249</v>
      </c>
      <c r="R11" s="51"/>
      <c r="S11" s="51"/>
    </row>
    <row r="12" spans="2:20" ht="15.75">
      <c r="B12" s="13"/>
      <c r="C12" s="397"/>
      <c r="D12" s="301" t="s">
        <v>301</v>
      </c>
      <c r="E12" s="390" t="s">
        <v>28</v>
      </c>
      <c r="F12" s="453" t="s">
        <v>30</v>
      </c>
      <c r="G12" s="453"/>
      <c r="H12" s="453"/>
      <c r="I12" s="453"/>
      <c r="J12" s="386"/>
      <c r="R12" s="13"/>
      <c r="S12" s="13"/>
      <c r="T12" s="13"/>
    </row>
    <row r="13" spans="1:17" s="332" customFormat="1" ht="80.25" customHeight="1">
      <c r="A13" s="51"/>
      <c r="B13" s="333" t="s">
        <v>134</v>
      </c>
      <c r="C13" s="401" t="s">
        <v>195</v>
      </c>
      <c r="D13" s="359" t="s">
        <v>130</v>
      </c>
      <c r="E13" s="289" t="s">
        <v>300</v>
      </c>
      <c r="F13" s="391" t="s">
        <v>5</v>
      </c>
      <c r="G13" s="305" t="s">
        <v>6</v>
      </c>
      <c r="H13" s="305" t="s">
        <v>31</v>
      </c>
      <c r="I13" s="305" t="s">
        <v>15</v>
      </c>
      <c r="J13" s="338" t="s">
        <v>278</v>
      </c>
      <c r="K13" s="274"/>
      <c r="L13" s="274"/>
      <c r="M13" s="274"/>
      <c r="N13" s="274"/>
      <c r="O13" s="274"/>
      <c r="P13" s="274"/>
      <c r="Q13" s="274"/>
    </row>
    <row r="14" spans="1:17" s="332" customFormat="1" ht="15.75">
      <c r="A14" s="51"/>
      <c r="B14" s="339">
        <v>1</v>
      </c>
      <c r="C14" s="340">
        <f>IF(J14&lt;&gt;0,VLOOKUP($D$7,Info_County_Code,2,FALSE),"")</f>
      </c>
      <c r="D14" s="402" t="s">
        <v>120</v>
      </c>
      <c r="E14" s="58"/>
      <c r="F14" s="61"/>
      <c r="G14" s="61"/>
      <c r="H14" s="58"/>
      <c r="I14" s="175"/>
      <c r="J14" s="398">
        <f>SUM(E14:I14)</f>
        <v>0</v>
      </c>
      <c r="K14" s="274"/>
      <c r="L14" s="274"/>
      <c r="M14" s="274"/>
      <c r="N14" s="274"/>
      <c r="O14" s="274"/>
      <c r="P14" s="274"/>
      <c r="Q14" s="274"/>
    </row>
    <row r="15" spans="1:17" s="332" customFormat="1" ht="15.75">
      <c r="A15" s="51"/>
      <c r="B15" s="339">
        <v>2</v>
      </c>
      <c r="C15" s="340">
        <f>IF(J15&lt;&gt;0,VLOOKUP($D$7,Info_County_Code,2,FALSE),"")</f>
      </c>
      <c r="D15" s="402" t="s">
        <v>121</v>
      </c>
      <c r="E15" s="57"/>
      <c r="F15" s="59"/>
      <c r="G15" s="57"/>
      <c r="H15" s="57"/>
      <c r="I15" s="176"/>
      <c r="J15" s="398">
        <f>SUM(E15:I15)</f>
        <v>0</v>
      </c>
      <c r="K15" s="274"/>
      <c r="L15" s="274"/>
      <c r="M15" s="274"/>
      <c r="N15" s="274"/>
      <c r="O15" s="274"/>
      <c r="P15" s="274"/>
      <c r="Q15" s="274"/>
    </row>
    <row r="16" spans="4:7" ht="15.75" hidden="1">
      <c r="D16" s="12"/>
      <c r="E16" s="41"/>
      <c r="F16" s="41"/>
      <c r="G16" s="41"/>
    </row>
    <row r="17" ht="15.75" hidden="1"/>
    <row r="18" ht="15.75" hidden="1"/>
    <row r="19" ht="15.75" hidden="1"/>
    <row r="20" ht="15.75" hidden="1"/>
    <row r="21" ht="15.75" hidden="1"/>
    <row r="22" ht="15.75" hidden="1"/>
    <row r="23" ht="15.75" hidden="1"/>
    <row r="24" ht="15.75" hidden="1"/>
    <row r="25" ht="15.75" hidden="1"/>
  </sheetData>
  <sheetProtection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A1:G112"/>
  <sheetViews>
    <sheetView showGridLines="0" zoomScale="70" zoomScaleNormal="70" zoomScalePageLayoutView="0" workbookViewId="0" topLeftCell="A1">
      <selection activeCell="G36" sqref="G36"/>
    </sheetView>
  </sheetViews>
  <sheetFormatPr defaultColWidth="0" defaultRowHeight="15" zeroHeight="1"/>
  <cols>
    <col min="1" max="1" width="2.7109375" style="51" customWidth="1"/>
    <col min="2" max="2" width="6.7109375" style="332" customWidth="1"/>
    <col min="3" max="3" width="9.28125" style="332" bestFit="1" customWidth="1"/>
    <col min="4" max="4" width="26.140625" style="332" customWidth="1"/>
    <col min="5" max="5" width="20.140625" style="332" customWidth="1"/>
    <col min="6" max="6" width="30.00390625" style="332" customWidth="1"/>
    <col min="7" max="7" width="54.28125" style="332" customWidth="1"/>
    <col min="8" max="12" width="11.7109375" style="332" hidden="1" customWidth="1"/>
    <col min="13" max="16384" width="9.140625" style="332" hidden="1" customWidth="1"/>
  </cols>
  <sheetData>
    <row r="1" spans="1:3" s="51" customFormat="1" ht="15">
      <c r="A1" s="281" t="s">
        <v>372</v>
      </c>
      <c r="B1" s="27"/>
      <c r="C1" s="27"/>
    </row>
    <row r="2" s="163" customFormat="1" ht="15">
      <c r="B2" s="222" t="str">
        <f>'1. Information'!B2</f>
        <v>Version 7/1/2018</v>
      </c>
    </row>
    <row r="3" spans="2:6" s="51" customFormat="1" ht="18">
      <c r="B3" s="230" t="str">
        <f>'1. Information'!B3</f>
        <v>Annual Mental Health Services Act Revenue and Expenditure Report</v>
      </c>
      <c r="C3" s="1"/>
      <c r="D3" s="1"/>
      <c r="E3" s="1"/>
      <c r="F3" s="1"/>
    </row>
    <row r="4" spans="2:6" s="51" customFormat="1" ht="18">
      <c r="B4" s="230" t="str">
        <f>'1. Information'!B4</f>
        <v>Fiscal Year 2017-18</v>
      </c>
      <c r="C4" s="1"/>
      <c r="D4" s="1"/>
      <c r="E4" s="1"/>
      <c r="F4" s="1"/>
    </row>
    <row r="5" spans="2:6" s="51" customFormat="1" ht="18">
      <c r="B5" s="223" t="s">
        <v>131</v>
      </c>
      <c r="C5" s="16"/>
      <c r="D5" s="16"/>
      <c r="E5" s="16"/>
      <c r="F5" s="16"/>
    </row>
    <row r="6" spans="3:6" s="51" customFormat="1" ht="15.75">
      <c r="C6" s="47"/>
      <c r="D6" s="47"/>
      <c r="E6" s="47"/>
      <c r="F6" s="47"/>
    </row>
    <row r="7" spans="2:7" s="51" customFormat="1" ht="15.75">
      <c r="B7" s="442" t="s">
        <v>1</v>
      </c>
      <c r="C7" s="442"/>
      <c r="D7" s="283" t="str">
        <f>IF(ISBLANK('1. Information'!D8),"",'1. Information'!D8)</f>
        <v>San Bernardino</v>
      </c>
      <c r="E7" s="3"/>
      <c r="F7" s="301" t="s">
        <v>178</v>
      </c>
      <c r="G7" s="315">
        <f>IF(ISBLANK('1. Information'!D7),"",'1. Information'!D7)</f>
        <v>43462</v>
      </c>
    </row>
    <row r="8" spans="2:7" s="51" customFormat="1" ht="15.75">
      <c r="B8" s="6"/>
      <c r="C8" s="6"/>
      <c r="D8" s="6"/>
      <c r="E8" s="3"/>
      <c r="F8" s="42"/>
      <c r="G8" s="53"/>
    </row>
    <row r="9" spans="2:7" s="51" customFormat="1" ht="18.75" thickBot="1">
      <c r="B9" s="285" t="s">
        <v>260</v>
      </c>
      <c r="C9" s="17"/>
      <c r="D9" s="17"/>
      <c r="E9" s="21"/>
      <c r="F9" s="43"/>
      <c r="G9" s="55"/>
    </row>
    <row r="10" spans="2:7" s="51" customFormat="1" ht="16.5" thickTop="1">
      <c r="B10" s="6"/>
      <c r="C10" s="6"/>
      <c r="D10" s="6"/>
      <c r="E10" s="3"/>
      <c r="F10" s="42"/>
      <c r="G10" s="53"/>
    </row>
    <row r="11" spans="3:7" s="51" customFormat="1" ht="15">
      <c r="C11" s="403" t="s">
        <v>27</v>
      </c>
      <c r="D11" s="403" t="s">
        <v>29</v>
      </c>
      <c r="E11" s="403" t="s">
        <v>32</v>
      </c>
      <c r="F11" s="403" t="s">
        <v>246</v>
      </c>
      <c r="G11" s="404" t="s">
        <v>247</v>
      </c>
    </row>
    <row r="12" spans="2:7" s="51" customFormat="1" ht="15.75">
      <c r="B12" s="333" t="s">
        <v>134</v>
      </c>
      <c r="C12" s="336" t="s">
        <v>11</v>
      </c>
      <c r="D12" s="335" t="s">
        <v>111</v>
      </c>
      <c r="E12" s="335" t="s">
        <v>110</v>
      </c>
      <c r="F12" s="335" t="s">
        <v>112</v>
      </c>
      <c r="G12" s="335" t="s">
        <v>113</v>
      </c>
    </row>
    <row r="13" spans="2:7" s="51" customFormat="1" ht="15">
      <c r="B13" s="339">
        <v>1</v>
      </c>
      <c r="C13" s="340">
        <f aca="true" t="shared" si="0" ref="C13:C42">IF(F13&lt;&gt;0,VLOOKUP($D$7,Info_County_Code,2,FALSE),"")</f>
        <v>36</v>
      </c>
      <c r="D13" s="73" t="s">
        <v>34</v>
      </c>
      <c r="E13" s="181" t="s">
        <v>290</v>
      </c>
      <c r="F13" s="180">
        <f>17464759-7783021</f>
        <v>9681738</v>
      </c>
      <c r="G13" s="188" t="s">
        <v>322</v>
      </c>
    </row>
    <row r="14" spans="2:7" s="51" customFormat="1" ht="15">
      <c r="B14" s="339">
        <v>2</v>
      </c>
      <c r="C14" s="340">
        <f t="shared" si="0"/>
      </c>
      <c r="D14" s="73"/>
      <c r="E14" s="66"/>
      <c r="F14" s="74"/>
      <c r="G14" s="188"/>
    </row>
    <row r="15" spans="2:7" s="51" customFormat="1" ht="15">
      <c r="B15" s="339">
        <v>3</v>
      </c>
      <c r="C15" s="340">
        <f t="shared" si="0"/>
      </c>
      <c r="D15" s="73"/>
      <c r="E15" s="66"/>
      <c r="F15" s="74"/>
      <c r="G15" s="75"/>
    </row>
    <row r="16" spans="2:7" s="51" customFormat="1" ht="15">
      <c r="B16" s="339">
        <v>4</v>
      </c>
      <c r="C16" s="340">
        <f t="shared" si="0"/>
      </c>
      <c r="D16" s="73"/>
      <c r="E16" s="66"/>
      <c r="F16" s="74"/>
      <c r="G16" s="75"/>
    </row>
    <row r="17" spans="2:7" s="51" customFormat="1" ht="15">
      <c r="B17" s="339">
        <v>5</v>
      </c>
      <c r="C17" s="340">
        <f t="shared" si="0"/>
      </c>
      <c r="D17" s="73"/>
      <c r="E17" s="66"/>
      <c r="F17" s="76"/>
      <c r="G17" s="75"/>
    </row>
    <row r="18" spans="2:7" s="51" customFormat="1" ht="15">
      <c r="B18" s="339">
        <v>6</v>
      </c>
      <c r="C18" s="340">
        <f t="shared" si="0"/>
      </c>
      <c r="D18" s="73"/>
      <c r="E18" s="66"/>
      <c r="F18" s="76"/>
      <c r="G18" s="75"/>
    </row>
    <row r="19" spans="2:7" s="51" customFormat="1" ht="15">
      <c r="B19" s="339">
        <v>7</v>
      </c>
      <c r="C19" s="340">
        <f t="shared" si="0"/>
      </c>
      <c r="D19" s="73"/>
      <c r="E19" s="66"/>
      <c r="F19" s="76"/>
      <c r="G19" s="75"/>
    </row>
    <row r="20" spans="2:7" s="51" customFormat="1" ht="15">
      <c r="B20" s="339">
        <v>8</v>
      </c>
      <c r="C20" s="340">
        <f t="shared" si="0"/>
      </c>
      <c r="D20" s="73"/>
      <c r="E20" s="66"/>
      <c r="F20" s="76"/>
      <c r="G20" s="75"/>
    </row>
    <row r="21" spans="2:7" s="51" customFormat="1" ht="15">
      <c r="B21" s="339">
        <v>9</v>
      </c>
      <c r="C21" s="340">
        <f t="shared" si="0"/>
      </c>
      <c r="D21" s="73"/>
      <c r="E21" s="66"/>
      <c r="F21" s="76"/>
      <c r="G21" s="75"/>
    </row>
    <row r="22" spans="2:7" s="51" customFormat="1" ht="15">
      <c r="B22" s="339">
        <v>10</v>
      </c>
      <c r="C22" s="340">
        <f t="shared" si="0"/>
      </c>
      <c r="D22" s="73"/>
      <c r="E22" s="66"/>
      <c r="F22" s="76"/>
      <c r="G22" s="75"/>
    </row>
    <row r="23" spans="2:7" s="51" customFormat="1" ht="15">
      <c r="B23" s="339">
        <v>11</v>
      </c>
      <c r="C23" s="340">
        <f t="shared" si="0"/>
      </c>
      <c r="D23" s="73"/>
      <c r="E23" s="66"/>
      <c r="F23" s="74"/>
      <c r="G23" s="75"/>
    </row>
    <row r="24" spans="2:7" s="51" customFormat="1" ht="15">
      <c r="B24" s="339">
        <v>12</v>
      </c>
      <c r="C24" s="340">
        <f t="shared" si="0"/>
      </c>
      <c r="D24" s="73"/>
      <c r="E24" s="66"/>
      <c r="F24" s="74"/>
      <c r="G24" s="75"/>
    </row>
    <row r="25" spans="2:7" s="51" customFormat="1" ht="15">
      <c r="B25" s="339">
        <v>13</v>
      </c>
      <c r="C25" s="340">
        <f t="shared" si="0"/>
      </c>
      <c r="D25" s="73"/>
      <c r="E25" s="66"/>
      <c r="F25" s="74"/>
      <c r="G25" s="75"/>
    </row>
    <row r="26" spans="2:7" s="51" customFormat="1" ht="15">
      <c r="B26" s="339">
        <v>14</v>
      </c>
      <c r="C26" s="340">
        <f t="shared" si="0"/>
      </c>
      <c r="D26" s="73"/>
      <c r="E26" s="66"/>
      <c r="F26" s="74"/>
      <c r="G26" s="75"/>
    </row>
    <row r="27" spans="2:7" s="51" customFormat="1" ht="15">
      <c r="B27" s="339">
        <v>15</v>
      </c>
      <c r="C27" s="340">
        <f t="shared" si="0"/>
      </c>
      <c r="D27" s="73"/>
      <c r="E27" s="66"/>
      <c r="F27" s="76"/>
      <c r="G27" s="75"/>
    </row>
    <row r="28" spans="2:7" s="51" customFormat="1" ht="15">
      <c r="B28" s="339">
        <v>16</v>
      </c>
      <c r="C28" s="340">
        <f t="shared" si="0"/>
      </c>
      <c r="D28" s="73"/>
      <c r="E28" s="66"/>
      <c r="F28" s="76"/>
      <c r="G28" s="75"/>
    </row>
    <row r="29" spans="2:7" s="51" customFormat="1" ht="15">
      <c r="B29" s="339">
        <v>17</v>
      </c>
      <c r="C29" s="340">
        <f t="shared" si="0"/>
      </c>
      <c r="D29" s="73"/>
      <c r="E29" s="66"/>
      <c r="F29" s="76"/>
      <c r="G29" s="75"/>
    </row>
    <row r="30" spans="2:7" s="51" customFormat="1" ht="15">
      <c r="B30" s="339">
        <v>18</v>
      </c>
      <c r="C30" s="340">
        <f t="shared" si="0"/>
      </c>
      <c r="D30" s="73"/>
      <c r="E30" s="66"/>
      <c r="F30" s="76"/>
      <c r="G30" s="75"/>
    </row>
    <row r="31" spans="2:7" s="51" customFormat="1" ht="15">
      <c r="B31" s="339">
        <v>19</v>
      </c>
      <c r="C31" s="340">
        <f t="shared" si="0"/>
      </c>
      <c r="D31" s="73"/>
      <c r="E31" s="66"/>
      <c r="F31" s="76"/>
      <c r="G31" s="75"/>
    </row>
    <row r="32" spans="2:7" s="51" customFormat="1" ht="15">
      <c r="B32" s="339">
        <v>20</v>
      </c>
      <c r="C32" s="340">
        <f t="shared" si="0"/>
      </c>
      <c r="D32" s="73"/>
      <c r="E32" s="66"/>
      <c r="F32" s="76"/>
      <c r="G32" s="75"/>
    </row>
    <row r="33" spans="2:7" s="51" customFormat="1" ht="15">
      <c r="B33" s="339">
        <v>21</v>
      </c>
      <c r="C33" s="340">
        <f t="shared" si="0"/>
      </c>
      <c r="D33" s="73"/>
      <c r="E33" s="66"/>
      <c r="F33" s="74"/>
      <c r="G33" s="75"/>
    </row>
    <row r="34" spans="2:7" s="51" customFormat="1" ht="15">
      <c r="B34" s="339">
        <v>22</v>
      </c>
      <c r="C34" s="340">
        <f t="shared" si="0"/>
      </c>
      <c r="D34" s="73"/>
      <c r="E34" s="66"/>
      <c r="F34" s="74"/>
      <c r="G34" s="75"/>
    </row>
    <row r="35" spans="2:7" s="51" customFormat="1" ht="15">
      <c r="B35" s="339">
        <v>23</v>
      </c>
      <c r="C35" s="340">
        <f t="shared" si="0"/>
      </c>
      <c r="D35" s="73"/>
      <c r="E35" s="66"/>
      <c r="F35" s="74"/>
      <c r="G35" s="75"/>
    </row>
    <row r="36" spans="2:7" s="51" customFormat="1" ht="15">
      <c r="B36" s="339">
        <v>24</v>
      </c>
      <c r="C36" s="340">
        <f t="shared" si="0"/>
      </c>
      <c r="D36" s="73"/>
      <c r="E36" s="66"/>
      <c r="F36" s="74"/>
      <c r="G36" s="75"/>
    </row>
    <row r="37" spans="2:7" s="51" customFormat="1" ht="15">
      <c r="B37" s="339">
        <v>25</v>
      </c>
      <c r="C37" s="340">
        <f t="shared" si="0"/>
      </c>
      <c r="D37" s="73"/>
      <c r="E37" s="66"/>
      <c r="F37" s="76"/>
      <c r="G37" s="75"/>
    </row>
    <row r="38" spans="2:7" s="51" customFormat="1" ht="15">
      <c r="B38" s="339">
        <v>26</v>
      </c>
      <c r="C38" s="340">
        <f t="shared" si="0"/>
      </c>
      <c r="D38" s="73"/>
      <c r="E38" s="66"/>
      <c r="F38" s="76"/>
      <c r="G38" s="75"/>
    </row>
    <row r="39" spans="2:7" s="51" customFormat="1" ht="15">
      <c r="B39" s="339">
        <v>27</v>
      </c>
      <c r="C39" s="340">
        <f t="shared" si="0"/>
      </c>
      <c r="D39" s="73"/>
      <c r="E39" s="66"/>
      <c r="F39" s="76"/>
      <c r="G39" s="75"/>
    </row>
    <row r="40" spans="2:7" s="51" customFormat="1" ht="15">
      <c r="B40" s="339">
        <v>28</v>
      </c>
      <c r="C40" s="340">
        <f t="shared" si="0"/>
      </c>
      <c r="D40" s="73"/>
      <c r="E40" s="66"/>
      <c r="F40" s="76"/>
      <c r="G40" s="75"/>
    </row>
    <row r="41" spans="2:7" s="51" customFormat="1" ht="15">
      <c r="B41" s="339">
        <v>29</v>
      </c>
      <c r="C41" s="340">
        <f t="shared" si="0"/>
      </c>
      <c r="D41" s="73"/>
      <c r="E41" s="66"/>
      <c r="F41" s="76"/>
      <c r="G41" s="75"/>
    </row>
    <row r="42" spans="2:7" s="51" customFormat="1" ht="15">
      <c r="B42" s="339">
        <v>30</v>
      </c>
      <c r="C42" s="340">
        <f t="shared" si="0"/>
      </c>
      <c r="D42" s="73"/>
      <c r="E42" s="66"/>
      <c r="F42" s="76"/>
      <c r="G42" s="75"/>
    </row>
    <row r="43" spans="3:6" s="51" customFormat="1" ht="15">
      <c r="C43" s="77">
        <f>IF(NOT(COUNTA(D43:G43)),"",VLOOKUP(D21,Info_County_Code,2,FALSE))</f>
      </c>
      <c r="D43" s="48"/>
      <c r="E43" s="48"/>
      <c r="F43" s="78"/>
    </row>
    <row r="44" spans="2:7" s="51" customFormat="1" ht="18.75" thickBot="1">
      <c r="B44" s="300" t="s">
        <v>261</v>
      </c>
      <c r="C44" s="79"/>
      <c r="D44" s="54"/>
      <c r="E44" s="54"/>
      <c r="F44" s="80"/>
      <c r="G44" s="80"/>
    </row>
    <row r="45" s="48" customFormat="1" ht="15.75" thickTop="1"/>
    <row r="46" spans="3:7" s="48" customFormat="1" ht="15">
      <c r="C46" s="339" t="s">
        <v>27</v>
      </c>
      <c r="D46" s="339" t="s">
        <v>29</v>
      </c>
      <c r="E46" s="403" t="s">
        <v>32</v>
      </c>
      <c r="F46" s="286" t="s">
        <v>246</v>
      </c>
      <c r="G46" s="404" t="s">
        <v>247</v>
      </c>
    </row>
    <row r="47" spans="2:7" ht="15.75">
      <c r="B47" s="333" t="s">
        <v>134</v>
      </c>
      <c r="C47" s="336" t="s">
        <v>11</v>
      </c>
      <c r="D47" s="336" t="s">
        <v>191</v>
      </c>
      <c r="E47" s="335" t="s">
        <v>110</v>
      </c>
      <c r="F47" s="335" t="s">
        <v>112</v>
      </c>
      <c r="G47" s="335" t="s">
        <v>113</v>
      </c>
    </row>
    <row r="48" spans="2:7" ht="15">
      <c r="B48" s="339">
        <v>1</v>
      </c>
      <c r="C48" s="340">
        <f aca="true" t="shared" si="1" ref="C48:C77">IF(F48&lt;&gt;0,VLOOKUP($D$7,Info_County_Code,2,FALSE),"")</f>
      </c>
      <c r="D48" s="405" t="s">
        <v>286</v>
      </c>
      <c r="E48" s="181"/>
      <c r="F48" s="74"/>
      <c r="G48" s="188"/>
    </row>
    <row r="49" spans="2:7" ht="15">
      <c r="B49" s="339">
        <v>2</v>
      </c>
      <c r="C49" s="340">
        <f t="shared" si="1"/>
      </c>
      <c r="D49" s="405" t="s">
        <v>286</v>
      </c>
      <c r="E49" s="66"/>
      <c r="F49" s="74"/>
      <c r="G49" s="188"/>
    </row>
    <row r="50" spans="2:7" ht="15">
      <c r="B50" s="339">
        <v>3</v>
      </c>
      <c r="C50" s="340">
        <f t="shared" si="1"/>
      </c>
      <c r="D50" s="405" t="s">
        <v>286</v>
      </c>
      <c r="E50" s="66"/>
      <c r="F50" s="74"/>
      <c r="G50" s="75"/>
    </row>
    <row r="51" spans="2:7" ht="15">
      <c r="B51" s="339">
        <v>4</v>
      </c>
      <c r="C51" s="340">
        <f t="shared" si="1"/>
      </c>
      <c r="D51" s="405" t="s">
        <v>286</v>
      </c>
      <c r="E51" s="66"/>
      <c r="F51" s="74"/>
      <c r="G51" s="75"/>
    </row>
    <row r="52" spans="2:7" ht="15">
      <c r="B52" s="339">
        <v>5</v>
      </c>
      <c r="C52" s="340">
        <f t="shared" si="1"/>
      </c>
      <c r="D52" s="405" t="s">
        <v>286</v>
      </c>
      <c r="E52" s="66"/>
      <c r="F52" s="74"/>
      <c r="G52" s="75"/>
    </row>
    <row r="53" spans="2:7" ht="15">
      <c r="B53" s="339">
        <v>6</v>
      </c>
      <c r="C53" s="340">
        <f t="shared" si="1"/>
      </c>
      <c r="D53" s="405" t="s">
        <v>286</v>
      </c>
      <c r="E53" s="66"/>
      <c r="F53" s="74"/>
      <c r="G53" s="75"/>
    </row>
    <row r="54" spans="2:7" ht="15">
      <c r="B54" s="339">
        <v>7</v>
      </c>
      <c r="C54" s="340">
        <f t="shared" si="1"/>
      </c>
      <c r="D54" s="405" t="s">
        <v>286</v>
      </c>
      <c r="E54" s="66"/>
      <c r="F54" s="74"/>
      <c r="G54" s="75"/>
    </row>
    <row r="55" spans="2:7" ht="15">
      <c r="B55" s="339">
        <v>8</v>
      </c>
      <c r="C55" s="340">
        <f t="shared" si="1"/>
      </c>
      <c r="D55" s="405" t="s">
        <v>286</v>
      </c>
      <c r="E55" s="66"/>
      <c r="F55" s="74"/>
      <c r="G55" s="75"/>
    </row>
    <row r="56" spans="2:7" ht="15">
      <c r="B56" s="339">
        <v>9</v>
      </c>
      <c r="C56" s="340">
        <f t="shared" si="1"/>
      </c>
      <c r="D56" s="405" t="s">
        <v>286</v>
      </c>
      <c r="E56" s="66"/>
      <c r="F56" s="74"/>
      <c r="G56" s="75"/>
    </row>
    <row r="57" spans="2:7" ht="15">
      <c r="B57" s="339">
        <v>10</v>
      </c>
      <c r="C57" s="340">
        <f t="shared" si="1"/>
      </c>
      <c r="D57" s="405" t="s">
        <v>286</v>
      </c>
      <c r="E57" s="66"/>
      <c r="F57" s="74"/>
      <c r="G57" s="75"/>
    </row>
    <row r="58" spans="2:7" ht="15">
      <c r="B58" s="339">
        <v>11</v>
      </c>
      <c r="C58" s="340">
        <f t="shared" si="1"/>
      </c>
      <c r="D58" s="405" t="s">
        <v>286</v>
      </c>
      <c r="E58" s="66"/>
      <c r="F58" s="74"/>
      <c r="G58" s="75"/>
    </row>
    <row r="59" spans="2:7" ht="15">
      <c r="B59" s="339">
        <v>12</v>
      </c>
      <c r="C59" s="340">
        <f t="shared" si="1"/>
      </c>
      <c r="D59" s="405" t="s">
        <v>286</v>
      </c>
      <c r="E59" s="66"/>
      <c r="F59" s="74"/>
      <c r="G59" s="75"/>
    </row>
    <row r="60" spans="2:7" ht="15">
      <c r="B60" s="339">
        <v>13</v>
      </c>
      <c r="C60" s="340">
        <f t="shared" si="1"/>
      </c>
      <c r="D60" s="405" t="s">
        <v>286</v>
      </c>
      <c r="E60" s="66"/>
      <c r="F60" s="74"/>
      <c r="G60" s="75"/>
    </row>
    <row r="61" spans="2:7" ht="15">
      <c r="B61" s="339">
        <v>14</v>
      </c>
      <c r="C61" s="340">
        <f t="shared" si="1"/>
      </c>
      <c r="D61" s="405" t="s">
        <v>286</v>
      </c>
      <c r="E61" s="66"/>
      <c r="F61" s="74"/>
      <c r="G61" s="75"/>
    </row>
    <row r="62" spans="2:7" ht="15">
      <c r="B62" s="339">
        <v>15</v>
      </c>
      <c r="C62" s="340">
        <f t="shared" si="1"/>
      </c>
      <c r="D62" s="405" t="s">
        <v>286</v>
      </c>
      <c r="E62" s="66"/>
      <c r="F62" s="74"/>
      <c r="G62" s="75"/>
    </row>
    <row r="63" spans="2:7" ht="15">
      <c r="B63" s="339">
        <v>16</v>
      </c>
      <c r="C63" s="340">
        <f t="shared" si="1"/>
      </c>
      <c r="D63" s="405" t="s">
        <v>286</v>
      </c>
      <c r="E63" s="66"/>
      <c r="F63" s="74"/>
      <c r="G63" s="75"/>
    </row>
    <row r="64" spans="2:7" ht="15">
      <c r="B64" s="339">
        <v>17</v>
      </c>
      <c r="C64" s="340">
        <f t="shared" si="1"/>
      </c>
      <c r="D64" s="405" t="s">
        <v>286</v>
      </c>
      <c r="E64" s="66"/>
      <c r="F64" s="74"/>
      <c r="G64" s="75"/>
    </row>
    <row r="65" spans="2:7" ht="15">
      <c r="B65" s="339">
        <v>18</v>
      </c>
      <c r="C65" s="340">
        <f t="shared" si="1"/>
      </c>
      <c r="D65" s="405" t="s">
        <v>286</v>
      </c>
      <c r="E65" s="66"/>
      <c r="F65" s="74"/>
      <c r="G65" s="75"/>
    </row>
    <row r="66" spans="2:7" ht="15">
      <c r="B66" s="339">
        <v>19</v>
      </c>
      <c r="C66" s="340">
        <f t="shared" si="1"/>
      </c>
      <c r="D66" s="405" t="s">
        <v>286</v>
      </c>
      <c r="E66" s="66"/>
      <c r="F66" s="74"/>
      <c r="G66" s="75"/>
    </row>
    <row r="67" spans="2:7" ht="15">
      <c r="B67" s="339">
        <v>20</v>
      </c>
      <c r="C67" s="340">
        <f t="shared" si="1"/>
      </c>
      <c r="D67" s="405" t="s">
        <v>286</v>
      </c>
      <c r="E67" s="66"/>
      <c r="F67" s="74"/>
      <c r="G67" s="75"/>
    </row>
    <row r="68" spans="2:7" ht="15">
      <c r="B68" s="339">
        <v>21</v>
      </c>
      <c r="C68" s="340">
        <f t="shared" si="1"/>
      </c>
      <c r="D68" s="405" t="s">
        <v>286</v>
      </c>
      <c r="E68" s="66"/>
      <c r="F68" s="74"/>
      <c r="G68" s="75"/>
    </row>
    <row r="69" spans="2:7" ht="15">
      <c r="B69" s="339">
        <v>22</v>
      </c>
      <c r="C69" s="340">
        <f t="shared" si="1"/>
      </c>
      <c r="D69" s="405" t="s">
        <v>286</v>
      </c>
      <c r="E69" s="66"/>
      <c r="F69" s="74"/>
      <c r="G69" s="75"/>
    </row>
    <row r="70" spans="2:7" ht="15">
      <c r="B70" s="339">
        <v>23</v>
      </c>
      <c r="C70" s="340">
        <f t="shared" si="1"/>
      </c>
      <c r="D70" s="405" t="s">
        <v>286</v>
      </c>
      <c r="E70" s="66"/>
      <c r="F70" s="74"/>
      <c r="G70" s="75"/>
    </row>
    <row r="71" spans="2:7" ht="15">
      <c r="B71" s="339">
        <v>24</v>
      </c>
      <c r="C71" s="340">
        <f t="shared" si="1"/>
      </c>
      <c r="D71" s="405" t="s">
        <v>286</v>
      </c>
      <c r="E71" s="66"/>
      <c r="F71" s="74"/>
      <c r="G71" s="75"/>
    </row>
    <row r="72" spans="2:7" ht="15">
      <c r="B72" s="339">
        <v>25</v>
      </c>
      <c r="C72" s="340">
        <f t="shared" si="1"/>
      </c>
      <c r="D72" s="405" t="s">
        <v>286</v>
      </c>
      <c r="E72" s="66"/>
      <c r="F72" s="74"/>
      <c r="G72" s="75"/>
    </row>
    <row r="73" spans="2:7" ht="15">
      <c r="B73" s="339">
        <v>26</v>
      </c>
      <c r="C73" s="340">
        <f t="shared" si="1"/>
      </c>
      <c r="D73" s="405" t="s">
        <v>286</v>
      </c>
      <c r="E73" s="66"/>
      <c r="F73" s="74"/>
      <c r="G73" s="75"/>
    </row>
    <row r="74" spans="2:7" ht="15">
      <c r="B74" s="339">
        <v>27</v>
      </c>
      <c r="C74" s="340">
        <f t="shared" si="1"/>
      </c>
      <c r="D74" s="405" t="s">
        <v>286</v>
      </c>
      <c r="E74" s="66"/>
      <c r="F74" s="74"/>
      <c r="G74" s="75"/>
    </row>
    <row r="75" spans="2:7" ht="15">
      <c r="B75" s="339">
        <v>28</v>
      </c>
      <c r="C75" s="340">
        <f t="shared" si="1"/>
      </c>
      <c r="D75" s="405" t="s">
        <v>286</v>
      </c>
      <c r="E75" s="66"/>
      <c r="F75" s="74"/>
      <c r="G75" s="75"/>
    </row>
    <row r="76" spans="2:7" ht="15">
      <c r="B76" s="339">
        <v>29</v>
      </c>
      <c r="C76" s="340">
        <f t="shared" si="1"/>
      </c>
      <c r="D76" s="405" t="s">
        <v>286</v>
      </c>
      <c r="E76" s="66"/>
      <c r="F76" s="74"/>
      <c r="G76" s="75"/>
    </row>
    <row r="77" spans="2:7" ht="15">
      <c r="B77" s="339">
        <v>30</v>
      </c>
      <c r="C77" s="340">
        <f t="shared" si="1"/>
      </c>
      <c r="D77" s="405" t="s">
        <v>286</v>
      </c>
      <c r="E77" s="66"/>
      <c r="F77" s="74"/>
      <c r="G77" s="75"/>
    </row>
    <row r="78" spans="4:5" s="51" customFormat="1" ht="15">
      <c r="D78" s="77"/>
      <c r="E78" s="52"/>
    </row>
    <row r="79" spans="2:7" s="51" customFormat="1" ht="18.75" thickBot="1">
      <c r="B79" s="300" t="s">
        <v>262</v>
      </c>
      <c r="C79" s="54"/>
      <c r="D79" s="79"/>
      <c r="E79" s="56"/>
      <c r="F79" s="54"/>
      <c r="G79" s="54"/>
    </row>
    <row r="80" spans="4:5" s="51" customFormat="1" ht="15.75" thickTop="1">
      <c r="D80" s="77"/>
      <c r="E80" s="52"/>
    </row>
    <row r="81" spans="3:7" s="51" customFormat="1" ht="15">
      <c r="C81" s="404" t="s">
        <v>27</v>
      </c>
      <c r="D81" s="406" t="s">
        <v>29</v>
      </c>
      <c r="E81" s="403" t="s">
        <v>32</v>
      </c>
      <c r="F81" s="316" t="s">
        <v>246</v>
      </c>
      <c r="G81" s="286" t="s">
        <v>247</v>
      </c>
    </row>
    <row r="82" spans="2:7" ht="15.75">
      <c r="B82" s="333" t="s">
        <v>134</v>
      </c>
      <c r="C82" s="336" t="s">
        <v>11</v>
      </c>
      <c r="D82" s="336" t="s">
        <v>191</v>
      </c>
      <c r="E82" s="335" t="s">
        <v>110</v>
      </c>
      <c r="F82" s="335" t="s">
        <v>112</v>
      </c>
      <c r="G82" s="335" t="s">
        <v>113</v>
      </c>
    </row>
    <row r="83" spans="2:7" ht="15">
      <c r="B83" s="339">
        <v>1</v>
      </c>
      <c r="C83" s="340">
        <f aca="true" t="shared" si="2" ref="C83:C112">IF(F83&lt;&gt;0,VLOOKUP($D$7,Info_County_Code,2,FALSE),"")</f>
      </c>
      <c r="D83" s="407" t="s">
        <v>192</v>
      </c>
      <c r="E83" s="181"/>
      <c r="F83" s="74"/>
      <c r="G83" s="188"/>
    </row>
    <row r="84" spans="2:7" ht="15">
      <c r="B84" s="339">
        <v>2</v>
      </c>
      <c r="C84" s="340">
        <f t="shared" si="2"/>
      </c>
      <c r="D84" s="407" t="s">
        <v>192</v>
      </c>
      <c r="E84" s="66"/>
      <c r="F84" s="74"/>
      <c r="G84" s="188"/>
    </row>
    <row r="85" spans="2:7" ht="15">
      <c r="B85" s="339">
        <v>3</v>
      </c>
      <c r="C85" s="340">
        <f t="shared" si="2"/>
      </c>
      <c r="D85" s="407" t="s">
        <v>192</v>
      </c>
      <c r="E85" s="66"/>
      <c r="F85" s="74"/>
      <c r="G85" s="75"/>
    </row>
    <row r="86" spans="2:7" ht="15">
      <c r="B86" s="339">
        <v>4</v>
      </c>
      <c r="C86" s="340">
        <f t="shared" si="2"/>
      </c>
      <c r="D86" s="407" t="s">
        <v>192</v>
      </c>
      <c r="E86" s="66"/>
      <c r="F86" s="74"/>
      <c r="G86" s="75"/>
    </row>
    <row r="87" spans="2:7" ht="15">
      <c r="B87" s="339">
        <v>5</v>
      </c>
      <c r="C87" s="340">
        <f t="shared" si="2"/>
      </c>
      <c r="D87" s="407" t="s">
        <v>192</v>
      </c>
      <c r="E87" s="66"/>
      <c r="F87" s="74"/>
      <c r="G87" s="75"/>
    </row>
    <row r="88" spans="2:7" ht="15">
      <c r="B88" s="339">
        <v>6</v>
      </c>
      <c r="C88" s="340">
        <f t="shared" si="2"/>
      </c>
      <c r="D88" s="407" t="s">
        <v>192</v>
      </c>
      <c r="E88" s="66"/>
      <c r="F88" s="74"/>
      <c r="G88" s="75"/>
    </row>
    <row r="89" spans="2:7" ht="15">
      <c r="B89" s="339">
        <v>7</v>
      </c>
      <c r="C89" s="340">
        <f t="shared" si="2"/>
      </c>
      <c r="D89" s="407" t="s">
        <v>192</v>
      </c>
      <c r="E89" s="66"/>
      <c r="F89" s="74"/>
      <c r="G89" s="75"/>
    </row>
    <row r="90" spans="2:7" ht="15">
      <c r="B90" s="339">
        <v>8</v>
      </c>
      <c r="C90" s="340">
        <f t="shared" si="2"/>
      </c>
      <c r="D90" s="407" t="s">
        <v>192</v>
      </c>
      <c r="E90" s="66"/>
      <c r="F90" s="74"/>
      <c r="G90" s="75"/>
    </row>
    <row r="91" spans="2:7" ht="15">
      <c r="B91" s="339">
        <v>9</v>
      </c>
      <c r="C91" s="340">
        <f t="shared" si="2"/>
      </c>
      <c r="D91" s="407" t="s">
        <v>192</v>
      </c>
      <c r="E91" s="66"/>
      <c r="F91" s="74"/>
      <c r="G91" s="75"/>
    </row>
    <row r="92" spans="2:7" ht="15">
      <c r="B92" s="339">
        <v>10</v>
      </c>
      <c r="C92" s="340">
        <f t="shared" si="2"/>
      </c>
      <c r="D92" s="407" t="s">
        <v>192</v>
      </c>
      <c r="E92" s="66"/>
      <c r="F92" s="74"/>
      <c r="G92" s="75"/>
    </row>
    <row r="93" spans="2:7" ht="15">
      <c r="B93" s="339">
        <v>11</v>
      </c>
      <c r="C93" s="340">
        <f t="shared" si="2"/>
      </c>
      <c r="D93" s="407" t="s">
        <v>192</v>
      </c>
      <c r="E93" s="66"/>
      <c r="F93" s="74"/>
      <c r="G93" s="75"/>
    </row>
    <row r="94" spans="2:7" ht="15">
      <c r="B94" s="339">
        <v>12</v>
      </c>
      <c r="C94" s="340">
        <f t="shared" si="2"/>
      </c>
      <c r="D94" s="407" t="s">
        <v>192</v>
      </c>
      <c r="E94" s="66"/>
      <c r="F94" s="74"/>
      <c r="G94" s="75"/>
    </row>
    <row r="95" spans="2:7" ht="15">
      <c r="B95" s="339">
        <v>13</v>
      </c>
      <c r="C95" s="340">
        <f t="shared" si="2"/>
      </c>
      <c r="D95" s="407" t="s">
        <v>192</v>
      </c>
      <c r="E95" s="66"/>
      <c r="F95" s="74"/>
      <c r="G95" s="75"/>
    </row>
    <row r="96" spans="2:7" ht="15">
      <c r="B96" s="339">
        <v>14</v>
      </c>
      <c r="C96" s="340">
        <f t="shared" si="2"/>
      </c>
      <c r="D96" s="407" t="s">
        <v>192</v>
      </c>
      <c r="E96" s="66"/>
      <c r="F96" s="74"/>
      <c r="G96" s="75"/>
    </row>
    <row r="97" spans="2:7" ht="15">
      <c r="B97" s="339">
        <v>15</v>
      </c>
      <c r="C97" s="340">
        <f t="shared" si="2"/>
      </c>
      <c r="D97" s="407" t="s">
        <v>192</v>
      </c>
      <c r="E97" s="66"/>
      <c r="F97" s="74"/>
      <c r="G97" s="75"/>
    </row>
    <row r="98" spans="2:7" ht="15">
      <c r="B98" s="339">
        <v>16</v>
      </c>
      <c r="C98" s="340">
        <f t="shared" si="2"/>
      </c>
      <c r="D98" s="407" t="s">
        <v>192</v>
      </c>
      <c r="E98" s="66"/>
      <c r="F98" s="74"/>
      <c r="G98" s="75"/>
    </row>
    <row r="99" spans="2:7" ht="15">
      <c r="B99" s="339">
        <v>17</v>
      </c>
      <c r="C99" s="340">
        <f t="shared" si="2"/>
      </c>
      <c r="D99" s="407" t="s">
        <v>192</v>
      </c>
      <c r="E99" s="66"/>
      <c r="F99" s="74"/>
      <c r="G99" s="75"/>
    </row>
    <row r="100" spans="2:7" ht="15">
      <c r="B100" s="339">
        <v>18</v>
      </c>
      <c r="C100" s="340">
        <f t="shared" si="2"/>
      </c>
      <c r="D100" s="407" t="s">
        <v>192</v>
      </c>
      <c r="E100" s="66"/>
      <c r="F100" s="74"/>
      <c r="G100" s="75"/>
    </row>
    <row r="101" spans="2:7" ht="15">
      <c r="B101" s="339">
        <v>19</v>
      </c>
      <c r="C101" s="340">
        <f t="shared" si="2"/>
      </c>
      <c r="D101" s="407" t="s">
        <v>192</v>
      </c>
      <c r="E101" s="66"/>
      <c r="F101" s="74"/>
      <c r="G101" s="75"/>
    </row>
    <row r="102" spans="2:7" ht="15">
      <c r="B102" s="339">
        <v>20</v>
      </c>
      <c r="C102" s="340">
        <f t="shared" si="2"/>
      </c>
      <c r="D102" s="407" t="s">
        <v>192</v>
      </c>
      <c r="E102" s="66"/>
      <c r="F102" s="74"/>
      <c r="G102" s="75"/>
    </row>
    <row r="103" spans="2:7" ht="15">
      <c r="B103" s="339">
        <v>21</v>
      </c>
      <c r="C103" s="340">
        <f t="shared" si="2"/>
      </c>
      <c r="D103" s="407" t="s">
        <v>192</v>
      </c>
      <c r="E103" s="66"/>
      <c r="F103" s="74"/>
      <c r="G103" s="75"/>
    </row>
    <row r="104" spans="2:7" ht="15">
      <c r="B104" s="339">
        <v>22</v>
      </c>
      <c r="C104" s="340">
        <f t="shared" si="2"/>
      </c>
      <c r="D104" s="407" t="s">
        <v>192</v>
      </c>
      <c r="E104" s="66"/>
      <c r="F104" s="74"/>
      <c r="G104" s="75"/>
    </row>
    <row r="105" spans="2:7" ht="15">
      <c r="B105" s="339">
        <v>23</v>
      </c>
      <c r="C105" s="340">
        <f t="shared" si="2"/>
      </c>
      <c r="D105" s="407" t="s">
        <v>192</v>
      </c>
      <c r="E105" s="66"/>
      <c r="F105" s="74"/>
      <c r="G105" s="75"/>
    </row>
    <row r="106" spans="2:7" ht="15">
      <c r="B106" s="339">
        <v>24</v>
      </c>
      <c r="C106" s="340">
        <f t="shared" si="2"/>
      </c>
      <c r="D106" s="407" t="s">
        <v>192</v>
      </c>
      <c r="E106" s="66"/>
      <c r="F106" s="74"/>
      <c r="G106" s="75"/>
    </row>
    <row r="107" spans="2:7" ht="15">
      <c r="B107" s="339">
        <v>25</v>
      </c>
      <c r="C107" s="340">
        <f t="shared" si="2"/>
      </c>
      <c r="D107" s="407" t="s">
        <v>192</v>
      </c>
      <c r="E107" s="66"/>
      <c r="F107" s="74"/>
      <c r="G107" s="75"/>
    </row>
    <row r="108" spans="2:7" ht="15">
      <c r="B108" s="339">
        <v>26</v>
      </c>
      <c r="C108" s="340">
        <f t="shared" si="2"/>
      </c>
      <c r="D108" s="407" t="s">
        <v>192</v>
      </c>
      <c r="E108" s="66"/>
      <c r="F108" s="74"/>
      <c r="G108" s="75"/>
    </row>
    <row r="109" spans="2:7" ht="15">
      <c r="B109" s="339">
        <v>27</v>
      </c>
      <c r="C109" s="340">
        <f t="shared" si="2"/>
      </c>
      <c r="D109" s="407" t="s">
        <v>192</v>
      </c>
      <c r="E109" s="66"/>
      <c r="F109" s="74"/>
      <c r="G109" s="75"/>
    </row>
    <row r="110" spans="2:7" ht="15">
      <c r="B110" s="339">
        <v>28</v>
      </c>
      <c r="C110" s="340">
        <f t="shared" si="2"/>
      </c>
      <c r="D110" s="407" t="s">
        <v>192</v>
      </c>
      <c r="E110" s="66"/>
      <c r="F110" s="74"/>
      <c r="G110" s="75"/>
    </row>
    <row r="111" spans="2:7" ht="15">
      <c r="B111" s="339">
        <v>29</v>
      </c>
      <c r="C111" s="340">
        <f t="shared" si="2"/>
      </c>
      <c r="D111" s="407" t="s">
        <v>192</v>
      </c>
      <c r="E111" s="66"/>
      <c r="F111" s="74"/>
      <c r="G111" s="75"/>
    </row>
    <row r="112" spans="2:7" ht="15">
      <c r="B112" s="339">
        <v>30</v>
      </c>
      <c r="C112" s="340">
        <f t="shared" si="2"/>
      </c>
      <c r="D112" s="407" t="s">
        <v>192</v>
      </c>
      <c r="E112" s="66"/>
      <c r="F112" s="74"/>
      <c r="G112" s="75"/>
    </row>
    <row r="113" ht="15" hidden="1"/>
    <row r="114" ht="15" hidden="1"/>
    <row r="115" ht="15" hidden="1"/>
    <row r="116" ht="15" hidden="1"/>
    <row r="117" ht="15" hidden="1"/>
    <row r="118" ht="15" hidden="1"/>
    <row r="119" ht="15" hidden="1"/>
    <row r="120" ht="15" hidden="1"/>
  </sheetData>
  <sheetProtection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scale="69"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A1:K52"/>
  <sheetViews>
    <sheetView showGridLines="0" zoomScale="85" zoomScaleNormal="85" zoomScalePageLayoutView="0" workbookViewId="0" topLeftCell="A1">
      <selection activeCell="B5" sqref="B5"/>
    </sheetView>
  </sheetViews>
  <sheetFormatPr defaultColWidth="0" defaultRowHeight="15" zeroHeight="1"/>
  <cols>
    <col min="1" max="1" width="2.7109375" style="51" customWidth="1"/>
    <col min="2" max="2" width="6.7109375" style="332" customWidth="1"/>
    <col min="3" max="3" width="9.421875" style="332" customWidth="1"/>
    <col min="4" max="4" width="17.57421875" style="332" customWidth="1"/>
    <col min="5" max="5" width="15.421875" style="332" bestFit="1" customWidth="1"/>
    <col min="6" max="6" width="15.00390625" style="332" bestFit="1" customWidth="1"/>
    <col min="7" max="7" width="30.57421875" style="332" customWidth="1"/>
    <col min="8" max="8" width="18.28125" style="332" customWidth="1"/>
    <col min="9" max="9" width="19.8515625" style="332" bestFit="1" customWidth="1"/>
    <col min="10" max="14" width="11.7109375" style="332" hidden="1" customWidth="1"/>
    <col min="15" max="16384" width="21.140625" style="332" hidden="1" customWidth="1"/>
  </cols>
  <sheetData>
    <row r="1" spans="1:4" s="51" customFormat="1" ht="15">
      <c r="A1" s="281" t="s">
        <v>372</v>
      </c>
      <c r="B1" s="454"/>
      <c r="C1" s="454"/>
      <c r="D1" s="454"/>
    </row>
    <row r="2" s="163" customFormat="1" ht="15">
      <c r="B2" s="309" t="str">
        <f>'1. Information'!B2</f>
        <v>Version 7/1/2018</v>
      </c>
    </row>
    <row r="3" spans="2:8" s="51" customFormat="1" ht="18">
      <c r="B3" s="314" t="str">
        <f>'1. Information'!B3</f>
        <v>Annual Mental Health Services Act Revenue and Expenditure Report</v>
      </c>
      <c r="C3" s="28"/>
      <c r="D3" s="28"/>
      <c r="E3" s="28"/>
      <c r="F3" s="28"/>
      <c r="G3" s="28"/>
      <c r="H3" s="28"/>
    </row>
    <row r="4" spans="2:8" s="51" customFormat="1" ht="18">
      <c r="B4" s="314" t="str">
        <f>'1. Information'!B4</f>
        <v>Fiscal Year 2017-18</v>
      </c>
      <c r="C4" s="28"/>
      <c r="D4" s="28"/>
      <c r="E4" s="28"/>
      <c r="F4" s="28"/>
      <c r="G4" s="28"/>
      <c r="H4" s="28"/>
    </row>
    <row r="5" spans="2:8" s="51" customFormat="1" ht="18">
      <c r="B5" s="408" t="s">
        <v>33</v>
      </c>
      <c r="C5" s="44"/>
      <c r="D5" s="44"/>
      <c r="E5" s="44"/>
      <c r="F5" s="44"/>
      <c r="G5" s="44"/>
      <c r="H5" s="44"/>
    </row>
    <row r="6" spans="2:8" s="51" customFormat="1" ht="15.75">
      <c r="B6" s="47"/>
      <c r="C6" s="47"/>
      <c r="D6" s="47"/>
      <c r="E6" s="47"/>
      <c r="F6" s="47"/>
      <c r="G6" s="47"/>
      <c r="H6" s="47"/>
    </row>
    <row r="7" spans="2:8" s="51" customFormat="1" ht="15.75">
      <c r="B7" s="442" t="s">
        <v>1</v>
      </c>
      <c r="C7" s="442"/>
      <c r="D7" s="283" t="str">
        <f>IF(ISBLANK('1. Information'!D8),"",'1. Information'!D8)</f>
        <v>San Bernardino</v>
      </c>
      <c r="F7" s="244" t="s">
        <v>2</v>
      </c>
      <c r="G7" s="385">
        <f>IF(ISBLANK('1. Information'!D7),"",'1. Information'!D7)</f>
        <v>43462</v>
      </c>
      <c r="H7" s="12"/>
    </row>
    <row r="8" spans="2:8" s="51" customFormat="1" ht="15.75">
      <c r="B8" s="6"/>
      <c r="C8" s="6"/>
      <c r="D8" s="6"/>
      <c r="F8" s="6"/>
      <c r="G8" s="45"/>
      <c r="H8" s="12"/>
    </row>
    <row r="9" spans="2:9" s="51" customFormat="1" ht="18.75" thickBot="1">
      <c r="B9" s="409" t="s">
        <v>260</v>
      </c>
      <c r="C9" s="39"/>
      <c r="D9" s="39"/>
      <c r="E9" s="39"/>
      <c r="F9" s="39"/>
      <c r="G9" s="39"/>
      <c r="H9" s="39"/>
      <c r="I9" s="54"/>
    </row>
    <row r="10" spans="2:8" s="51" customFormat="1" ht="16.5" thickTop="1">
      <c r="B10" s="5"/>
      <c r="C10" s="5"/>
      <c r="D10" s="5"/>
      <c r="E10" s="5"/>
      <c r="F10" s="5"/>
      <c r="G10" s="5"/>
      <c r="H10" s="5"/>
    </row>
    <row r="11" spans="2:9" ht="15">
      <c r="B11" s="51"/>
      <c r="C11" s="250" t="s">
        <v>27</v>
      </c>
      <c r="D11" s="250" t="s">
        <v>29</v>
      </c>
      <c r="E11" s="250" t="s">
        <v>32</v>
      </c>
      <c r="F11" s="250" t="s">
        <v>246</v>
      </c>
      <c r="G11" s="250" t="s">
        <v>247</v>
      </c>
      <c r="H11" s="250" t="s">
        <v>248</v>
      </c>
      <c r="I11" s="250" t="s">
        <v>257</v>
      </c>
    </row>
    <row r="12" spans="1:9" s="410" customFormat="1" ht="31.5">
      <c r="A12" s="81"/>
      <c r="B12" s="231" t="s">
        <v>134</v>
      </c>
      <c r="C12" s="336" t="s">
        <v>11</v>
      </c>
      <c r="D12" s="335" t="s">
        <v>183</v>
      </c>
      <c r="E12" s="290" t="s">
        <v>179</v>
      </c>
      <c r="F12" s="290" t="s">
        <v>111</v>
      </c>
      <c r="G12" s="290" t="s">
        <v>242</v>
      </c>
      <c r="H12" s="290" t="s">
        <v>243</v>
      </c>
      <c r="I12" s="361" t="s">
        <v>244</v>
      </c>
    </row>
    <row r="13" spans="2:9" ht="15">
      <c r="B13" s="339">
        <v>1</v>
      </c>
      <c r="C13" s="340">
        <f aca="true" t="shared" si="0" ref="C13:C52">IF(I13&lt;&gt;0,VLOOKUP($D$7,Info_County_Code,2,FALSE),"")</f>
        <v>36</v>
      </c>
      <c r="D13" s="194" t="s">
        <v>295</v>
      </c>
      <c r="E13" s="73" t="s">
        <v>181</v>
      </c>
      <c r="F13" s="201" t="s">
        <v>34</v>
      </c>
      <c r="G13" s="46">
        <f>4455724+2881327+2831</f>
        <v>7339882</v>
      </c>
      <c r="H13" s="46">
        <f>2189263+748319</f>
        <v>2937582</v>
      </c>
      <c r="I13" s="251">
        <f>SUM(G13:H13)</f>
        <v>10277464</v>
      </c>
    </row>
    <row r="14" spans="2:9" ht="15">
      <c r="B14" s="339">
        <v>2</v>
      </c>
      <c r="C14" s="340">
        <f t="shared" si="0"/>
        <v>36</v>
      </c>
      <c r="D14" s="194" t="s">
        <v>290</v>
      </c>
      <c r="E14" s="73" t="s">
        <v>182</v>
      </c>
      <c r="F14" s="201" t="s">
        <v>34</v>
      </c>
      <c r="G14" s="46">
        <v>3194721</v>
      </c>
      <c r="H14" s="46">
        <v>4947782</v>
      </c>
      <c r="I14" s="251">
        <f aca="true" t="shared" si="1" ref="I14:I52">SUM(G14:H14)</f>
        <v>8142503</v>
      </c>
    </row>
    <row r="15" spans="2:9" ht="15">
      <c r="B15" s="339">
        <v>3</v>
      </c>
      <c r="C15" s="340">
        <f t="shared" si="0"/>
      </c>
      <c r="D15" s="194"/>
      <c r="E15" s="73"/>
      <c r="F15" s="201"/>
      <c r="G15" s="46"/>
      <c r="H15" s="46"/>
      <c r="I15" s="251">
        <f t="shared" si="1"/>
        <v>0</v>
      </c>
    </row>
    <row r="16" spans="2:9" ht="15">
      <c r="B16" s="339">
        <v>4</v>
      </c>
      <c r="C16" s="340">
        <f t="shared" si="0"/>
      </c>
      <c r="D16" s="194"/>
      <c r="E16" s="73"/>
      <c r="F16" s="201"/>
      <c r="G16" s="46"/>
      <c r="H16" s="46"/>
      <c r="I16" s="251">
        <f t="shared" si="1"/>
        <v>0</v>
      </c>
    </row>
    <row r="17" spans="2:9" ht="15">
      <c r="B17" s="339">
        <v>5</v>
      </c>
      <c r="C17" s="340">
        <f t="shared" si="0"/>
      </c>
      <c r="D17" s="194"/>
      <c r="E17" s="73"/>
      <c r="F17" s="201"/>
      <c r="G17" s="46"/>
      <c r="H17" s="46"/>
      <c r="I17" s="251">
        <f t="shared" si="1"/>
        <v>0</v>
      </c>
    </row>
    <row r="18" spans="2:9" ht="15">
      <c r="B18" s="339">
        <v>6</v>
      </c>
      <c r="C18" s="340">
        <f t="shared" si="0"/>
      </c>
      <c r="D18" s="194"/>
      <c r="E18" s="73"/>
      <c r="F18" s="201"/>
      <c r="G18" s="46"/>
      <c r="H18" s="46"/>
      <c r="I18" s="251">
        <f t="shared" si="1"/>
        <v>0</v>
      </c>
    </row>
    <row r="19" spans="2:9" ht="15">
      <c r="B19" s="339">
        <v>7</v>
      </c>
      <c r="C19" s="340">
        <f t="shared" si="0"/>
      </c>
      <c r="D19" s="194"/>
      <c r="E19" s="73"/>
      <c r="F19" s="201"/>
      <c r="G19" s="46"/>
      <c r="H19" s="46"/>
      <c r="I19" s="251">
        <f t="shared" si="1"/>
        <v>0</v>
      </c>
    </row>
    <row r="20" spans="2:9" ht="15">
      <c r="B20" s="339">
        <v>8</v>
      </c>
      <c r="C20" s="340">
        <f t="shared" si="0"/>
      </c>
      <c r="D20" s="194"/>
      <c r="E20" s="73"/>
      <c r="F20" s="201"/>
      <c r="G20" s="46"/>
      <c r="H20" s="46"/>
      <c r="I20" s="251">
        <f t="shared" si="1"/>
        <v>0</v>
      </c>
    </row>
    <row r="21" spans="2:9" ht="15">
      <c r="B21" s="339">
        <v>9</v>
      </c>
      <c r="C21" s="340">
        <f t="shared" si="0"/>
      </c>
      <c r="D21" s="194"/>
      <c r="E21" s="73"/>
      <c r="F21" s="201"/>
      <c r="G21" s="46"/>
      <c r="H21" s="46"/>
      <c r="I21" s="251">
        <f t="shared" si="1"/>
        <v>0</v>
      </c>
    </row>
    <row r="22" spans="2:9" ht="15">
      <c r="B22" s="339">
        <v>10</v>
      </c>
      <c r="C22" s="340">
        <f t="shared" si="0"/>
      </c>
      <c r="D22" s="194"/>
      <c r="E22" s="73"/>
      <c r="F22" s="201"/>
      <c r="G22" s="46"/>
      <c r="H22" s="46"/>
      <c r="I22" s="251">
        <f t="shared" si="1"/>
        <v>0</v>
      </c>
    </row>
    <row r="23" spans="2:9" ht="15">
      <c r="B23" s="339">
        <v>11</v>
      </c>
      <c r="C23" s="340">
        <f t="shared" si="0"/>
      </c>
      <c r="D23" s="194"/>
      <c r="E23" s="73"/>
      <c r="F23" s="201"/>
      <c r="G23" s="46"/>
      <c r="H23" s="46"/>
      <c r="I23" s="251">
        <f t="shared" si="1"/>
        <v>0</v>
      </c>
    </row>
    <row r="24" spans="2:9" ht="15">
      <c r="B24" s="339">
        <v>12</v>
      </c>
      <c r="C24" s="340">
        <f t="shared" si="0"/>
      </c>
      <c r="D24" s="194"/>
      <c r="E24" s="73"/>
      <c r="F24" s="201"/>
      <c r="G24" s="46"/>
      <c r="H24" s="46"/>
      <c r="I24" s="251">
        <f t="shared" si="1"/>
        <v>0</v>
      </c>
    </row>
    <row r="25" spans="2:9" ht="15">
      <c r="B25" s="339">
        <v>13</v>
      </c>
      <c r="C25" s="340">
        <f t="shared" si="0"/>
      </c>
      <c r="D25" s="194"/>
      <c r="E25" s="73"/>
      <c r="F25" s="201"/>
      <c r="G25" s="46"/>
      <c r="H25" s="46"/>
      <c r="I25" s="251">
        <f t="shared" si="1"/>
        <v>0</v>
      </c>
    </row>
    <row r="26" spans="2:9" ht="15">
      <c r="B26" s="339">
        <v>14</v>
      </c>
      <c r="C26" s="340">
        <f t="shared" si="0"/>
      </c>
      <c r="D26" s="194"/>
      <c r="E26" s="73"/>
      <c r="F26" s="201"/>
      <c r="G26" s="46"/>
      <c r="H26" s="46"/>
      <c r="I26" s="251">
        <f t="shared" si="1"/>
        <v>0</v>
      </c>
    </row>
    <row r="27" spans="2:9" ht="15">
      <c r="B27" s="339">
        <v>15</v>
      </c>
      <c r="C27" s="340">
        <f t="shared" si="0"/>
      </c>
      <c r="D27" s="194"/>
      <c r="E27" s="73"/>
      <c r="F27" s="201"/>
      <c r="G27" s="46"/>
      <c r="H27" s="46"/>
      <c r="I27" s="251">
        <f t="shared" si="1"/>
        <v>0</v>
      </c>
    </row>
    <row r="28" spans="2:11" ht="15">
      <c r="B28" s="339">
        <v>16</v>
      </c>
      <c r="C28" s="340">
        <f t="shared" si="0"/>
      </c>
      <c r="D28" s="194"/>
      <c r="E28" s="73"/>
      <c r="F28" s="201"/>
      <c r="G28" s="46"/>
      <c r="H28" s="46"/>
      <c r="I28" s="251">
        <f t="shared" si="1"/>
        <v>0</v>
      </c>
      <c r="K28" s="411"/>
    </row>
    <row r="29" spans="2:9" ht="15">
      <c r="B29" s="339">
        <v>17</v>
      </c>
      <c r="C29" s="340">
        <f t="shared" si="0"/>
      </c>
      <c r="D29" s="194"/>
      <c r="E29" s="73"/>
      <c r="F29" s="201"/>
      <c r="G29" s="46"/>
      <c r="H29" s="46"/>
      <c r="I29" s="251">
        <f t="shared" si="1"/>
        <v>0</v>
      </c>
    </row>
    <row r="30" spans="2:9" ht="15">
      <c r="B30" s="339">
        <v>18</v>
      </c>
      <c r="C30" s="340">
        <f t="shared" si="0"/>
      </c>
      <c r="D30" s="194"/>
      <c r="E30" s="73"/>
      <c r="F30" s="201"/>
      <c r="G30" s="46"/>
      <c r="H30" s="46"/>
      <c r="I30" s="251">
        <f t="shared" si="1"/>
        <v>0</v>
      </c>
    </row>
    <row r="31" spans="2:9" ht="15">
      <c r="B31" s="339">
        <v>19</v>
      </c>
      <c r="C31" s="340">
        <f t="shared" si="0"/>
      </c>
      <c r="D31" s="194"/>
      <c r="E31" s="73"/>
      <c r="F31" s="201"/>
      <c r="G31" s="46"/>
      <c r="H31" s="46"/>
      <c r="I31" s="251">
        <f t="shared" si="1"/>
        <v>0</v>
      </c>
    </row>
    <row r="32" spans="2:9" ht="15">
      <c r="B32" s="339">
        <v>20</v>
      </c>
      <c r="C32" s="340">
        <f t="shared" si="0"/>
      </c>
      <c r="D32" s="194"/>
      <c r="E32" s="73"/>
      <c r="F32" s="201"/>
      <c r="G32" s="46"/>
      <c r="H32" s="46"/>
      <c r="I32" s="251">
        <f t="shared" si="1"/>
        <v>0</v>
      </c>
    </row>
    <row r="33" spans="2:9" ht="15">
      <c r="B33" s="339">
        <v>21</v>
      </c>
      <c r="C33" s="340">
        <f t="shared" si="0"/>
      </c>
      <c r="D33" s="194"/>
      <c r="E33" s="73"/>
      <c r="F33" s="201"/>
      <c r="G33" s="46"/>
      <c r="H33" s="46"/>
      <c r="I33" s="251">
        <f t="shared" si="1"/>
        <v>0</v>
      </c>
    </row>
    <row r="34" spans="2:9" ht="15">
      <c r="B34" s="339">
        <v>22</v>
      </c>
      <c r="C34" s="340">
        <f t="shared" si="0"/>
      </c>
      <c r="D34" s="194"/>
      <c r="E34" s="73"/>
      <c r="F34" s="201"/>
      <c r="G34" s="46"/>
      <c r="H34" s="46"/>
      <c r="I34" s="251">
        <f t="shared" si="1"/>
        <v>0</v>
      </c>
    </row>
    <row r="35" spans="2:9" ht="15">
      <c r="B35" s="339">
        <v>23</v>
      </c>
      <c r="C35" s="340">
        <f t="shared" si="0"/>
      </c>
      <c r="D35" s="194"/>
      <c r="E35" s="73"/>
      <c r="F35" s="201"/>
      <c r="G35" s="46"/>
      <c r="H35" s="46"/>
      <c r="I35" s="251">
        <f t="shared" si="1"/>
        <v>0</v>
      </c>
    </row>
    <row r="36" spans="2:9" ht="15">
      <c r="B36" s="339">
        <v>24</v>
      </c>
      <c r="C36" s="340">
        <f t="shared" si="0"/>
      </c>
      <c r="D36" s="194"/>
      <c r="E36" s="73"/>
      <c r="F36" s="201"/>
      <c r="G36" s="46"/>
      <c r="H36" s="46"/>
      <c r="I36" s="251">
        <f t="shared" si="1"/>
        <v>0</v>
      </c>
    </row>
    <row r="37" spans="2:9" ht="15">
      <c r="B37" s="339">
        <v>25</v>
      </c>
      <c r="C37" s="340">
        <f t="shared" si="0"/>
      </c>
      <c r="D37" s="194"/>
      <c r="E37" s="73"/>
      <c r="F37" s="201"/>
      <c r="G37" s="46"/>
      <c r="H37" s="46"/>
      <c r="I37" s="251">
        <f t="shared" si="1"/>
        <v>0</v>
      </c>
    </row>
    <row r="38" spans="2:9" ht="15">
      <c r="B38" s="339">
        <v>26</v>
      </c>
      <c r="C38" s="340">
        <f t="shared" si="0"/>
      </c>
      <c r="D38" s="194"/>
      <c r="E38" s="73"/>
      <c r="F38" s="201"/>
      <c r="G38" s="46"/>
      <c r="H38" s="46"/>
      <c r="I38" s="251">
        <f t="shared" si="1"/>
        <v>0</v>
      </c>
    </row>
    <row r="39" spans="2:9" ht="15">
      <c r="B39" s="339">
        <v>27</v>
      </c>
      <c r="C39" s="340">
        <f t="shared" si="0"/>
      </c>
      <c r="D39" s="194"/>
      <c r="E39" s="73"/>
      <c r="F39" s="201"/>
      <c r="G39" s="46"/>
      <c r="H39" s="46"/>
      <c r="I39" s="251">
        <f t="shared" si="1"/>
        <v>0</v>
      </c>
    </row>
    <row r="40" spans="2:9" ht="15">
      <c r="B40" s="339">
        <v>28</v>
      </c>
      <c r="C40" s="340">
        <f t="shared" si="0"/>
      </c>
      <c r="D40" s="194"/>
      <c r="E40" s="73"/>
      <c r="F40" s="201"/>
      <c r="G40" s="46"/>
      <c r="H40" s="46"/>
      <c r="I40" s="251">
        <f t="shared" si="1"/>
        <v>0</v>
      </c>
    </row>
    <row r="41" spans="2:9" ht="15">
      <c r="B41" s="339">
        <v>29</v>
      </c>
      <c r="C41" s="340">
        <f t="shared" si="0"/>
      </c>
      <c r="D41" s="194"/>
      <c r="E41" s="73"/>
      <c r="F41" s="201"/>
      <c r="G41" s="46"/>
      <c r="H41" s="46"/>
      <c r="I41" s="251">
        <f t="shared" si="1"/>
        <v>0</v>
      </c>
    </row>
    <row r="42" spans="2:9" ht="15">
      <c r="B42" s="339">
        <v>30</v>
      </c>
      <c r="C42" s="340">
        <f t="shared" si="0"/>
      </c>
      <c r="D42" s="194"/>
      <c r="E42" s="73"/>
      <c r="F42" s="201"/>
      <c r="G42" s="46"/>
      <c r="H42" s="46"/>
      <c r="I42" s="251">
        <f t="shared" si="1"/>
        <v>0</v>
      </c>
    </row>
    <row r="43" spans="2:9" ht="15">
      <c r="B43" s="339">
        <v>31</v>
      </c>
      <c r="C43" s="340">
        <f t="shared" si="0"/>
      </c>
      <c r="D43" s="194"/>
      <c r="E43" s="73"/>
      <c r="F43" s="201"/>
      <c r="G43" s="46"/>
      <c r="H43" s="46"/>
      <c r="I43" s="251">
        <f t="shared" si="1"/>
        <v>0</v>
      </c>
    </row>
    <row r="44" spans="2:9" ht="15">
      <c r="B44" s="339">
        <v>32</v>
      </c>
      <c r="C44" s="340">
        <f t="shared" si="0"/>
      </c>
      <c r="D44" s="194"/>
      <c r="E44" s="73"/>
      <c r="F44" s="201"/>
      <c r="G44" s="46"/>
      <c r="H44" s="46"/>
      <c r="I44" s="251">
        <f t="shared" si="1"/>
        <v>0</v>
      </c>
    </row>
    <row r="45" spans="2:9" ht="15">
      <c r="B45" s="339">
        <v>33</v>
      </c>
      <c r="C45" s="340">
        <f t="shared" si="0"/>
      </c>
      <c r="D45" s="194"/>
      <c r="E45" s="73"/>
      <c r="F45" s="201"/>
      <c r="G45" s="46"/>
      <c r="H45" s="46"/>
      <c r="I45" s="251">
        <f t="shared" si="1"/>
        <v>0</v>
      </c>
    </row>
    <row r="46" spans="2:9" ht="15">
      <c r="B46" s="339">
        <v>34</v>
      </c>
      <c r="C46" s="340">
        <f t="shared" si="0"/>
      </c>
      <c r="D46" s="194"/>
      <c r="E46" s="73"/>
      <c r="F46" s="201"/>
      <c r="G46" s="46"/>
      <c r="H46" s="46"/>
      <c r="I46" s="251">
        <f t="shared" si="1"/>
        <v>0</v>
      </c>
    </row>
    <row r="47" spans="2:9" ht="15">
      <c r="B47" s="339">
        <v>35</v>
      </c>
      <c r="C47" s="340">
        <f t="shared" si="0"/>
      </c>
      <c r="D47" s="194"/>
      <c r="E47" s="73"/>
      <c r="F47" s="201"/>
      <c r="G47" s="46"/>
      <c r="H47" s="46"/>
      <c r="I47" s="251">
        <f t="shared" si="1"/>
        <v>0</v>
      </c>
    </row>
    <row r="48" spans="2:9" ht="15">
      <c r="B48" s="339">
        <v>36</v>
      </c>
      <c r="C48" s="340">
        <f t="shared" si="0"/>
      </c>
      <c r="D48" s="194"/>
      <c r="E48" s="73"/>
      <c r="F48" s="201"/>
      <c r="G48" s="46"/>
      <c r="H48" s="46"/>
      <c r="I48" s="251">
        <f t="shared" si="1"/>
        <v>0</v>
      </c>
    </row>
    <row r="49" spans="2:9" ht="15">
      <c r="B49" s="339">
        <v>37</v>
      </c>
      <c r="C49" s="340">
        <f t="shared" si="0"/>
      </c>
      <c r="D49" s="194"/>
      <c r="E49" s="73"/>
      <c r="F49" s="201"/>
      <c r="G49" s="46"/>
      <c r="H49" s="46"/>
      <c r="I49" s="251">
        <f t="shared" si="1"/>
        <v>0</v>
      </c>
    </row>
    <row r="50" spans="2:9" ht="15">
      <c r="B50" s="339">
        <v>38</v>
      </c>
      <c r="C50" s="340">
        <f t="shared" si="0"/>
      </c>
      <c r="D50" s="194"/>
      <c r="E50" s="73"/>
      <c r="F50" s="201"/>
      <c r="G50" s="46"/>
      <c r="H50" s="46"/>
      <c r="I50" s="251">
        <f t="shared" si="1"/>
        <v>0</v>
      </c>
    </row>
    <row r="51" spans="2:9" ht="15">
      <c r="B51" s="339">
        <v>39</v>
      </c>
      <c r="C51" s="340">
        <f t="shared" si="0"/>
      </c>
      <c r="D51" s="194"/>
      <c r="E51" s="73"/>
      <c r="F51" s="201"/>
      <c r="G51" s="46"/>
      <c r="H51" s="46"/>
      <c r="I51" s="251">
        <f t="shared" si="1"/>
        <v>0</v>
      </c>
    </row>
    <row r="52" spans="2:9" ht="15">
      <c r="B52" s="339">
        <v>40</v>
      </c>
      <c r="C52" s="340">
        <f t="shared" si="0"/>
      </c>
      <c r="D52" s="194"/>
      <c r="E52" s="73"/>
      <c r="F52" s="201"/>
      <c r="G52" s="46"/>
      <c r="H52" s="46"/>
      <c r="I52" s="251">
        <f t="shared" si="1"/>
        <v>0</v>
      </c>
    </row>
    <row r="53" ht="15" hidden="1"/>
    <row r="54" ht="15" hidden="1"/>
    <row r="55" ht="15" hidden="1"/>
    <row r="56" ht="15" hidden="1"/>
    <row r="57" ht="15" hidden="1"/>
    <row r="58" ht="15" hidden="1"/>
    <row r="59" ht="15" hidden="1"/>
    <row r="60" ht="15" hidden="1"/>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B7" sqref="B7"/>
    </sheetView>
  </sheetViews>
  <sheetFormatPr defaultColWidth="0" defaultRowHeight="15" zeroHeight="1"/>
  <cols>
    <col min="1" max="1" width="2.7109375" style="48" customWidth="1"/>
    <col min="2" max="2" width="9.140625" style="238" customWidth="1"/>
    <col min="3" max="3" width="137.00390625" style="238" customWidth="1"/>
    <col min="4" max="17" width="9.140625" style="238" hidden="1" customWidth="1"/>
    <col min="18" max="28" width="0" style="238" hidden="1" customWidth="1"/>
    <col min="29" max="16384" width="9.140625" style="238" hidden="1" customWidth="1"/>
  </cols>
  <sheetData>
    <row r="1" spans="1:3" s="48" customFormat="1" ht="15">
      <c r="A1" s="412" t="s">
        <v>373</v>
      </c>
      <c r="B1" s="27"/>
      <c r="C1" s="27"/>
    </row>
    <row r="2" s="163" customFormat="1" ht="15">
      <c r="B2" s="309" t="str">
        <f>'1. Information'!B2</f>
        <v>Version 7/1/2018</v>
      </c>
    </row>
    <row r="3" spans="2:6" s="51" customFormat="1" ht="18">
      <c r="B3" s="314" t="str">
        <f>'1. Information'!B3</f>
        <v>Annual Mental Health Services Act Revenue and Expenditure Report</v>
      </c>
      <c r="C3" s="28"/>
      <c r="D3" s="28"/>
      <c r="E3" s="28"/>
      <c r="F3" s="28"/>
    </row>
    <row r="4" spans="2:6" s="51" customFormat="1" ht="18">
      <c r="B4" s="314" t="str">
        <f>'1. Information'!B4</f>
        <v>Fiscal Year 2017-18</v>
      </c>
      <c r="C4" s="28"/>
      <c r="D4" s="28"/>
      <c r="E4" s="28"/>
      <c r="F4" s="28"/>
    </row>
    <row r="5" spans="2:6" s="51" customFormat="1" ht="18">
      <c r="B5" s="408" t="s">
        <v>274</v>
      </c>
      <c r="C5" s="44"/>
      <c r="D5" s="44"/>
      <c r="E5" s="44"/>
      <c r="F5" s="44"/>
    </row>
    <row r="6" spans="2:28" s="51" customFormat="1" ht="18">
      <c r="B6" s="149"/>
      <c r="C6" s="44"/>
      <c r="D6" s="44"/>
      <c r="E6" s="44"/>
      <c r="F6" s="44"/>
      <c r="AB6" s="164"/>
    </row>
    <row r="7" spans="2:3" ht="15.75">
      <c r="B7" s="413"/>
      <c r="C7" s="301" t="s">
        <v>274</v>
      </c>
    </row>
    <row r="8" spans="2:3" ht="33.75" customHeight="1">
      <c r="B8" s="414">
        <v>1</v>
      </c>
      <c r="C8" s="158"/>
    </row>
    <row r="9" spans="2:3" ht="33.75" customHeight="1">
      <c r="B9" s="400">
        <v>2</v>
      </c>
      <c r="C9" s="158"/>
    </row>
    <row r="10" spans="2:3" ht="33.75" customHeight="1">
      <c r="B10" s="400">
        <v>3</v>
      </c>
      <c r="C10" s="157"/>
    </row>
    <row r="11" spans="2:3" ht="33.75" customHeight="1">
      <c r="B11" s="414">
        <v>4</v>
      </c>
      <c r="C11" s="157"/>
    </row>
    <row r="12" spans="2:3" ht="33.75" customHeight="1">
      <c r="B12" s="400">
        <v>5</v>
      </c>
      <c r="C12" s="157"/>
    </row>
    <row r="13" spans="2:14" ht="33.75" customHeight="1">
      <c r="B13" s="400">
        <v>6</v>
      </c>
      <c r="C13" s="157"/>
      <c r="N13" s="309"/>
    </row>
    <row r="14" spans="2:3" ht="33.75" customHeight="1">
      <c r="B14" s="414">
        <v>7</v>
      </c>
      <c r="C14" s="157"/>
    </row>
    <row r="15" spans="2:3" ht="33.75" customHeight="1">
      <c r="B15" s="400">
        <v>8</v>
      </c>
      <c r="C15" s="157"/>
    </row>
    <row r="16" spans="2:3" ht="33.75" customHeight="1">
      <c r="B16" s="400">
        <v>9</v>
      </c>
      <c r="C16" s="157"/>
    </row>
    <row r="17" spans="2:3" ht="33.75" customHeight="1">
      <c r="B17" s="414">
        <v>10</v>
      </c>
      <c r="C17" s="157"/>
    </row>
    <row r="18" spans="2:3" ht="33.75" customHeight="1">
      <c r="B18" s="400">
        <v>11</v>
      </c>
      <c r="C18" s="157"/>
    </row>
    <row r="19" spans="2:3" ht="33.75" customHeight="1">
      <c r="B19" s="400">
        <v>12</v>
      </c>
      <c r="C19" s="157"/>
    </row>
    <row r="20" spans="2:3" ht="33.75" customHeight="1">
      <c r="B20" s="414">
        <v>13</v>
      </c>
      <c r="C20" s="157"/>
    </row>
    <row r="21" spans="2:3" ht="33.75" customHeight="1">
      <c r="B21" s="400">
        <v>14</v>
      </c>
      <c r="C21" s="157"/>
    </row>
    <row r="22" spans="2:3" ht="33.75" customHeight="1">
      <c r="B22" s="400">
        <v>15</v>
      </c>
      <c r="C22" s="157"/>
    </row>
    <row r="23" spans="2:3" ht="33.75" customHeight="1">
      <c r="B23" s="414">
        <v>16</v>
      </c>
      <c r="C23" s="157"/>
    </row>
    <row r="24" spans="2:3" ht="33.75" customHeight="1">
      <c r="B24" s="400">
        <v>17</v>
      </c>
      <c r="C24" s="157"/>
    </row>
    <row r="25" spans="2:3" ht="33.75" customHeight="1">
      <c r="B25" s="400">
        <v>18</v>
      </c>
      <c r="C25" s="157"/>
    </row>
    <row r="26" spans="2:3" ht="33.75" customHeight="1">
      <c r="B26" s="414">
        <v>19</v>
      </c>
      <c r="C26" s="157"/>
    </row>
    <row r="27" spans="2:3" ht="33.75" customHeight="1">
      <c r="B27" s="400">
        <v>20</v>
      </c>
      <c r="C27" s="157"/>
    </row>
    <row r="28" spans="2:3" ht="33.75" customHeight="1">
      <c r="B28" s="400">
        <v>21</v>
      </c>
      <c r="C28" s="157"/>
    </row>
    <row r="29" spans="2:3" ht="33.75" customHeight="1">
      <c r="B29" s="414">
        <v>22</v>
      </c>
      <c r="C29" s="157"/>
    </row>
    <row r="30" spans="2:3" ht="33.75" customHeight="1">
      <c r="B30" s="400">
        <v>23</v>
      </c>
      <c r="C30" s="157"/>
    </row>
    <row r="31" spans="2:3" ht="33.75" customHeight="1">
      <c r="B31" s="400">
        <v>24</v>
      </c>
      <c r="C31" s="157"/>
    </row>
    <row r="32" spans="2:3" ht="33.75" customHeight="1">
      <c r="B32" s="414">
        <v>25</v>
      </c>
      <c r="C32" s="157"/>
    </row>
    <row r="33" spans="2:3" ht="33.75" customHeight="1">
      <c r="B33" s="400">
        <v>26</v>
      </c>
      <c r="C33" s="157"/>
    </row>
    <row r="34" spans="2:4" ht="33.75" customHeight="1">
      <c r="B34" s="400">
        <v>27</v>
      </c>
      <c r="C34" s="158"/>
      <c r="D34" s="309"/>
    </row>
    <row r="35" spans="2:3" ht="33.75" customHeight="1">
      <c r="B35" s="414">
        <v>28</v>
      </c>
      <c r="C35" s="157"/>
    </row>
    <row r="36" spans="2:3" ht="33.75" customHeight="1">
      <c r="B36" s="400">
        <v>29</v>
      </c>
      <c r="C36" s="157"/>
    </row>
    <row r="37" spans="2:3" ht="33.75" customHeight="1">
      <c r="B37" s="400">
        <v>30</v>
      </c>
      <c r="C37" s="157"/>
    </row>
    <row r="38" spans="2:3" ht="33.75" customHeight="1">
      <c r="B38" s="414">
        <v>31</v>
      </c>
      <c r="C38" s="157"/>
    </row>
    <row r="39" spans="2:3" ht="33.75" customHeight="1">
      <c r="B39" s="400">
        <v>32</v>
      </c>
      <c r="C39" s="157"/>
    </row>
    <row r="40" spans="2:3" ht="33.75" customHeight="1">
      <c r="B40" s="400">
        <v>33</v>
      </c>
      <c r="C40" s="157"/>
    </row>
    <row r="41" spans="2:3" ht="33.75" customHeight="1">
      <c r="B41" s="414">
        <v>34</v>
      </c>
      <c r="C41" s="157"/>
    </row>
    <row r="42" spans="2:3" ht="33.75" customHeight="1">
      <c r="B42" s="400">
        <v>35</v>
      </c>
      <c r="C42" s="157"/>
    </row>
    <row r="43" spans="2:3" ht="33.75" customHeight="1">
      <c r="B43" s="400">
        <v>36</v>
      </c>
      <c r="C43" s="157"/>
    </row>
    <row r="44" spans="2:3" ht="33.75" customHeight="1">
      <c r="B44" s="414">
        <v>37</v>
      </c>
      <c r="C44" s="157"/>
    </row>
    <row r="45" spans="2:3" ht="33.75" customHeight="1">
      <c r="B45" s="400">
        <v>38</v>
      </c>
      <c r="C45" s="157"/>
    </row>
    <row r="46" spans="2:3" ht="33.75" customHeight="1">
      <c r="B46" s="414">
        <v>39</v>
      </c>
      <c r="C46" s="157"/>
    </row>
    <row r="47" spans="2:3" ht="33.75" customHeight="1">
      <c r="B47" s="400">
        <v>40</v>
      </c>
      <c r="C47" s="158"/>
    </row>
    <row r="48" ht="15" hidden="1"/>
    <row r="49" ht="15" hidden="1"/>
    <row r="50" ht="15" hidden="1">
      <c r="Q50" s="415"/>
    </row>
    <row r="51" ht="15" hidden="1"/>
    <row r="52" ht="15" hidden="1"/>
    <row r="53" ht="15" hidden="1"/>
    <row r="54" ht="15" hidden="1"/>
    <row r="55" ht="15" hidden="1"/>
    <row r="56" ht="15" hidden="1"/>
    <row r="57" ht="15" hidden="1"/>
    <row r="58" ht="15" hidden="1"/>
    <row r="59" ht="15" hidden="1"/>
    <row r="60" ht="15" hidden="1"/>
    <row r="61" ht="15" hidden="1">
      <c r="J61" s="416"/>
    </row>
    <row r="62" ht="15" hidden="1"/>
    <row r="63" ht="15" hidden="1"/>
    <row r="64" ht="15" hidden="1"/>
    <row r="65" ht="15" hidden="1">
      <c r="K65" s="417"/>
    </row>
    <row r="66" ht="15" hidden="1"/>
    <row r="67" ht="15" hidden="1">
      <c r="L67" s="415"/>
    </row>
    <row r="68" ht="15" hidden="1">
      <c r="N68" s="415"/>
    </row>
  </sheetData>
  <sheetProtection sheet="1"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49" bestFit="1" customWidth="1"/>
    <col min="2" max="2" width="5.421875" style="49" customWidth="1"/>
    <col min="3" max="3" width="18.8515625" style="49" bestFit="1" customWidth="1"/>
    <col min="4" max="4" width="17.8515625" style="49" customWidth="1"/>
    <col min="5" max="5" width="18.00390625" style="49" customWidth="1"/>
    <col min="6" max="6" width="36.8515625" style="49" bestFit="1" customWidth="1"/>
    <col min="7" max="7" width="27.140625" style="49" customWidth="1"/>
    <col min="8" max="8" width="31.57421875" style="49" bestFit="1" customWidth="1"/>
    <col min="9" max="9" width="25.28125" style="49" customWidth="1"/>
    <col min="10" max="10" width="24.140625" style="49" customWidth="1"/>
    <col min="11" max="11" width="26.00390625" style="49" bestFit="1" customWidth="1"/>
    <col min="12" max="12" width="24.28125" style="49" bestFit="1" customWidth="1"/>
    <col min="13" max="13" width="35.8515625" style="49" customWidth="1"/>
    <col min="14" max="14" width="23.140625" style="49" bestFit="1" customWidth="1"/>
    <col min="15" max="15" width="11.7109375" style="49" customWidth="1"/>
    <col min="16" max="16" width="9.140625" style="49" customWidth="1"/>
    <col min="17" max="16384" width="9.140625" style="49" customWidth="1"/>
  </cols>
  <sheetData>
    <row r="1" spans="1:15" ht="32.25" thickBot="1">
      <c r="A1" s="462" t="s">
        <v>169</v>
      </c>
      <c r="B1" s="463"/>
      <c r="C1" s="82" t="s">
        <v>170</v>
      </c>
      <c r="D1" s="83" t="s">
        <v>168</v>
      </c>
      <c r="E1" s="83" t="s">
        <v>171</v>
      </c>
      <c r="F1" s="83" t="s">
        <v>155</v>
      </c>
      <c r="G1" s="83" t="s">
        <v>156</v>
      </c>
      <c r="H1" s="83" t="s">
        <v>172</v>
      </c>
      <c r="I1" s="83" t="s">
        <v>173</v>
      </c>
      <c r="J1" s="83" t="s">
        <v>190</v>
      </c>
      <c r="K1" s="192" t="s">
        <v>298</v>
      </c>
      <c r="L1" s="192" t="s">
        <v>299</v>
      </c>
      <c r="M1" s="83" t="s">
        <v>184</v>
      </c>
      <c r="N1" s="82" t="s">
        <v>235</v>
      </c>
      <c r="O1" s="84"/>
    </row>
    <row r="2" spans="1:15" ht="15">
      <c r="A2" s="85" t="s">
        <v>43</v>
      </c>
      <c r="B2" s="86">
        <v>1</v>
      </c>
      <c r="C2" s="86" t="s">
        <v>186</v>
      </c>
      <c r="D2" s="87" t="s">
        <v>102</v>
      </c>
      <c r="E2" s="87" t="s">
        <v>144</v>
      </c>
      <c r="F2" s="87" t="s">
        <v>136</v>
      </c>
      <c r="G2" s="87" t="s">
        <v>157</v>
      </c>
      <c r="H2" s="87" t="s">
        <v>105</v>
      </c>
      <c r="I2" s="87" t="s">
        <v>176</v>
      </c>
      <c r="J2" s="87" t="s">
        <v>34</v>
      </c>
      <c r="K2" s="159" t="s">
        <v>291</v>
      </c>
      <c r="L2" s="159" t="s">
        <v>297</v>
      </c>
      <c r="M2" s="87" t="s">
        <v>114</v>
      </c>
      <c r="N2" s="87" t="s">
        <v>180</v>
      </c>
      <c r="O2" s="88"/>
    </row>
    <row r="3" spans="1:15" ht="15">
      <c r="A3" s="85" t="s">
        <v>100</v>
      </c>
      <c r="B3" s="86">
        <v>2</v>
      </c>
      <c r="C3" s="86" t="s">
        <v>187</v>
      </c>
      <c r="D3" s="87" t="s">
        <v>103</v>
      </c>
      <c r="E3" s="87" t="s">
        <v>143</v>
      </c>
      <c r="F3" s="87" t="s">
        <v>137</v>
      </c>
      <c r="G3" s="87" t="s">
        <v>158</v>
      </c>
      <c r="H3" s="87" t="s">
        <v>106</v>
      </c>
      <c r="I3" s="87" t="s">
        <v>177</v>
      </c>
      <c r="J3" s="87" t="s">
        <v>35</v>
      </c>
      <c r="K3" s="159" t="s">
        <v>290</v>
      </c>
      <c r="L3" s="159" t="s">
        <v>296</v>
      </c>
      <c r="M3" s="87" t="s">
        <v>115</v>
      </c>
      <c r="N3" s="87" t="s">
        <v>181</v>
      </c>
      <c r="O3" s="88"/>
    </row>
    <row r="4" spans="1:15" ht="15">
      <c r="A4" s="85" t="s">
        <v>44</v>
      </c>
      <c r="B4" s="86">
        <v>3</v>
      </c>
      <c r="C4" s="86"/>
      <c r="D4" s="87"/>
      <c r="E4" s="87"/>
      <c r="F4" s="87" t="s">
        <v>145</v>
      </c>
      <c r="G4" s="87" t="s">
        <v>159</v>
      </c>
      <c r="H4" s="87" t="s">
        <v>107</v>
      </c>
      <c r="I4" s="87"/>
      <c r="J4" s="87" t="s">
        <v>36</v>
      </c>
      <c r="K4" s="87"/>
      <c r="L4" s="159" t="s">
        <v>295</v>
      </c>
      <c r="M4" s="87" t="s">
        <v>116</v>
      </c>
      <c r="N4" s="87" t="s">
        <v>182</v>
      </c>
      <c r="O4" s="88"/>
    </row>
    <row r="5" spans="1:15" ht="15">
      <c r="A5" s="85" t="s">
        <v>45</v>
      </c>
      <c r="B5" s="86">
        <v>65</v>
      </c>
      <c r="C5" s="86"/>
      <c r="D5" s="87"/>
      <c r="E5" s="87"/>
      <c r="F5" s="87" t="s">
        <v>146</v>
      </c>
      <c r="G5" s="87"/>
      <c r="H5" s="87" t="s">
        <v>108</v>
      </c>
      <c r="I5" s="87"/>
      <c r="J5" s="87" t="s">
        <v>37</v>
      </c>
      <c r="K5" s="87"/>
      <c r="L5" s="159" t="s">
        <v>294</v>
      </c>
      <c r="M5" s="87" t="s">
        <v>117</v>
      </c>
      <c r="N5" s="87"/>
      <c r="O5" s="88"/>
    </row>
    <row r="6" spans="1:15" ht="15">
      <c r="A6" s="85" t="s">
        <v>46</v>
      </c>
      <c r="B6" s="86">
        <v>4</v>
      </c>
      <c r="C6" s="86"/>
      <c r="D6" s="87"/>
      <c r="E6" s="87"/>
      <c r="F6" s="87" t="s">
        <v>147</v>
      </c>
      <c r="G6" s="87"/>
      <c r="H6" s="87" t="s">
        <v>109</v>
      </c>
      <c r="I6" s="87"/>
      <c r="J6" s="87" t="s">
        <v>38</v>
      </c>
      <c r="K6" s="87"/>
      <c r="L6" s="159" t="s">
        <v>293</v>
      </c>
      <c r="M6" s="87" t="s">
        <v>118</v>
      </c>
      <c r="N6" s="87"/>
      <c r="O6" s="88"/>
    </row>
    <row r="7" spans="1:15" ht="15">
      <c r="A7" s="85" t="s">
        <v>47</v>
      </c>
      <c r="B7" s="86">
        <v>5</v>
      </c>
      <c r="C7" s="86"/>
      <c r="D7" s="87"/>
      <c r="E7" s="87"/>
      <c r="F7" s="87" t="s">
        <v>132</v>
      </c>
      <c r="G7" s="87"/>
      <c r="H7" s="87"/>
      <c r="I7" s="87"/>
      <c r="J7" s="87" t="s">
        <v>40</v>
      </c>
      <c r="K7" s="87"/>
      <c r="L7" s="159" t="s">
        <v>292</v>
      </c>
      <c r="M7" s="87" t="s">
        <v>15</v>
      </c>
      <c r="N7" s="87"/>
      <c r="O7" s="88"/>
    </row>
    <row r="8" spans="1:15" ht="15">
      <c r="A8" s="85" t="s">
        <v>48</v>
      </c>
      <c r="B8" s="86">
        <v>6</v>
      </c>
      <c r="C8" s="86"/>
      <c r="D8" s="87"/>
      <c r="E8" s="87"/>
      <c r="F8" s="87" t="s">
        <v>148</v>
      </c>
      <c r="G8" s="87"/>
      <c r="H8" s="87"/>
      <c r="I8" s="87"/>
      <c r="J8" s="87" t="s">
        <v>119</v>
      </c>
      <c r="K8" s="87"/>
      <c r="L8" s="159" t="s">
        <v>291</v>
      </c>
      <c r="M8" s="87"/>
      <c r="N8" s="87"/>
      <c r="O8" s="88"/>
    </row>
    <row r="9" spans="1:15" ht="15">
      <c r="A9" s="85" t="s">
        <v>49</v>
      </c>
      <c r="B9" s="86">
        <v>7</v>
      </c>
      <c r="C9" s="86"/>
      <c r="D9" s="87"/>
      <c r="E9" s="87"/>
      <c r="F9" s="87" t="s">
        <v>230</v>
      </c>
      <c r="G9" s="87"/>
      <c r="H9" s="87"/>
      <c r="I9" s="87"/>
      <c r="J9" s="87" t="s">
        <v>41</v>
      </c>
      <c r="K9" s="87"/>
      <c r="L9" s="159" t="s">
        <v>290</v>
      </c>
      <c r="M9" s="87"/>
      <c r="N9" s="87"/>
      <c r="O9" s="88"/>
    </row>
    <row r="10" spans="1:15" ht="15">
      <c r="A10" s="85" t="s">
        <v>50</v>
      </c>
      <c r="B10" s="86">
        <v>8</v>
      </c>
      <c r="C10" s="86"/>
      <c r="D10" s="87"/>
      <c r="E10" s="87"/>
      <c r="F10" s="87"/>
      <c r="G10" s="87"/>
      <c r="H10" s="87"/>
      <c r="I10" s="87"/>
      <c r="J10" s="159" t="s">
        <v>192</v>
      </c>
      <c r="K10" s="87"/>
      <c r="L10" s="87"/>
      <c r="M10" s="87"/>
      <c r="N10" s="87"/>
      <c r="O10" s="88"/>
    </row>
    <row r="11" spans="1:15" ht="15">
      <c r="A11" s="85" t="s">
        <v>51</v>
      </c>
      <c r="B11" s="86">
        <v>9</v>
      </c>
      <c r="C11" s="86"/>
      <c r="D11" s="87"/>
      <c r="E11" s="87"/>
      <c r="F11" s="87"/>
      <c r="G11" s="87"/>
      <c r="H11" s="87"/>
      <c r="I11" s="87"/>
      <c r="K11" s="87"/>
      <c r="L11" s="87"/>
      <c r="M11" s="87"/>
      <c r="N11" s="87"/>
      <c r="O11" s="88"/>
    </row>
    <row r="12" spans="1:15" ht="15">
      <c r="A12" s="85" t="s">
        <v>52</v>
      </c>
      <c r="B12" s="86">
        <v>10</v>
      </c>
      <c r="C12" s="86"/>
      <c r="D12" s="87"/>
      <c r="E12" s="87"/>
      <c r="F12" s="87"/>
      <c r="G12" s="87"/>
      <c r="H12" s="87"/>
      <c r="I12" s="87"/>
      <c r="J12" s="87"/>
      <c r="K12" s="87"/>
      <c r="L12" s="87"/>
      <c r="M12" s="87"/>
      <c r="N12" s="87"/>
      <c r="O12" s="88"/>
    </row>
    <row r="13" spans="1:15" ht="15">
      <c r="A13" s="85" t="s">
        <v>53</v>
      </c>
      <c r="B13" s="86">
        <v>11</v>
      </c>
      <c r="C13" s="86"/>
      <c r="D13" s="87"/>
      <c r="E13" s="87"/>
      <c r="F13" s="87"/>
      <c r="G13" s="87"/>
      <c r="H13" s="87"/>
      <c r="I13" s="87"/>
      <c r="J13" s="87"/>
      <c r="K13" s="87"/>
      <c r="L13" s="87"/>
      <c r="M13" s="87"/>
      <c r="N13" s="87"/>
      <c r="O13" s="88"/>
    </row>
    <row r="14" spans="1:15" ht="15">
      <c r="A14" s="85" t="s">
        <v>54</v>
      </c>
      <c r="B14" s="86">
        <v>12</v>
      </c>
      <c r="C14" s="86"/>
      <c r="D14" s="87"/>
      <c r="E14" s="87"/>
      <c r="F14" s="87"/>
      <c r="G14" s="87"/>
      <c r="H14" s="87"/>
      <c r="I14" s="87"/>
      <c r="J14" s="87"/>
      <c r="K14" s="87"/>
      <c r="L14" s="87"/>
      <c r="M14" s="87"/>
      <c r="N14" s="87"/>
      <c r="O14" s="88"/>
    </row>
    <row r="15" spans="1:15" ht="15">
      <c r="A15" s="85" t="s">
        <v>55</v>
      </c>
      <c r="B15" s="86">
        <v>13</v>
      </c>
      <c r="C15" s="86"/>
      <c r="D15" s="87"/>
      <c r="E15" s="87"/>
      <c r="F15" s="87"/>
      <c r="G15" s="87"/>
      <c r="H15" s="87"/>
      <c r="I15" s="87"/>
      <c r="J15" s="87"/>
      <c r="K15" s="87"/>
      <c r="L15" s="87"/>
      <c r="M15" s="87"/>
      <c r="N15" s="87"/>
      <c r="O15" s="88"/>
    </row>
    <row r="16" spans="1:15" ht="15">
      <c r="A16" s="85" t="s">
        <v>56</v>
      </c>
      <c r="B16" s="86">
        <v>14</v>
      </c>
      <c r="C16" s="86"/>
      <c r="D16" s="87"/>
      <c r="E16" s="87"/>
      <c r="F16" s="141"/>
      <c r="G16" s="87"/>
      <c r="H16" s="87"/>
      <c r="I16" s="87"/>
      <c r="J16" s="87"/>
      <c r="K16" s="87"/>
      <c r="L16" s="87"/>
      <c r="M16" s="87"/>
      <c r="N16" s="87"/>
      <c r="O16" s="88"/>
    </row>
    <row r="17" spans="1:15" ht="15">
      <c r="A17" s="85" t="s">
        <v>57</v>
      </c>
      <c r="B17" s="86">
        <v>15</v>
      </c>
      <c r="C17" s="86"/>
      <c r="D17" s="87"/>
      <c r="E17" s="87"/>
      <c r="F17" s="87"/>
      <c r="G17" s="87"/>
      <c r="H17" s="87"/>
      <c r="I17" s="87"/>
      <c r="J17" s="87"/>
      <c r="K17" s="87"/>
      <c r="L17" s="87"/>
      <c r="M17" s="87"/>
      <c r="N17" s="87"/>
      <c r="O17" s="88"/>
    </row>
    <row r="18" spans="1:15" ht="15">
      <c r="A18" s="85" t="s">
        <v>58</v>
      </c>
      <c r="B18" s="86">
        <v>16</v>
      </c>
      <c r="C18" s="86"/>
      <c r="D18" s="87"/>
      <c r="E18" s="87"/>
      <c r="F18" s="87"/>
      <c r="G18" s="87"/>
      <c r="H18" s="87"/>
      <c r="I18" s="87"/>
      <c r="J18" s="87"/>
      <c r="K18" s="87"/>
      <c r="L18" s="87"/>
      <c r="M18" s="87"/>
      <c r="N18" s="87"/>
      <c r="O18" s="88"/>
    </row>
    <row r="19" spans="1:15" ht="15">
      <c r="A19" s="85" t="s">
        <v>59</v>
      </c>
      <c r="B19" s="86">
        <v>17</v>
      </c>
      <c r="C19" s="86"/>
      <c r="D19" s="87"/>
      <c r="E19" s="87"/>
      <c r="F19" s="87"/>
      <c r="G19" s="87"/>
      <c r="H19" s="193"/>
      <c r="I19" s="87"/>
      <c r="J19" s="87"/>
      <c r="K19" s="87"/>
      <c r="L19" s="87"/>
      <c r="M19" s="87"/>
      <c r="N19" s="87"/>
      <c r="O19" s="88"/>
    </row>
    <row r="20" spans="1:15" ht="15">
      <c r="A20" s="85" t="s">
        <v>60</v>
      </c>
      <c r="B20" s="86">
        <v>18</v>
      </c>
      <c r="C20" s="86"/>
      <c r="D20" s="87"/>
      <c r="E20" s="87"/>
      <c r="F20" s="87"/>
      <c r="G20" s="87"/>
      <c r="H20" s="87"/>
      <c r="I20" s="87"/>
      <c r="J20" s="87"/>
      <c r="K20" s="87"/>
      <c r="L20" s="87"/>
      <c r="M20" s="87"/>
      <c r="N20" s="87"/>
      <c r="O20" s="88"/>
    </row>
    <row r="21" spans="1:15" ht="15">
      <c r="A21" s="85" t="s">
        <v>61</v>
      </c>
      <c r="B21" s="86">
        <v>19</v>
      </c>
      <c r="C21" s="86"/>
      <c r="D21" s="87"/>
      <c r="E21" s="87"/>
      <c r="F21" s="146"/>
      <c r="G21" s="87"/>
      <c r="H21" s="87"/>
      <c r="I21" s="87"/>
      <c r="J21" s="87"/>
      <c r="K21" s="87"/>
      <c r="L21" s="87"/>
      <c r="M21" s="87"/>
      <c r="N21" s="87"/>
      <c r="O21" s="88"/>
    </row>
    <row r="22" spans="1:15" ht="15">
      <c r="A22" s="85" t="s">
        <v>62</v>
      </c>
      <c r="B22" s="86">
        <v>20</v>
      </c>
      <c r="C22" s="86"/>
      <c r="D22" s="87"/>
      <c r="E22" s="87"/>
      <c r="F22" s="87"/>
      <c r="G22" s="87"/>
      <c r="H22" s="87"/>
      <c r="I22" s="87"/>
      <c r="J22" s="87"/>
      <c r="K22" s="87"/>
      <c r="L22" s="87"/>
      <c r="M22" s="87"/>
      <c r="N22" s="87"/>
      <c r="O22" s="88"/>
    </row>
    <row r="23" spans="1:16" ht="15">
      <c r="A23" s="85" t="s">
        <v>63</v>
      </c>
      <c r="B23" s="86">
        <v>21</v>
      </c>
      <c r="C23" s="86"/>
      <c r="D23" s="87"/>
      <c r="E23" s="87"/>
      <c r="F23" s="87"/>
      <c r="G23" s="87"/>
      <c r="H23" s="87"/>
      <c r="I23" s="87"/>
      <c r="J23" s="87"/>
      <c r="K23" s="87"/>
      <c r="L23" s="87"/>
      <c r="M23" s="87"/>
      <c r="N23" s="87"/>
      <c r="O23" s="88"/>
      <c r="P23" s="147"/>
    </row>
    <row r="24" spans="1:15" ht="15">
      <c r="A24" s="85" t="s">
        <v>64</v>
      </c>
      <c r="B24" s="86">
        <v>22</v>
      </c>
      <c r="C24" s="86"/>
      <c r="D24" s="87"/>
      <c r="E24" s="87"/>
      <c r="F24" s="87"/>
      <c r="G24" s="87"/>
      <c r="H24" s="87"/>
      <c r="I24" s="87"/>
      <c r="J24" s="87"/>
      <c r="K24" s="87"/>
      <c r="L24" s="87"/>
      <c r="M24" s="87"/>
      <c r="N24" s="87"/>
      <c r="O24" s="88"/>
    </row>
    <row r="25" spans="1:15" ht="15">
      <c r="A25" s="85" t="s">
        <v>65</v>
      </c>
      <c r="B25" s="86">
        <v>23</v>
      </c>
      <c r="C25" s="86"/>
      <c r="D25" s="87"/>
      <c r="E25" s="87"/>
      <c r="F25" s="87"/>
      <c r="G25" s="141"/>
      <c r="H25" s="87"/>
      <c r="I25" s="87"/>
      <c r="J25" s="87"/>
      <c r="K25" s="87"/>
      <c r="L25" s="87"/>
      <c r="M25" s="87"/>
      <c r="N25" s="87"/>
      <c r="O25" s="88"/>
    </row>
    <row r="26" spans="1:15" ht="15">
      <c r="A26" s="85" t="s">
        <v>66</v>
      </c>
      <c r="B26" s="86">
        <v>24</v>
      </c>
      <c r="C26" s="86"/>
      <c r="D26" s="87"/>
      <c r="E26" s="87"/>
      <c r="F26" s="87"/>
      <c r="G26" s="87"/>
      <c r="H26" s="87"/>
      <c r="I26" s="87"/>
      <c r="J26" s="87"/>
      <c r="K26" s="87"/>
      <c r="L26" s="87"/>
      <c r="M26" s="87"/>
      <c r="N26" s="87"/>
      <c r="O26" s="88"/>
    </row>
    <row r="27" spans="1:15" ht="15">
      <c r="A27" s="85" t="s">
        <v>67</v>
      </c>
      <c r="B27" s="86">
        <v>25</v>
      </c>
      <c r="C27" s="86"/>
      <c r="D27" s="87"/>
      <c r="E27" s="87"/>
      <c r="F27" s="87"/>
      <c r="G27" s="87"/>
      <c r="H27" s="87"/>
      <c r="I27" s="87"/>
      <c r="J27" s="87"/>
      <c r="K27" s="87"/>
      <c r="L27" s="87"/>
      <c r="M27" s="87"/>
      <c r="N27" s="87"/>
      <c r="O27" s="88"/>
    </row>
    <row r="28" spans="1:15" ht="15">
      <c r="A28" s="85" t="s">
        <v>68</v>
      </c>
      <c r="B28" s="86">
        <v>26</v>
      </c>
      <c r="C28" s="86"/>
      <c r="D28" s="87"/>
      <c r="E28" s="87"/>
      <c r="F28" s="87"/>
      <c r="G28" s="87"/>
      <c r="H28" s="87"/>
      <c r="I28" s="87"/>
      <c r="J28" s="87"/>
      <c r="K28" s="87"/>
      <c r="L28" s="87"/>
      <c r="M28" s="87"/>
      <c r="N28" s="87"/>
      <c r="O28" s="88"/>
    </row>
    <row r="29" spans="1:15" ht="15">
      <c r="A29" s="85" t="s">
        <v>69</v>
      </c>
      <c r="B29" s="86">
        <v>27</v>
      </c>
      <c r="C29" s="86"/>
      <c r="D29" s="87"/>
      <c r="E29" s="87"/>
      <c r="F29" s="87"/>
      <c r="G29" s="87"/>
      <c r="H29" s="87"/>
      <c r="I29" s="87"/>
      <c r="J29" s="87"/>
      <c r="K29" s="87"/>
      <c r="L29" s="87"/>
      <c r="M29" s="87"/>
      <c r="N29" s="87"/>
      <c r="O29" s="88"/>
    </row>
    <row r="30" spans="1:15" ht="15">
      <c r="A30" s="85" t="s">
        <v>70</v>
      </c>
      <c r="B30" s="86">
        <v>28</v>
      </c>
      <c r="C30" s="86"/>
      <c r="D30" s="87"/>
      <c r="E30" s="87"/>
      <c r="F30" s="87"/>
      <c r="G30" s="87"/>
      <c r="H30" s="87"/>
      <c r="I30" s="87"/>
      <c r="J30" s="87"/>
      <c r="K30" s="87"/>
      <c r="L30" s="87"/>
      <c r="M30" s="87"/>
      <c r="N30" s="87"/>
      <c r="O30" s="88"/>
    </row>
    <row r="31" spans="1:15" ht="15">
      <c r="A31" s="85" t="s">
        <v>71</v>
      </c>
      <c r="B31" s="86">
        <v>29</v>
      </c>
      <c r="C31" s="86"/>
      <c r="D31" s="87"/>
      <c r="E31" s="87"/>
      <c r="F31" s="87"/>
      <c r="G31" s="87"/>
      <c r="H31" s="87"/>
      <c r="I31" s="87"/>
      <c r="J31" s="87"/>
      <c r="K31" s="87"/>
      <c r="L31" s="87"/>
      <c r="M31" s="87"/>
      <c r="N31" s="87"/>
      <c r="O31" s="88"/>
    </row>
    <row r="32" spans="1:15" ht="15">
      <c r="A32" s="85" t="s">
        <v>72</v>
      </c>
      <c r="B32" s="86">
        <v>30</v>
      </c>
      <c r="C32" s="86"/>
      <c r="D32" s="87"/>
      <c r="E32" s="87"/>
      <c r="F32" s="87"/>
      <c r="G32" s="87"/>
      <c r="H32" s="87"/>
      <c r="I32" s="87"/>
      <c r="J32" s="87"/>
      <c r="K32" s="87"/>
      <c r="L32" s="87"/>
      <c r="M32" s="87"/>
      <c r="N32" s="87"/>
      <c r="O32" s="88"/>
    </row>
    <row r="33" spans="1:15" ht="15">
      <c r="A33" s="85" t="s">
        <v>73</v>
      </c>
      <c r="B33" s="86">
        <v>31</v>
      </c>
      <c r="C33" s="86"/>
      <c r="D33" s="87"/>
      <c r="E33" s="87"/>
      <c r="F33" s="87"/>
      <c r="G33" s="87"/>
      <c r="H33" s="87"/>
      <c r="I33" s="87"/>
      <c r="J33" s="87"/>
      <c r="K33" s="87"/>
      <c r="L33" s="87"/>
      <c r="M33" s="87"/>
      <c r="N33" s="87"/>
      <c r="O33" s="88"/>
    </row>
    <row r="34" spans="1:15" ht="15">
      <c r="A34" s="85" t="s">
        <v>74</v>
      </c>
      <c r="B34" s="86">
        <v>32</v>
      </c>
      <c r="C34" s="86"/>
      <c r="D34" s="87"/>
      <c r="E34" s="87"/>
      <c r="F34" s="87"/>
      <c r="G34" s="87"/>
      <c r="H34" s="87"/>
      <c r="I34" s="87"/>
      <c r="J34" s="87"/>
      <c r="K34" s="87"/>
      <c r="L34" s="87"/>
      <c r="M34" s="87"/>
      <c r="N34" s="87"/>
      <c r="O34" s="88"/>
    </row>
    <row r="35" spans="1:15" ht="15">
      <c r="A35" s="85" t="s">
        <v>75</v>
      </c>
      <c r="B35" s="86">
        <v>33</v>
      </c>
      <c r="C35" s="86"/>
      <c r="D35" s="87"/>
      <c r="E35" s="87"/>
      <c r="F35" s="87"/>
      <c r="G35" s="87"/>
      <c r="H35" s="87"/>
      <c r="I35" s="87"/>
      <c r="J35" s="87"/>
      <c r="K35" s="87"/>
      <c r="L35" s="87"/>
      <c r="M35" s="87"/>
      <c r="N35" s="87"/>
      <c r="O35" s="88"/>
    </row>
    <row r="36" spans="1:15" ht="15">
      <c r="A36" s="85" t="s">
        <v>76</v>
      </c>
      <c r="B36" s="86">
        <v>34</v>
      </c>
      <c r="C36" s="86"/>
      <c r="D36" s="87"/>
      <c r="E36" s="87"/>
      <c r="F36" s="87"/>
      <c r="G36" s="87"/>
      <c r="H36" s="87"/>
      <c r="I36" s="87"/>
      <c r="J36" s="87"/>
      <c r="K36" s="87"/>
      <c r="L36" s="87"/>
      <c r="M36" s="87"/>
      <c r="N36" s="87"/>
      <c r="O36" s="88"/>
    </row>
    <row r="37" spans="1:15" ht="15">
      <c r="A37" s="85" t="s">
        <v>77</v>
      </c>
      <c r="B37" s="86">
        <v>35</v>
      </c>
      <c r="C37" s="86"/>
      <c r="D37" s="87"/>
      <c r="E37" s="87"/>
      <c r="F37" s="87"/>
      <c r="G37" s="87"/>
      <c r="H37" s="87"/>
      <c r="I37" s="87"/>
      <c r="J37" s="87"/>
      <c r="K37" s="87"/>
      <c r="L37" s="87"/>
      <c r="M37" s="87"/>
      <c r="N37" s="87"/>
      <c r="O37" s="88"/>
    </row>
    <row r="38" spans="1:15" ht="15">
      <c r="A38" s="85" t="s">
        <v>78</v>
      </c>
      <c r="B38" s="86">
        <v>36</v>
      </c>
      <c r="C38" s="86"/>
      <c r="D38" s="87"/>
      <c r="E38" s="87"/>
      <c r="F38" s="87"/>
      <c r="G38" s="87"/>
      <c r="H38" s="87"/>
      <c r="I38" s="87"/>
      <c r="J38" s="87"/>
      <c r="K38" s="87"/>
      <c r="L38" s="87"/>
      <c r="M38" s="87"/>
      <c r="N38" s="87"/>
      <c r="O38" s="88"/>
    </row>
    <row r="39" spans="1:15" ht="15">
      <c r="A39" s="85" t="s">
        <v>79</v>
      </c>
      <c r="B39" s="86">
        <v>37</v>
      </c>
      <c r="C39" s="86"/>
      <c r="D39" s="87"/>
      <c r="E39" s="87"/>
      <c r="F39" s="87"/>
      <c r="G39" s="87"/>
      <c r="H39" s="87"/>
      <c r="I39" s="87"/>
      <c r="J39" s="87"/>
      <c r="K39" s="87"/>
      <c r="L39" s="87"/>
      <c r="M39" s="87"/>
      <c r="N39" s="87"/>
      <c r="O39" s="88"/>
    </row>
    <row r="40" spans="1:15" ht="15">
      <c r="A40" s="85" t="s">
        <v>80</v>
      </c>
      <c r="B40" s="86">
        <v>38</v>
      </c>
      <c r="C40" s="86"/>
      <c r="D40" s="87"/>
      <c r="E40" s="87"/>
      <c r="F40" s="87"/>
      <c r="G40" s="87"/>
      <c r="H40" s="87"/>
      <c r="I40" s="87"/>
      <c r="J40" s="87"/>
      <c r="K40" s="87"/>
      <c r="L40" s="87"/>
      <c r="M40" s="87"/>
      <c r="N40" s="87"/>
      <c r="O40" s="88"/>
    </row>
    <row r="41" spans="1:15" ht="15">
      <c r="A41" s="85" t="s">
        <v>81</v>
      </c>
      <c r="B41" s="86">
        <v>39</v>
      </c>
      <c r="C41" s="86"/>
      <c r="D41" s="87"/>
      <c r="E41" s="87"/>
      <c r="F41" s="87"/>
      <c r="G41" s="87"/>
      <c r="H41" s="87"/>
      <c r="I41" s="87"/>
      <c r="J41" s="87"/>
      <c r="K41" s="87"/>
      <c r="L41" s="87"/>
      <c r="M41" s="87"/>
      <c r="N41" s="87"/>
      <c r="O41" s="88"/>
    </row>
    <row r="42" spans="1:15" ht="15">
      <c r="A42" s="85" t="s">
        <v>82</v>
      </c>
      <c r="B42" s="86">
        <v>40</v>
      </c>
      <c r="C42" s="86"/>
      <c r="D42" s="87"/>
      <c r="E42" s="87"/>
      <c r="F42" s="87"/>
      <c r="G42" s="87"/>
      <c r="H42" s="87"/>
      <c r="I42" s="87"/>
      <c r="J42" s="87"/>
      <c r="K42" s="87"/>
      <c r="L42" s="87"/>
      <c r="M42" s="87"/>
      <c r="N42" s="87"/>
      <c r="O42" s="88"/>
    </row>
    <row r="43" spans="1:15" ht="15">
      <c r="A43" s="85" t="s">
        <v>83</v>
      </c>
      <c r="B43" s="86">
        <v>41</v>
      </c>
      <c r="C43" s="86"/>
      <c r="D43" s="87"/>
      <c r="E43" s="87"/>
      <c r="F43" s="87"/>
      <c r="G43" s="87"/>
      <c r="H43" s="87"/>
      <c r="I43" s="87"/>
      <c r="J43" s="87"/>
      <c r="K43" s="87"/>
      <c r="L43" s="87"/>
      <c r="M43" s="87"/>
      <c r="N43" s="87"/>
      <c r="O43" s="88"/>
    </row>
    <row r="44" spans="1:15" ht="15">
      <c r="A44" s="85" t="s">
        <v>84</v>
      </c>
      <c r="B44" s="86">
        <v>42</v>
      </c>
      <c r="C44" s="86"/>
      <c r="D44" s="87"/>
      <c r="E44" s="87"/>
      <c r="F44" s="87"/>
      <c r="G44" s="87"/>
      <c r="H44" s="87"/>
      <c r="I44" s="87"/>
      <c r="J44" s="87"/>
      <c r="K44" s="87"/>
      <c r="L44" s="87"/>
      <c r="M44" s="87"/>
      <c r="N44" s="87"/>
      <c r="O44" s="88"/>
    </row>
    <row r="45" spans="1:15" ht="15">
      <c r="A45" s="85" t="s">
        <v>85</v>
      </c>
      <c r="B45" s="86">
        <v>43</v>
      </c>
      <c r="C45" s="86"/>
      <c r="D45" s="87"/>
      <c r="E45" s="87"/>
      <c r="F45" s="87"/>
      <c r="G45" s="87"/>
      <c r="H45" s="87"/>
      <c r="I45" s="87"/>
      <c r="J45" s="87"/>
      <c r="K45" s="87"/>
      <c r="L45" s="87"/>
      <c r="M45" s="87"/>
      <c r="N45" s="87"/>
      <c r="O45" s="88"/>
    </row>
    <row r="46" spans="1:15" ht="15">
      <c r="A46" s="85" t="s">
        <v>86</v>
      </c>
      <c r="B46" s="86">
        <v>44</v>
      </c>
      <c r="C46" s="86"/>
      <c r="D46" s="87"/>
      <c r="E46" s="87"/>
      <c r="F46" s="87"/>
      <c r="G46" s="87"/>
      <c r="H46" s="87"/>
      <c r="I46" s="87"/>
      <c r="J46" s="87"/>
      <c r="K46" s="87"/>
      <c r="L46" s="87"/>
      <c r="M46" s="87"/>
      <c r="N46" s="87"/>
      <c r="O46" s="88"/>
    </row>
    <row r="47" spans="1:15" ht="15">
      <c r="A47" s="85" t="s">
        <v>87</v>
      </c>
      <c r="B47" s="86">
        <v>45</v>
      </c>
      <c r="C47" s="86"/>
      <c r="D47" s="87"/>
      <c r="E47" s="87"/>
      <c r="F47" s="87"/>
      <c r="G47" s="87"/>
      <c r="H47" s="87"/>
      <c r="I47" s="87"/>
      <c r="J47" s="87"/>
      <c r="K47" s="87"/>
      <c r="L47" s="87"/>
      <c r="M47" s="87"/>
      <c r="N47" s="87"/>
      <c r="O47" s="88"/>
    </row>
    <row r="48" spans="1:15" ht="15">
      <c r="A48" s="85" t="s">
        <v>88</v>
      </c>
      <c r="B48" s="86">
        <v>46</v>
      </c>
      <c r="C48" s="86"/>
      <c r="D48" s="87"/>
      <c r="E48" s="87"/>
      <c r="F48" s="87"/>
      <c r="G48" s="87"/>
      <c r="H48" s="87"/>
      <c r="I48" s="87"/>
      <c r="J48" s="87"/>
      <c r="K48" s="87"/>
      <c r="L48" s="87"/>
      <c r="M48" s="87"/>
      <c r="N48" s="87"/>
      <c r="O48" s="88"/>
    </row>
    <row r="49" spans="1:15" ht="15">
      <c r="A49" s="85" t="s">
        <v>89</v>
      </c>
      <c r="B49" s="86">
        <v>47</v>
      </c>
      <c r="C49" s="86"/>
      <c r="D49" s="87"/>
      <c r="E49" s="87"/>
      <c r="F49" s="87"/>
      <c r="G49" s="87"/>
      <c r="H49" s="87"/>
      <c r="I49" s="87"/>
      <c r="J49" s="87"/>
      <c r="K49" s="87"/>
      <c r="L49" s="87"/>
      <c r="M49" s="87"/>
      <c r="N49" s="87"/>
      <c r="O49" s="88"/>
    </row>
    <row r="50" spans="1:15" ht="15">
      <c r="A50" s="85" t="s">
        <v>90</v>
      </c>
      <c r="B50" s="86">
        <v>48</v>
      </c>
      <c r="C50" s="86"/>
      <c r="D50" s="87"/>
      <c r="E50" s="87"/>
      <c r="F50" s="87"/>
      <c r="G50" s="87"/>
      <c r="H50" s="87"/>
      <c r="I50" s="87"/>
      <c r="J50" s="87"/>
      <c r="K50" s="87"/>
      <c r="L50" s="87"/>
      <c r="M50" s="87"/>
      <c r="N50" s="87"/>
      <c r="O50" s="88"/>
    </row>
    <row r="51" spans="1:15" ht="15">
      <c r="A51" s="85" t="s">
        <v>91</v>
      </c>
      <c r="B51" s="86">
        <v>49</v>
      </c>
      <c r="C51" s="86"/>
      <c r="D51" s="87"/>
      <c r="E51" s="87"/>
      <c r="F51" s="87"/>
      <c r="G51" s="87"/>
      <c r="H51" s="87"/>
      <c r="I51" s="87"/>
      <c r="J51" s="87"/>
      <c r="K51" s="87"/>
      <c r="L51" s="87"/>
      <c r="M51" s="87"/>
      <c r="N51" s="87"/>
      <c r="O51" s="88"/>
    </row>
    <row r="52" spans="1:15" ht="15">
      <c r="A52" s="85" t="s">
        <v>92</v>
      </c>
      <c r="B52" s="86">
        <v>50</v>
      </c>
      <c r="C52" s="86"/>
      <c r="D52" s="87"/>
      <c r="E52" s="87"/>
      <c r="F52" s="87"/>
      <c r="G52" s="87"/>
      <c r="H52" s="87"/>
      <c r="I52" s="87"/>
      <c r="J52" s="87"/>
      <c r="K52" s="87"/>
      <c r="L52" s="87"/>
      <c r="M52" s="87"/>
      <c r="N52" s="87"/>
      <c r="O52" s="88"/>
    </row>
    <row r="53" spans="1:15" ht="15">
      <c r="A53" s="85" t="s">
        <v>101</v>
      </c>
      <c r="B53" s="86">
        <v>63</v>
      </c>
      <c r="C53" s="86"/>
      <c r="D53" s="87"/>
      <c r="E53" s="87"/>
      <c r="F53" s="87"/>
      <c r="G53" s="87"/>
      <c r="H53" s="87"/>
      <c r="I53" s="87"/>
      <c r="J53" s="87"/>
      <c r="K53" s="87"/>
      <c r="L53" s="87"/>
      <c r="M53" s="87"/>
      <c r="N53" s="87"/>
      <c r="O53" s="88"/>
    </row>
    <row r="54" spans="1:15" ht="15">
      <c r="A54" s="85" t="s">
        <v>93</v>
      </c>
      <c r="B54" s="86">
        <v>52</v>
      </c>
      <c r="C54" s="86"/>
      <c r="D54" s="87"/>
      <c r="E54" s="87"/>
      <c r="F54" s="87"/>
      <c r="G54" s="87"/>
      <c r="H54" s="87"/>
      <c r="I54" s="87"/>
      <c r="J54" s="87"/>
      <c r="K54" s="87"/>
      <c r="L54" s="87"/>
      <c r="M54" s="87"/>
      <c r="N54" s="87"/>
      <c r="O54" s="88"/>
    </row>
    <row r="55" spans="1:15" ht="15">
      <c r="A55" s="85" t="s">
        <v>94</v>
      </c>
      <c r="B55" s="86">
        <v>66</v>
      </c>
      <c r="C55" s="86"/>
      <c r="D55" s="87"/>
      <c r="E55" s="87"/>
      <c r="F55" s="87"/>
      <c r="G55" s="87"/>
      <c r="H55" s="87"/>
      <c r="I55" s="87"/>
      <c r="J55" s="87"/>
      <c r="K55" s="87"/>
      <c r="L55" s="87"/>
      <c r="M55" s="87"/>
      <c r="N55" s="87"/>
      <c r="O55" s="88"/>
    </row>
    <row r="56" spans="1:15" ht="15">
      <c r="A56" s="85" t="s">
        <v>95</v>
      </c>
      <c r="B56" s="86">
        <v>53</v>
      </c>
      <c r="C56" s="86"/>
      <c r="D56" s="87"/>
      <c r="E56" s="87"/>
      <c r="F56" s="87"/>
      <c r="G56" s="87"/>
      <c r="H56" s="87"/>
      <c r="I56" s="87"/>
      <c r="J56" s="87"/>
      <c r="K56" s="87"/>
      <c r="L56" s="87"/>
      <c r="M56" s="87"/>
      <c r="N56" s="87"/>
      <c r="O56" s="88"/>
    </row>
    <row r="57" spans="1:15" ht="15">
      <c r="A57" s="85" t="s">
        <v>96</v>
      </c>
      <c r="B57" s="86">
        <v>54</v>
      </c>
      <c r="C57" s="86"/>
      <c r="D57" s="87"/>
      <c r="E57" s="87"/>
      <c r="F57" s="87"/>
      <c r="G57" s="87"/>
      <c r="H57" s="87"/>
      <c r="I57" s="87"/>
      <c r="J57" s="87"/>
      <c r="K57" s="87"/>
      <c r="L57" s="87"/>
      <c r="M57" s="87"/>
      <c r="N57" s="87"/>
      <c r="O57" s="88"/>
    </row>
    <row r="58" spans="1:15" ht="15">
      <c r="A58" s="85" t="s">
        <v>97</v>
      </c>
      <c r="B58" s="86">
        <v>55</v>
      </c>
      <c r="C58" s="86"/>
      <c r="D58" s="87"/>
      <c r="E58" s="87"/>
      <c r="F58" s="87"/>
      <c r="G58" s="87"/>
      <c r="H58" s="87"/>
      <c r="I58" s="87"/>
      <c r="J58" s="87"/>
      <c r="M58" s="87"/>
      <c r="N58" s="87"/>
      <c r="O58" s="88"/>
    </row>
    <row r="59" spans="1:15" ht="15">
      <c r="A59" s="85" t="s">
        <v>98</v>
      </c>
      <c r="B59" s="86">
        <v>56</v>
      </c>
      <c r="C59" s="86"/>
      <c r="D59" s="87"/>
      <c r="E59" s="87"/>
      <c r="F59" s="87"/>
      <c r="G59" s="87"/>
      <c r="H59" s="87"/>
      <c r="I59" s="87"/>
      <c r="J59" s="87"/>
      <c r="M59" s="87"/>
      <c r="N59" s="87"/>
      <c r="O59" s="88"/>
    </row>
    <row r="60" spans="1:15" ht="15.75" thickBot="1">
      <c r="A60" s="89" t="s">
        <v>99</v>
      </c>
      <c r="B60" s="90">
        <v>57</v>
      </c>
      <c r="C60" s="90"/>
      <c r="D60" s="91"/>
      <c r="E60" s="91"/>
      <c r="F60" s="91"/>
      <c r="G60" s="91"/>
      <c r="H60" s="91"/>
      <c r="I60" s="91"/>
      <c r="J60" s="91"/>
      <c r="K60" s="91"/>
      <c r="L60" s="91"/>
      <c r="M60" s="91"/>
      <c r="N60" s="91"/>
      <c r="O60" s="92"/>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3" customWidth="1"/>
    <col min="2" max="2" width="14.8515625" style="93" customWidth="1"/>
    <col min="3" max="3" width="16.00390625" style="93" customWidth="1"/>
    <col min="4" max="4" width="18.421875" style="93" customWidth="1"/>
    <col min="5" max="5" width="55.421875" style="93" customWidth="1"/>
    <col min="6" max="7" width="19.57421875" style="93" customWidth="1"/>
    <col min="8" max="16384" width="19.57421875" style="93" customWidth="1"/>
  </cols>
  <sheetData>
    <row r="1" ht="15">
      <c r="D1" s="94" t="s">
        <v>197</v>
      </c>
    </row>
    <row r="2" spans="1:5" ht="14.25" customHeight="1">
      <c r="A2" s="465" t="s">
        <v>198</v>
      </c>
      <c r="B2" s="465"/>
      <c r="C2" s="465"/>
      <c r="D2" s="465"/>
      <c r="E2" s="465"/>
    </row>
    <row r="3" spans="1:5" ht="14.25" customHeight="1">
      <c r="A3" s="465" t="s">
        <v>307</v>
      </c>
      <c r="B3" s="465"/>
      <c r="C3" s="465"/>
      <c r="D3" s="465"/>
      <c r="E3" s="465"/>
    </row>
    <row r="4" spans="1:4" ht="14.25" customHeight="1" thickBot="1">
      <c r="A4" s="95"/>
      <c r="B4" s="96"/>
      <c r="C4" s="97"/>
      <c r="D4" s="98"/>
    </row>
    <row r="5" spans="1:5" ht="14.25" customHeight="1">
      <c r="A5" s="99" t="s">
        <v>199</v>
      </c>
      <c r="B5" s="464" t="s">
        <v>200</v>
      </c>
      <c r="C5" s="464"/>
      <c r="D5" s="100" t="s">
        <v>201</v>
      </c>
      <c r="E5" s="101"/>
    </row>
    <row r="6" spans="1:5" ht="14.25" customHeight="1" thickBot="1">
      <c r="A6" s="102"/>
      <c r="B6" s="103">
        <v>42736</v>
      </c>
      <c r="C6" s="104">
        <v>43101</v>
      </c>
      <c r="D6" s="105" t="s">
        <v>202</v>
      </c>
      <c r="E6" s="106" t="s">
        <v>185</v>
      </c>
    </row>
    <row r="7" spans="1:5" ht="14.25" customHeight="1">
      <c r="A7" s="107"/>
      <c r="B7" s="108"/>
      <c r="C7" s="108"/>
      <c r="D7" s="109"/>
      <c r="E7" s="110"/>
    </row>
    <row r="8" spans="1:5" ht="14.25" customHeight="1">
      <c r="A8" s="111" t="s">
        <v>203</v>
      </c>
      <c r="B8" s="112">
        <v>39500973</v>
      </c>
      <c r="C8" s="112">
        <v>39809693</v>
      </c>
      <c r="D8" s="113">
        <v>0.8</v>
      </c>
      <c r="E8" s="114"/>
    </row>
    <row r="9" spans="1:5" ht="14.25" customHeight="1">
      <c r="A9" s="115"/>
      <c r="B9" s="116"/>
      <c r="C9" s="116"/>
      <c r="D9" s="117"/>
      <c r="E9" s="110"/>
    </row>
    <row r="10" spans="1:6" ht="14.25" customHeight="1">
      <c r="A10" s="118" t="s">
        <v>43</v>
      </c>
      <c r="B10" s="112">
        <v>1646405</v>
      </c>
      <c r="C10" s="112">
        <v>1660202</v>
      </c>
      <c r="D10" s="113">
        <v>0.8</v>
      </c>
      <c r="E10" s="114" t="str">
        <f>IF(B10&gt;=200000,"Yes","No")</f>
        <v>Yes</v>
      </c>
      <c r="F10" s="140"/>
    </row>
    <row r="11" spans="1:5" ht="14.25" customHeight="1">
      <c r="A11" s="118" t="s">
        <v>100</v>
      </c>
      <c r="B11" s="112">
        <v>1156</v>
      </c>
      <c r="C11" s="112">
        <v>1154</v>
      </c>
      <c r="D11" s="113">
        <v>-0.2</v>
      </c>
      <c r="E11" s="114" t="str">
        <f aca="true" t="shared" si="0" ref="E11:E71">IF(B11&gt;=200000,"Yes","No")</f>
        <v>No</v>
      </c>
    </row>
    <row r="12" spans="1:5" ht="14.25" customHeight="1">
      <c r="A12" s="118" t="s">
        <v>44</v>
      </c>
      <c r="B12" s="112">
        <v>38382</v>
      </c>
      <c r="C12" s="112">
        <v>38094</v>
      </c>
      <c r="D12" s="113">
        <v>-0.8</v>
      </c>
      <c r="E12" s="114" t="str">
        <f t="shared" si="0"/>
        <v>No</v>
      </c>
    </row>
    <row r="13" spans="1:5" ht="14.25" customHeight="1">
      <c r="A13" s="118" t="s">
        <v>46</v>
      </c>
      <c r="B13" s="112">
        <v>226403</v>
      </c>
      <c r="C13" s="112">
        <v>227621</v>
      </c>
      <c r="D13" s="113">
        <v>0.5</v>
      </c>
      <c r="E13" s="114" t="str">
        <f t="shared" si="0"/>
        <v>Yes</v>
      </c>
    </row>
    <row r="14" spans="1:7" ht="14.25" customHeight="1">
      <c r="A14" s="118" t="s">
        <v>47</v>
      </c>
      <c r="B14" s="112">
        <v>45175</v>
      </c>
      <c r="C14" s="112">
        <v>45157</v>
      </c>
      <c r="D14" s="113">
        <v>0</v>
      </c>
      <c r="E14" s="114" t="str">
        <f t="shared" si="0"/>
        <v>No</v>
      </c>
      <c r="G14" s="140"/>
    </row>
    <row r="15" spans="1:5" ht="14.25" customHeight="1">
      <c r="A15" s="118" t="s">
        <v>48</v>
      </c>
      <c r="B15" s="112">
        <v>22050</v>
      </c>
      <c r="C15" s="112">
        <v>22098</v>
      </c>
      <c r="D15" s="113">
        <v>0.2</v>
      </c>
      <c r="E15" s="114" t="str">
        <f t="shared" si="0"/>
        <v>No</v>
      </c>
    </row>
    <row r="16" spans="1:5" ht="14.25" customHeight="1">
      <c r="A16" s="118" t="s">
        <v>49</v>
      </c>
      <c r="B16" s="112">
        <v>1139313</v>
      </c>
      <c r="C16" s="112">
        <v>1149363</v>
      </c>
      <c r="D16" s="113">
        <v>0.9</v>
      </c>
      <c r="E16" s="114" t="str">
        <f t="shared" si="0"/>
        <v>Yes</v>
      </c>
    </row>
    <row r="17" spans="1:5" ht="14.25" customHeight="1">
      <c r="A17" s="118" t="s">
        <v>50</v>
      </c>
      <c r="B17" s="112">
        <v>27060</v>
      </c>
      <c r="C17" s="112">
        <v>27221</v>
      </c>
      <c r="D17" s="113">
        <v>0.6</v>
      </c>
      <c r="E17" s="114" t="str">
        <f t="shared" si="0"/>
        <v>No</v>
      </c>
    </row>
    <row r="18" spans="1:5" ht="14.25" customHeight="1">
      <c r="A18" s="118" t="s">
        <v>51</v>
      </c>
      <c r="B18" s="112">
        <v>186223</v>
      </c>
      <c r="C18" s="112">
        <v>188399</v>
      </c>
      <c r="D18" s="113">
        <v>1.2</v>
      </c>
      <c r="E18" s="114" t="str">
        <f t="shared" si="0"/>
        <v>No</v>
      </c>
    </row>
    <row r="19" spans="1:5" ht="14.25" customHeight="1">
      <c r="A19" s="118" t="s">
        <v>52</v>
      </c>
      <c r="B19" s="112">
        <v>995233</v>
      </c>
      <c r="C19" s="112">
        <v>1007229</v>
      </c>
      <c r="D19" s="113">
        <v>1.2</v>
      </c>
      <c r="E19" s="114" t="str">
        <f t="shared" si="0"/>
        <v>Yes</v>
      </c>
    </row>
    <row r="20" spans="1:5" ht="14.25" customHeight="1">
      <c r="A20" s="118" t="s">
        <v>53</v>
      </c>
      <c r="B20" s="112">
        <v>28730</v>
      </c>
      <c r="C20" s="112">
        <v>28796</v>
      </c>
      <c r="D20" s="113">
        <v>0.2</v>
      </c>
      <c r="E20" s="114" t="str">
        <f t="shared" si="0"/>
        <v>No</v>
      </c>
    </row>
    <row r="21" spans="1:5" ht="14.25" customHeight="1">
      <c r="A21" s="118" t="s">
        <v>54</v>
      </c>
      <c r="B21" s="112">
        <v>136430</v>
      </c>
      <c r="C21" s="112">
        <v>136002</v>
      </c>
      <c r="D21" s="113">
        <v>-0.3</v>
      </c>
      <c r="E21" s="114" t="str">
        <f t="shared" si="0"/>
        <v>No</v>
      </c>
    </row>
    <row r="22" spans="1:5" ht="14.25" customHeight="1">
      <c r="A22" s="118" t="s">
        <v>55</v>
      </c>
      <c r="B22" s="112">
        <v>187921</v>
      </c>
      <c r="C22" s="112">
        <v>190624</v>
      </c>
      <c r="D22" s="113">
        <v>1.4</v>
      </c>
      <c r="E22" s="114" t="str">
        <f t="shared" si="0"/>
        <v>No</v>
      </c>
    </row>
    <row r="23" spans="1:5" ht="14.25" customHeight="1">
      <c r="A23" s="118" t="s">
        <v>56</v>
      </c>
      <c r="B23" s="112">
        <v>18598</v>
      </c>
      <c r="C23" s="112">
        <v>18577</v>
      </c>
      <c r="D23" s="113">
        <v>-0.1</v>
      </c>
      <c r="E23" s="114" t="str">
        <f t="shared" si="0"/>
        <v>No</v>
      </c>
    </row>
    <row r="24" spans="1:5" ht="14.25" customHeight="1">
      <c r="A24" s="118" t="s">
        <v>57</v>
      </c>
      <c r="B24" s="112">
        <v>896101</v>
      </c>
      <c r="C24" s="112">
        <v>905801</v>
      </c>
      <c r="D24" s="113">
        <v>1.1</v>
      </c>
      <c r="E24" s="114" t="str">
        <f t="shared" si="0"/>
        <v>Yes</v>
      </c>
    </row>
    <row r="25" spans="1:5" ht="14.25" customHeight="1">
      <c r="A25" s="118" t="s">
        <v>58</v>
      </c>
      <c r="B25" s="112">
        <v>149559</v>
      </c>
      <c r="C25" s="112">
        <v>151662</v>
      </c>
      <c r="D25" s="113">
        <v>1.4</v>
      </c>
      <c r="E25" s="114" t="str">
        <f t="shared" si="0"/>
        <v>No</v>
      </c>
    </row>
    <row r="26" spans="1:5" ht="14.25" customHeight="1">
      <c r="A26" s="118" t="s">
        <v>59</v>
      </c>
      <c r="B26" s="112">
        <v>64740</v>
      </c>
      <c r="C26" s="112">
        <v>65081</v>
      </c>
      <c r="D26" s="113">
        <v>0.5</v>
      </c>
      <c r="E26" s="114" t="str">
        <f t="shared" si="0"/>
        <v>No</v>
      </c>
    </row>
    <row r="27" spans="1:5" ht="14.25" customHeight="1">
      <c r="A27" s="118" t="s">
        <v>60</v>
      </c>
      <c r="B27" s="112">
        <v>30661</v>
      </c>
      <c r="C27" s="112">
        <v>30911</v>
      </c>
      <c r="D27" s="113">
        <v>0.8</v>
      </c>
      <c r="E27" s="114" t="str">
        <f t="shared" si="0"/>
        <v>No</v>
      </c>
    </row>
    <row r="28" spans="1:5" ht="14.25" customHeight="1">
      <c r="A28" s="118" t="s">
        <v>61</v>
      </c>
      <c r="B28" s="112">
        <v>10231271</v>
      </c>
      <c r="C28" s="112">
        <v>10283729</v>
      </c>
      <c r="D28" s="113">
        <v>0.5</v>
      </c>
      <c r="E28" s="114" t="str">
        <f t="shared" si="0"/>
        <v>Yes</v>
      </c>
    </row>
    <row r="29" spans="1:5" ht="14.25" customHeight="1">
      <c r="A29" s="118" t="s">
        <v>62</v>
      </c>
      <c r="B29" s="112">
        <v>156963</v>
      </c>
      <c r="C29" s="112">
        <v>158894</v>
      </c>
      <c r="D29" s="113">
        <v>1.2</v>
      </c>
      <c r="E29" s="114" t="str">
        <f t="shared" si="0"/>
        <v>No</v>
      </c>
    </row>
    <row r="30" spans="1:5" ht="14.25" customHeight="1">
      <c r="A30" s="118" t="s">
        <v>63</v>
      </c>
      <c r="B30" s="112">
        <v>263262</v>
      </c>
      <c r="C30" s="112">
        <v>263886</v>
      </c>
      <c r="D30" s="113">
        <v>0.2</v>
      </c>
      <c r="E30" s="114" t="str">
        <f t="shared" si="0"/>
        <v>Yes</v>
      </c>
    </row>
    <row r="31" spans="1:5" ht="14.25" customHeight="1">
      <c r="A31" s="118" t="s">
        <v>64</v>
      </c>
      <c r="B31" s="112">
        <v>18137</v>
      </c>
      <c r="C31" s="112">
        <v>18129</v>
      </c>
      <c r="D31" s="113">
        <v>0</v>
      </c>
      <c r="E31" s="114" t="str">
        <f t="shared" si="0"/>
        <v>No</v>
      </c>
    </row>
    <row r="32" spans="1:5" ht="14.25" customHeight="1">
      <c r="A32" s="118" t="s">
        <v>65</v>
      </c>
      <c r="B32" s="112">
        <v>89092</v>
      </c>
      <c r="C32" s="112">
        <v>89299</v>
      </c>
      <c r="D32" s="113">
        <v>0.2</v>
      </c>
      <c r="E32" s="114" t="str">
        <f t="shared" si="0"/>
        <v>No</v>
      </c>
    </row>
    <row r="33" spans="1:5" ht="14.25" customHeight="1">
      <c r="A33" s="118" t="s">
        <v>66</v>
      </c>
      <c r="B33" s="112">
        <v>275104</v>
      </c>
      <c r="C33" s="112">
        <v>279977</v>
      </c>
      <c r="D33" s="113">
        <v>1.8</v>
      </c>
      <c r="E33" s="114" t="str">
        <f t="shared" si="0"/>
        <v>Yes</v>
      </c>
    </row>
    <row r="34" spans="1:5" ht="14.25" customHeight="1">
      <c r="A34" s="118" t="s">
        <v>67</v>
      </c>
      <c r="B34" s="112">
        <v>9562</v>
      </c>
      <c r="C34" s="112">
        <v>9612</v>
      </c>
      <c r="D34" s="113">
        <v>0.5</v>
      </c>
      <c r="E34" s="114" t="str">
        <f t="shared" si="0"/>
        <v>No</v>
      </c>
    </row>
    <row r="35" spans="1:5" ht="14.25" customHeight="1">
      <c r="A35" s="118" t="s">
        <v>68</v>
      </c>
      <c r="B35" s="112">
        <v>13759</v>
      </c>
      <c r="C35" s="112">
        <v>13822</v>
      </c>
      <c r="D35" s="113">
        <v>0.5</v>
      </c>
      <c r="E35" s="114" t="str">
        <f t="shared" si="0"/>
        <v>No</v>
      </c>
    </row>
    <row r="36" spans="1:5" ht="14.25" customHeight="1">
      <c r="A36" s="118" t="s">
        <v>69</v>
      </c>
      <c r="B36" s="112">
        <v>442149</v>
      </c>
      <c r="C36" s="112">
        <v>443281</v>
      </c>
      <c r="D36" s="113">
        <v>0.3</v>
      </c>
      <c r="E36" s="114" t="str">
        <f t="shared" si="0"/>
        <v>Yes</v>
      </c>
    </row>
    <row r="37" spans="1:5" ht="14.25" customHeight="1">
      <c r="A37" s="118" t="s">
        <v>70</v>
      </c>
      <c r="B37" s="112">
        <v>141784</v>
      </c>
      <c r="C37" s="112">
        <v>141294</v>
      </c>
      <c r="D37" s="113">
        <v>-0.3</v>
      </c>
      <c r="E37" s="114" t="str">
        <f t="shared" si="0"/>
        <v>No</v>
      </c>
    </row>
    <row r="38" spans="1:5" ht="14.25" customHeight="1">
      <c r="A38" s="118" t="s">
        <v>71</v>
      </c>
      <c r="B38" s="112">
        <v>98613</v>
      </c>
      <c r="C38" s="112">
        <v>99155</v>
      </c>
      <c r="D38" s="113">
        <v>0.5</v>
      </c>
      <c r="E38" s="114" t="str">
        <f t="shared" si="0"/>
        <v>No</v>
      </c>
    </row>
    <row r="39" spans="1:5" ht="14.25" customHeight="1">
      <c r="A39" s="118" t="s">
        <v>72</v>
      </c>
      <c r="B39" s="112">
        <v>3198968</v>
      </c>
      <c r="C39" s="112">
        <v>3221103</v>
      </c>
      <c r="D39" s="113">
        <v>0.7</v>
      </c>
      <c r="E39" s="114" t="str">
        <f t="shared" si="0"/>
        <v>Yes</v>
      </c>
    </row>
    <row r="40" spans="1:5" ht="14.25" customHeight="1">
      <c r="A40" s="118" t="s">
        <v>73</v>
      </c>
      <c r="B40" s="112">
        <v>383173</v>
      </c>
      <c r="C40" s="112">
        <v>389532</v>
      </c>
      <c r="D40" s="113">
        <v>1.7</v>
      </c>
      <c r="E40" s="114" t="str">
        <f t="shared" si="0"/>
        <v>Yes</v>
      </c>
    </row>
    <row r="41" spans="1:5" ht="14.25" customHeight="1">
      <c r="A41" s="118" t="s">
        <v>74</v>
      </c>
      <c r="B41" s="112">
        <v>19818</v>
      </c>
      <c r="C41" s="112">
        <v>19773</v>
      </c>
      <c r="D41" s="113">
        <v>-0.2</v>
      </c>
      <c r="E41" s="114" t="str">
        <f t="shared" si="0"/>
        <v>No</v>
      </c>
    </row>
    <row r="42" spans="1:5" ht="14.25" customHeight="1">
      <c r="A42" s="118" t="s">
        <v>75</v>
      </c>
      <c r="B42" s="112">
        <v>2382640</v>
      </c>
      <c r="C42" s="112">
        <v>2415955</v>
      </c>
      <c r="D42" s="113">
        <v>1.4</v>
      </c>
      <c r="E42" s="114" t="str">
        <f t="shared" si="0"/>
        <v>Yes</v>
      </c>
    </row>
    <row r="43" spans="1:5" ht="14.25" customHeight="1">
      <c r="A43" s="118" t="s">
        <v>76</v>
      </c>
      <c r="B43" s="112">
        <v>1513415</v>
      </c>
      <c r="C43" s="112">
        <v>1529501</v>
      </c>
      <c r="D43" s="113">
        <v>1.1</v>
      </c>
      <c r="E43" s="114" t="str">
        <f t="shared" si="0"/>
        <v>Yes</v>
      </c>
    </row>
    <row r="44" spans="1:5" ht="14.25" customHeight="1">
      <c r="A44" s="118" t="s">
        <v>77</v>
      </c>
      <c r="B44" s="112">
        <v>56879</v>
      </c>
      <c r="C44" s="112">
        <v>57088</v>
      </c>
      <c r="D44" s="113">
        <v>0.4</v>
      </c>
      <c r="E44" s="114" t="str">
        <f t="shared" si="0"/>
        <v>No</v>
      </c>
    </row>
    <row r="45" spans="1:5" ht="14.25" customHeight="1">
      <c r="A45" s="118" t="s">
        <v>78</v>
      </c>
      <c r="B45" s="112">
        <v>2155590</v>
      </c>
      <c r="C45" s="112">
        <v>2174938</v>
      </c>
      <c r="D45" s="113">
        <v>0.9</v>
      </c>
      <c r="E45" s="114" t="str">
        <f t="shared" si="0"/>
        <v>Yes</v>
      </c>
    </row>
    <row r="46" spans="1:5" ht="14.25" customHeight="1">
      <c r="A46" s="118" t="s">
        <v>79</v>
      </c>
      <c r="B46" s="112">
        <v>3309509</v>
      </c>
      <c r="C46" s="112">
        <v>3337456</v>
      </c>
      <c r="D46" s="113">
        <v>0.8</v>
      </c>
      <c r="E46" s="114" t="str">
        <f t="shared" si="0"/>
        <v>Yes</v>
      </c>
    </row>
    <row r="47" spans="1:5" ht="14.25" customHeight="1">
      <c r="A47" s="118" t="s">
        <v>80</v>
      </c>
      <c r="B47" s="112">
        <v>874008</v>
      </c>
      <c r="C47" s="112">
        <v>883963</v>
      </c>
      <c r="D47" s="113">
        <v>1.1</v>
      </c>
      <c r="E47" s="114" t="str">
        <f t="shared" si="0"/>
        <v>Yes</v>
      </c>
    </row>
    <row r="48" spans="1:5" ht="14.25" customHeight="1">
      <c r="A48" s="118" t="s">
        <v>81</v>
      </c>
      <c r="B48" s="112">
        <v>747263</v>
      </c>
      <c r="C48" s="112">
        <v>758744</v>
      </c>
      <c r="D48" s="113">
        <v>1.5</v>
      </c>
      <c r="E48" s="114" t="str">
        <f t="shared" si="0"/>
        <v>Yes</v>
      </c>
    </row>
    <row r="49" spans="1:5" ht="14.25" customHeight="1">
      <c r="A49" s="118" t="s">
        <v>82</v>
      </c>
      <c r="B49" s="112">
        <v>279210</v>
      </c>
      <c r="C49" s="112">
        <v>280101</v>
      </c>
      <c r="D49" s="113">
        <v>0.3</v>
      </c>
      <c r="E49" s="114" t="str">
        <f t="shared" si="0"/>
        <v>Yes</v>
      </c>
    </row>
    <row r="50" spans="1:5" ht="14.25" customHeight="1">
      <c r="A50" s="118" t="s">
        <v>83</v>
      </c>
      <c r="B50" s="112">
        <v>770256</v>
      </c>
      <c r="C50" s="112">
        <v>774155</v>
      </c>
      <c r="D50" s="113">
        <v>0.5</v>
      </c>
      <c r="E50" s="114" t="str">
        <f t="shared" si="0"/>
        <v>Yes</v>
      </c>
    </row>
    <row r="51" spans="1:5" ht="14.25" customHeight="1">
      <c r="A51" s="118" t="s">
        <v>84</v>
      </c>
      <c r="B51" s="112">
        <v>450025</v>
      </c>
      <c r="C51" s="112">
        <v>453457</v>
      </c>
      <c r="D51" s="113">
        <v>0.8</v>
      </c>
      <c r="E51" s="114" t="str">
        <f t="shared" si="0"/>
        <v>Yes</v>
      </c>
    </row>
    <row r="52" spans="1:5" ht="14.25" customHeight="1">
      <c r="A52" s="118" t="s">
        <v>85</v>
      </c>
      <c r="B52" s="112">
        <v>1937473</v>
      </c>
      <c r="C52" s="112">
        <v>1956598</v>
      </c>
      <c r="D52" s="113">
        <v>1</v>
      </c>
      <c r="E52" s="114" t="str">
        <f t="shared" si="0"/>
        <v>Yes</v>
      </c>
    </row>
    <row r="53" spans="1:5" ht="14.25" customHeight="1">
      <c r="A53" s="118" t="s">
        <v>86</v>
      </c>
      <c r="B53" s="112">
        <v>276504</v>
      </c>
      <c r="C53" s="112">
        <v>276864</v>
      </c>
      <c r="D53" s="113">
        <v>0.1</v>
      </c>
      <c r="E53" s="114" t="str">
        <f t="shared" si="0"/>
        <v>Yes</v>
      </c>
    </row>
    <row r="54" spans="1:5" ht="14.25" customHeight="1">
      <c r="A54" s="118" t="s">
        <v>87</v>
      </c>
      <c r="B54" s="112">
        <v>178148</v>
      </c>
      <c r="C54" s="112">
        <v>178271</v>
      </c>
      <c r="D54" s="113">
        <v>0.1</v>
      </c>
      <c r="E54" s="114" t="str">
        <f t="shared" si="0"/>
        <v>No</v>
      </c>
    </row>
    <row r="55" spans="1:5" ht="14.25" customHeight="1">
      <c r="A55" s="118" t="s">
        <v>88</v>
      </c>
      <c r="B55" s="112">
        <v>3203</v>
      </c>
      <c r="C55" s="112">
        <v>3207</v>
      </c>
      <c r="D55" s="113">
        <v>0.1</v>
      </c>
      <c r="E55" s="114" t="str">
        <f t="shared" si="0"/>
        <v>No</v>
      </c>
    </row>
    <row r="56" spans="1:5" ht="14.25" customHeight="1">
      <c r="A56" s="118" t="s">
        <v>89</v>
      </c>
      <c r="B56" s="112">
        <v>44655</v>
      </c>
      <c r="C56" s="112">
        <v>44612</v>
      </c>
      <c r="D56" s="113">
        <v>-0.1</v>
      </c>
      <c r="E56" s="114" t="str">
        <f t="shared" si="0"/>
        <v>No</v>
      </c>
    </row>
    <row r="57" spans="1:5" ht="14.25" customHeight="1">
      <c r="A57" s="118" t="s">
        <v>90</v>
      </c>
      <c r="B57" s="112">
        <v>436640</v>
      </c>
      <c r="C57" s="112">
        <v>439793</v>
      </c>
      <c r="D57" s="113">
        <v>0.7</v>
      </c>
      <c r="E57" s="114" t="str">
        <f t="shared" si="0"/>
        <v>Yes</v>
      </c>
    </row>
    <row r="58" spans="1:5" ht="14.25" customHeight="1">
      <c r="A58" s="118" t="s">
        <v>91</v>
      </c>
      <c r="B58" s="112">
        <v>504613</v>
      </c>
      <c r="C58" s="112">
        <v>503332</v>
      </c>
      <c r="D58" s="113">
        <v>-0.3</v>
      </c>
      <c r="E58" s="114" t="str">
        <f t="shared" si="0"/>
        <v>Yes</v>
      </c>
    </row>
    <row r="59" spans="1:5" ht="14.25" customHeight="1">
      <c r="A59" s="118" t="s">
        <v>92</v>
      </c>
      <c r="B59" s="112">
        <v>549976</v>
      </c>
      <c r="C59" s="112">
        <v>555624</v>
      </c>
      <c r="D59" s="113">
        <v>1</v>
      </c>
      <c r="E59" s="114" t="str">
        <f t="shared" si="0"/>
        <v>Yes</v>
      </c>
    </row>
    <row r="60" spans="1:5" ht="14.25" customHeight="1">
      <c r="A60" s="118" t="s">
        <v>204</v>
      </c>
      <c r="B60" s="112">
        <v>96919</v>
      </c>
      <c r="C60" s="112">
        <v>97238</v>
      </c>
      <c r="D60" s="113">
        <v>0.3</v>
      </c>
      <c r="E60" s="114" t="str">
        <f t="shared" si="0"/>
        <v>No</v>
      </c>
    </row>
    <row r="61" spans="1:5" ht="14.25" customHeight="1">
      <c r="A61" s="118" t="s">
        <v>93</v>
      </c>
      <c r="B61" s="112">
        <v>63949</v>
      </c>
      <c r="C61" s="112">
        <v>64039</v>
      </c>
      <c r="D61" s="113">
        <v>0.1</v>
      </c>
      <c r="E61" s="114" t="str">
        <f t="shared" si="0"/>
        <v>No</v>
      </c>
    </row>
    <row r="62" spans="1:5" ht="14.25" customHeight="1">
      <c r="A62" s="118" t="s">
        <v>95</v>
      </c>
      <c r="B62" s="112">
        <v>13634</v>
      </c>
      <c r="C62" s="112">
        <v>13635</v>
      </c>
      <c r="D62" s="113">
        <v>0</v>
      </c>
      <c r="E62" s="114" t="str">
        <f t="shared" si="0"/>
        <v>No</v>
      </c>
    </row>
    <row r="63" spans="1:5" ht="14.25" customHeight="1">
      <c r="A63" s="118" t="s">
        <v>96</v>
      </c>
      <c r="B63" s="112">
        <v>470716</v>
      </c>
      <c r="C63" s="112">
        <v>475834</v>
      </c>
      <c r="D63" s="113">
        <v>1.1</v>
      </c>
      <c r="E63" s="114" t="str">
        <f t="shared" si="0"/>
        <v>Yes</v>
      </c>
    </row>
    <row r="64" spans="1:5" ht="14.25" customHeight="1">
      <c r="A64" s="118" t="s">
        <v>97</v>
      </c>
      <c r="B64" s="112">
        <v>54725</v>
      </c>
      <c r="C64" s="112">
        <v>54740</v>
      </c>
      <c r="D64" s="113">
        <v>0</v>
      </c>
      <c r="E64" s="114" t="str">
        <f t="shared" si="0"/>
        <v>No</v>
      </c>
    </row>
    <row r="65" spans="1:5" ht="14.25" customHeight="1">
      <c r="A65" s="118" t="s">
        <v>98</v>
      </c>
      <c r="B65" s="112">
        <v>855910</v>
      </c>
      <c r="C65" s="112">
        <v>859073</v>
      </c>
      <c r="D65" s="113">
        <v>0.4</v>
      </c>
      <c r="E65" s="114" t="str">
        <f t="shared" si="0"/>
        <v>Yes</v>
      </c>
    </row>
    <row r="66" spans="1:5" ht="14.25" customHeight="1">
      <c r="A66" s="118" t="s">
        <v>99</v>
      </c>
      <c r="B66" s="112">
        <v>218673</v>
      </c>
      <c r="C66" s="112">
        <v>221270</v>
      </c>
      <c r="D66" s="113">
        <v>1.2</v>
      </c>
      <c r="E66" s="114" t="str">
        <f t="shared" si="0"/>
        <v>Yes</v>
      </c>
    </row>
    <row r="67" spans="1:5" ht="14.25" customHeight="1" thickBot="1">
      <c r="A67" s="119" t="s">
        <v>205</v>
      </c>
      <c r="B67" s="120">
        <v>74645</v>
      </c>
      <c r="C67" s="120">
        <v>74727</v>
      </c>
      <c r="D67" s="121">
        <v>0.1</v>
      </c>
      <c r="E67" s="195" t="str">
        <f t="shared" si="0"/>
        <v>No</v>
      </c>
    </row>
    <row r="68" spans="1:6" ht="14.25" customHeight="1" thickBot="1">
      <c r="A68" s="118"/>
      <c r="B68" s="112"/>
      <c r="C68" s="112"/>
      <c r="D68" s="113"/>
      <c r="E68" s="135"/>
      <c r="F68" s="128"/>
    </row>
    <row r="69" spans="1:5" ht="15">
      <c r="A69" s="122" t="s">
        <v>101</v>
      </c>
      <c r="B69" s="123">
        <f>B60+B67</f>
        <v>171564</v>
      </c>
      <c r="C69" s="123">
        <f>C60+C67</f>
        <v>171965</v>
      </c>
      <c r="D69" s="124"/>
      <c r="E69" s="125" t="str">
        <f t="shared" si="0"/>
        <v>No</v>
      </c>
    </row>
    <row r="70" spans="1:5" ht="15">
      <c r="A70" s="126" t="s">
        <v>45</v>
      </c>
      <c r="B70" s="127">
        <v>120700</v>
      </c>
      <c r="C70" s="127">
        <v>121874</v>
      </c>
      <c r="D70" s="128">
        <v>1</v>
      </c>
      <c r="E70" s="129" t="str">
        <f t="shared" si="0"/>
        <v>No</v>
      </c>
    </row>
    <row r="71" spans="1:5" ht="15.75" thickBot="1">
      <c r="A71" s="130" t="s">
        <v>94</v>
      </c>
      <c r="B71" s="131">
        <f>B73+B74+B75</f>
        <v>224180</v>
      </c>
      <c r="C71" s="131">
        <f>C73+C74+C75</f>
        <v>225393</v>
      </c>
      <c r="D71" s="132"/>
      <c r="E71" s="133" t="str">
        <f t="shared" si="0"/>
        <v>Yes</v>
      </c>
    </row>
    <row r="72" spans="1:5" ht="15">
      <c r="A72" s="87"/>
      <c r="B72" s="134"/>
      <c r="C72" s="134"/>
      <c r="D72" s="128"/>
      <c r="E72" s="135"/>
    </row>
    <row r="73" spans="1:5" ht="15">
      <c r="A73" s="196" t="s">
        <v>317</v>
      </c>
      <c r="B73" s="197">
        <v>36293</v>
      </c>
      <c r="C73" s="136">
        <v>36446</v>
      </c>
      <c r="D73" s="128">
        <v>0.4</v>
      </c>
      <c r="E73" s="135"/>
    </row>
    <row r="74" spans="1:5" ht="15">
      <c r="A74" s="196" t="s">
        <v>318</v>
      </c>
      <c r="B74" s="197">
        <v>33169</v>
      </c>
      <c r="C74" s="136">
        <v>33260</v>
      </c>
      <c r="D74" s="128">
        <v>0.3</v>
      </c>
      <c r="E74" s="135"/>
    </row>
    <row r="75" spans="1:5" ht="15">
      <c r="A75" s="196" t="s">
        <v>319</v>
      </c>
      <c r="B75" s="197">
        <v>154718</v>
      </c>
      <c r="C75" s="136">
        <v>155687</v>
      </c>
      <c r="D75" s="128">
        <v>0.6</v>
      </c>
      <c r="E75" s="135"/>
    </row>
    <row r="76" spans="1:5" ht="15">
      <c r="A76" s="128"/>
      <c r="B76" s="134"/>
      <c r="C76" s="134"/>
      <c r="D76" s="128"/>
      <c r="E76" s="135"/>
    </row>
    <row r="77" spans="1:5" ht="15">
      <c r="A77" s="128"/>
      <c r="B77" s="134"/>
      <c r="C77" s="134"/>
      <c r="D77" s="128"/>
      <c r="E77" s="135"/>
    </row>
    <row r="78" spans="1:5" ht="15.75">
      <c r="A78" s="137" t="s">
        <v>206</v>
      </c>
      <c r="B78" s="138"/>
      <c r="C78" s="138"/>
      <c r="D78" s="138"/>
      <c r="E78" s="138"/>
    </row>
    <row r="79" spans="1:5" ht="15.75">
      <c r="A79" s="137" t="s">
        <v>207</v>
      </c>
      <c r="B79" s="138"/>
      <c r="C79" s="138"/>
      <c r="D79" s="138"/>
      <c r="E79" s="138"/>
    </row>
    <row r="80" spans="1:5" ht="15.75">
      <c r="A80" s="137" t="s">
        <v>208</v>
      </c>
      <c r="B80" s="138"/>
      <c r="C80" s="138"/>
      <c r="D80" s="138"/>
      <c r="E80" s="138"/>
    </row>
    <row r="81" spans="1:5" ht="15.75">
      <c r="A81" s="138"/>
      <c r="B81" s="138"/>
      <c r="C81" s="138"/>
      <c r="D81" s="138"/>
      <c r="E81" s="138"/>
    </row>
    <row r="82" spans="1:5" ht="15.75">
      <c r="A82" s="139" t="s">
        <v>209</v>
      </c>
      <c r="B82" s="138"/>
      <c r="C82" s="138"/>
      <c r="D82" s="138"/>
      <c r="E82" s="138"/>
    </row>
    <row r="83" spans="1:5" ht="15.75">
      <c r="A83" s="139" t="s">
        <v>210</v>
      </c>
      <c r="B83" s="138"/>
      <c r="C83" s="138"/>
      <c r="D83" s="138"/>
      <c r="E83" s="138"/>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1:G19"/>
  <sheetViews>
    <sheetView showGridLines="0" tabSelected="1" zoomScale="70" zoomScaleNormal="70" zoomScaleSheetLayoutView="70" zoomScalePageLayoutView="0" workbookViewId="0" topLeftCell="A4">
      <selection activeCell="C15" sqref="C15"/>
    </sheetView>
  </sheetViews>
  <sheetFormatPr defaultColWidth="0" defaultRowHeight="15" zeroHeight="1"/>
  <cols>
    <col min="1" max="1" width="2.7109375" style="15" customWidth="1"/>
    <col min="2" max="2" width="44.28125" style="15" customWidth="1"/>
    <col min="3" max="3" width="98.8515625" style="15" customWidth="1"/>
    <col min="4" max="13" width="9.140625" style="15" customWidth="1"/>
    <col min="14" max="16" width="9.140625" style="15" hidden="1" customWidth="1"/>
    <col min="17" max="16384" width="9.140625" style="15" hidden="1" customWidth="1"/>
  </cols>
  <sheetData>
    <row r="1" ht="15">
      <c r="A1" s="221" t="s">
        <v>364</v>
      </c>
    </row>
    <row r="2" spans="1:3" ht="15">
      <c r="A2" s="2"/>
      <c r="B2" s="222" t="str">
        <f>'1. Information'!B2</f>
        <v>Version 7/1/2018</v>
      </c>
      <c r="C2" s="2"/>
    </row>
    <row r="3" spans="1:3" ht="21" customHeight="1">
      <c r="A3" s="2"/>
      <c r="B3" s="223" t="str">
        <f>'1. Information'!B3</f>
        <v>Annual Mental Health Services Act Revenue and Expenditure Report</v>
      </c>
      <c r="C3" s="2"/>
    </row>
    <row r="4" spans="1:3" ht="18">
      <c r="A4" s="2"/>
      <c r="B4" s="224" t="str">
        <f>'1. Information'!B4</f>
        <v>Fiscal Year 2017-18</v>
      </c>
      <c r="C4" s="2"/>
    </row>
    <row r="5" ht="18">
      <c r="B5" s="225" t="s">
        <v>282</v>
      </c>
    </row>
    <row r="6" ht="15.75">
      <c r="B6" s="20"/>
    </row>
    <row r="7" spans="2:6" ht="39.75" customHeight="1">
      <c r="B7" s="423" t="s">
        <v>280</v>
      </c>
      <c r="C7" s="421"/>
      <c r="F7" s="145"/>
    </row>
    <row r="8" spans="2:7" ht="55.5" customHeight="1">
      <c r="B8" s="424" t="s">
        <v>281</v>
      </c>
      <c r="C8" s="425"/>
      <c r="F8" s="143"/>
      <c r="G8" s="145"/>
    </row>
    <row r="9" spans="2:6" ht="39.75" customHeight="1">
      <c r="B9" s="424" t="s">
        <v>279</v>
      </c>
      <c r="C9" s="425"/>
      <c r="E9" s="143"/>
      <c r="F9" s="144"/>
    </row>
    <row r="10" spans="2:4" ht="39.75" customHeight="1">
      <c r="B10" s="425" t="s">
        <v>264</v>
      </c>
      <c r="C10" s="425"/>
      <c r="D10" s="142"/>
    </row>
    <row r="11" ht="15"/>
    <row r="12" spans="2:3" ht="29.25" customHeight="1">
      <c r="B12" s="421" t="s">
        <v>266</v>
      </c>
      <c r="C12" s="422" t="s">
        <v>272</v>
      </c>
    </row>
    <row r="13" spans="2:3" ht="18" customHeight="1">
      <c r="B13" s="421"/>
      <c r="C13" s="421"/>
    </row>
    <row r="14" spans="2:3" ht="60.75" customHeight="1">
      <c r="B14" s="418" t="s">
        <v>267</v>
      </c>
      <c r="C14" s="226" t="s">
        <v>311</v>
      </c>
    </row>
    <row r="15" spans="2:3" ht="68.25" customHeight="1">
      <c r="B15" s="419"/>
      <c r="C15" s="227" t="s">
        <v>321</v>
      </c>
    </row>
    <row r="16" spans="2:3" ht="66" customHeight="1">
      <c r="B16" s="420"/>
      <c r="C16" s="226" t="s">
        <v>305</v>
      </c>
    </row>
    <row r="17" spans="2:3" ht="53.25" customHeight="1">
      <c r="B17" s="228" t="s">
        <v>268</v>
      </c>
      <c r="C17" s="228" t="s">
        <v>265</v>
      </c>
    </row>
    <row r="18" spans="2:3" ht="54" customHeight="1">
      <c r="B18" s="228" t="s">
        <v>269</v>
      </c>
      <c r="C18" s="229" t="s">
        <v>320</v>
      </c>
    </row>
    <row r="19" ht="50.25" customHeight="1">
      <c r="B19" s="150"/>
    </row>
    <row r="20" ht="15" hidden="1"/>
    <row r="21" ht="15" hidden="1"/>
    <row r="22" ht="15" hidden="1"/>
    <row r="23" ht="15" hidden="1"/>
    <row r="24" ht="15" hidden="1"/>
    <row r="25" ht="15" hidden="1"/>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E17"/>
  <sheetViews>
    <sheetView showGridLines="0" zoomScale="80" zoomScaleNormal="80" zoomScalePageLayoutView="0" workbookViewId="0" topLeftCell="A1">
      <selection activeCell="A1" sqref="A1"/>
    </sheetView>
  </sheetViews>
  <sheetFormatPr defaultColWidth="0" defaultRowHeight="15" zeroHeight="1"/>
  <cols>
    <col min="1" max="1" width="2.7109375" style="48" customWidth="1"/>
    <col min="2" max="2" width="6.7109375" style="238" customWidth="1"/>
    <col min="3" max="4" width="50.7109375" style="238" customWidth="1"/>
    <col min="5" max="7" width="9.140625" style="48" hidden="1" customWidth="1"/>
    <col min="8" max="16384" width="11.57421875" style="48" hidden="1" customWidth="1"/>
  </cols>
  <sheetData>
    <row r="1" spans="1:4" ht="15">
      <c r="A1" s="221" t="s">
        <v>364</v>
      </c>
      <c r="B1" s="48"/>
      <c r="C1" s="48"/>
      <c r="D1" s="48"/>
    </row>
    <row r="2" spans="2:4" ht="15.75">
      <c r="B2" s="222" t="s">
        <v>310</v>
      </c>
      <c r="C2" s="1"/>
      <c r="D2" s="1"/>
    </row>
    <row r="3" spans="2:4" ht="18">
      <c r="B3" s="230" t="s">
        <v>259</v>
      </c>
      <c r="C3" s="1"/>
      <c r="D3" s="1"/>
    </row>
    <row r="4" spans="2:4" ht="18">
      <c r="B4" s="230" t="s">
        <v>276</v>
      </c>
      <c r="C4" s="1"/>
      <c r="D4" s="1"/>
    </row>
    <row r="5" spans="2:5" ht="18">
      <c r="B5" s="230" t="s">
        <v>241</v>
      </c>
      <c r="C5" s="1"/>
      <c r="D5" s="1"/>
      <c r="E5" s="51"/>
    </row>
    <row r="6" spans="2:4" ht="15">
      <c r="B6" s="48"/>
      <c r="C6" s="48"/>
      <c r="D6" s="179"/>
    </row>
    <row r="7" spans="2:4" ht="34.5" customHeight="1">
      <c r="B7" s="231">
        <v>1</v>
      </c>
      <c r="C7" s="232" t="s">
        <v>2</v>
      </c>
      <c r="D7" s="155">
        <v>43462</v>
      </c>
    </row>
    <row r="8" spans="2:4" ht="34.5" customHeight="1">
      <c r="B8" s="231">
        <v>2</v>
      </c>
      <c r="C8" s="232" t="s">
        <v>1</v>
      </c>
      <c r="D8" s="189" t="s">
        <v>78</v>
      </c>
    </row>
    <row r="9" spans="2:4" ht="34.5" customHeight="1">
      <c r="B9" s="231">
        <v>3</v>
      </c>
      <c r="C9" s="233" t="s">
        <v>125</v>
      </c>
      <c r="D9" s="234">
        <f>IF(ISBLANK(D8),"",VLOOKUP(D8,Info_County_Code,2))</f>
        <v>36</v>
      </c>
    </row>
    <row r="10" spans="2:4" ht="34.5" customHeight="1">
      <c r="B10" s="231">
        <v>4</v>
      </c>
      <c r="C10" s="232" t="s">
        <v>126</v>
      </c>
      <c r="D10" s="215" t="s">
        <v>349</v>
      </c>
    </row>
    <row r="11" spans="2:4" ht="34.5" customHeight="1">
      <c r="B11" s="231">
        <v>5</v>
      </c>
      <c r="C11" s="232" t="s">
        <v>127</v>
      </c>
      <c r="D11" s="189" t="s">
        <v>78</v>
      </c>
    </row>
    <row r="12" spans="2:4" ht="34.5" customHeight="1">
      <c r="B12" s="231">
        <v>6</v>
      </c>
      <c r="C12" s="232" t="s">
        <v>128</v>
      </c>
      <c r="D12" s="156">
        <v>92415</v>
      </c>
    </row>
    <row r="13" spans="2:4" ht="34.5" customHeight="1">
      <c r="B13" s="231">
        <v>7</v>
      </c>
      <c r="C13" s="235" t="s">
        <v>185</v>
      </c>
      <c r="D13" s="236" t="str">
        <f>IF(ISBLANK(D8),"",VLOOKUP(D8,County_Population,5,FALSE))</f>
        <v>Yes</v>
      </c>
    </row>
    <row r="14" spans="2:4" ht="34.5" customHeight="1">
      <c r="B14" s="231">
        <v>8</v>
      </c>
      <c r="C14" s="232" t="s">
        <v>124</v>
      </c>
      <c r="D14" s="189" t="s">
        <v>350</v>
      </c>
    </row>
    <row r="15" spans="2:4" ht="34.5" customHeight="1">
      <c r="B15" s="231">
        <v>9</v>
      </c>
      <c r="C15" s="237" t="s">
        <v>193</v>
      </c>
      <c r="D15" s="216" t="s">
        <v>351</v>
      </c>
    </row>
    <row r="16" spans="2:4" ht="34.5" customHeight="1">
      <c r="B16" s="231">
        <v>10</v>
      </c>
      <c r="C16" s="237" t="s">
        <v>211</v>
      </c>
      <c r="D16" s="216" t="s">
        <v>352</v>
      </c>
    </row>
    <row r="17" spans="2:4" ht="34.5" customHeight="1">
      <c r="B17" s="231">
        <v>11</v>
      </c>
      <c r="C17" s="232" t="s">
        <v>194</v>
      </c>
      <c r="D17" s="217" t="s">
        <v>353</v>
      </c>
    </row>
    <row r="18" ht="15" hidden="1"/>
    <row r="19" ht="15" hidden="1"/>
    <row r="20" ht="15" hidden="1"/>
  </sheetData>
  <sheetProtection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N41"/>
  <sheetViews>
    <sheetView showGridLines="0" zoomScale="55" zoomScaleNormal="55" zoomScaleSheetLayoutView="40" zoomScalePageLayoutView="0" workbookViewId="0" topLeftCell="A1">
      <pane xSplit="3" ySplit="20" topLeftCell="D21" activePane="bottomRight" state="frozen"/>
      <selection pane="topLeft" activeCell="H20" sqref="H20"/>
      <selection pane="topRight" activeCell="H20" sqref="H20"/>
      <selection pane="bottomLeft" activeCell="H20" sqref="H20"/>
      <selection pane="bottomRight" activeCell="C14" sqref="C14"/>
    </sheetView>
  </sheetViews>
  <sheetFormatPr defaultColWidth="0" defaultRowHeight="15" zeroHeight="1"/>
  <cols>
    <col min="1" max="1" width="5.28125" style="182" customWidth="1"/>
    <col min="2" max="2" width="12.57421875" style="280" customWidth="1"/>
    <col min="3" max="3" width="60.7109375" style="280" customWidth="1"/>
    <col min="4" max="4" width="22.7109375" style="280" customWidth="1"/>
    <col min="5" max="13" width="22.7109375" style="160" customWidth="1"/>
    <col min="14" max="14" width="24.00390625" style="160" bestFit="1" customWidth="1"/>
    <col min="15" max="16384" width="9.140625" style="182" hidden="1" customWidth="1"/>
  </cols>
  <sheetData>
    <row r="1" spans="1:4" ht="15.75">
      <c r="A1" s="239" t="s">
        <v>365</v>
      </c>
      <c r="B1" s="160"/>
      <c r="C1" s="160"/>
      <c r="D1" s="160"/>
    </row>
    <row r="2" s="163" customFormat="1" ht="15">
      <c r="B2" s="222" t="str">
        <f>'1. Information'!B2</f>
        <v>Version 7/1/2018</v>
      </c>
    </row>
    <row r="3" spans="2:4" ht="21" customHeight="1">
      <c r="B3" s="240" t="str">
        <f>'1. Information'!B3</f>
        <v>Annual Mental Health Services Act Revenue and Expenditure Report</v>
      </c>
      <c r="C3" s="160"/>
      <c r="D3" s="160"/>
    </row>
    <row r="4" spans="2:8" ht="15.75">
      <c r="B4" s="241" t="str">
        <f>'1. Information'!B4</f>
        <v>Fiscal Year 2017-18</v>
      </c>
      <c r="C4" s="160"/>
      <c r="D4" s="16"/>
      <c r="E4" s="16"/>
      <c r="F4" s="16"/>
      <c r="G4" s="16"/>
      <c r="H4" s="16"/>
    </row>
    <row r="5" spans="2:8" ht="15.75">
      <c r="B5" s="241" t="s">
        <v>275</v>
      </c>
      <c r="C5" s="16"/>
      <c r="D5" s="16"/>
      <c r="E5" s="16"/>
      <c r="F5" s="16"/>
      <c r="G5" s="16"/>
      <c r="H5" s="16"/>
    </row>
    <row r="6" spans="2:8" ht="15.75">
      <c r="B6" s="160"/>
      <c r="C6" s="16"/>
      <c r="D6" s="16"/>
      <c r="E6" s="16"/>
      <c r="F6" s="16"/>
      <c r="G6" s="16"/>
      <c r="H6" s="16"/>
    </row>
    <row r="7" spans="2:7" ht="15.75">
      <c r="B7" s="242" t="s">
        <v>1</v>
      </c>
      <c r="C7" s="243" t="str">
        <f>IF(ISBLANK('1. Information'!D8),"",'1. Information'!D8)</f>
        <v>San Bernardino</v>
      </c>
      <c r="D7" s="160"/>
      <c r="F7" s="244" t="s">
        <v>2</v>
      </c>
      <c r="G7" s="243">
        <f>IF(ISBLANK('1. Information'!D7),"",'1. Information'!D7)</f>
        <v>43462</v>
      </c>
    </row>
    <row r="8" spans="2:14" ht="15.75">
      <c r="B8" s="161"/>
      <c r="C8" s="161"/>
      <c r="D8" s="161"/>
      <c r="E8" s="161"/>
      <c r="F8" s="161"/>
      <c r="G8" s="45"/>
      <c r="H8" s="161"/>
      <c r="I8" s="161"/>
      <c r="J8" s="161"/>
      <c r="K8" s="161"/>
      <c r="L8" s="161"/>
      <c r="M8" s="161"/>
      <c r="N8" s="161"/>
    </row>
    <row r="9" spans="2:14" ht="15.75">
      <c r="B9" s="161"/>
      <c r="C9" s="161"/>
      <c r="D9" s="161"/>
      <c r="E9" s="161"/>
      <c r="F9" s="161"/>
      <c r="G9" s="45"/>
      <c r="H9" s="161"/>
      <c r="I9" s="161"/>
      <c r="J9" s="161"/>
      <c r="K9" s="161"/>
      <c r="L9" s="161"/>
      <c r="M9" s="161"/>
      <c r="N9" s="161"/>
    </row>
    <row r="10" spans="2:14" ht="15.75">
      <c r="B10" s="161"/>
      <c r="C10" s="161"/>
      <c r="D10" s="161"/>
      <c r="E10" s="161"/>
      <c r="F10" s="161"/>
      <c r="G10" s="45"/>
      <c r="H10" s="161"/>
      <c r="I10" s="161"/>
      <c r="J10" s="161"/>
      <c r="K10" s="161"/>
      <c r="L10" s="161"/>
      <c r="M10" s="161"/>
      <c r="N10" s="161"/>
    </row>
    <row r="11" spans="2:14" ht="15.75">
      <c r="B11" s="161"/>
      <c r="C11" s="161"/>
      <c r="D11" s="161"/>
      <c r="E11" s="161"/>
      <c r="F11" s="161"/>
      <c r="G11" s="45"/>
      <c r="H11" s="161"/>
      <c r="I11" s="161"/>
      <c r="J11" s="161"/>
      <c r="K11" s="161"/>
      <c r="L11" s="161"/>
      <c r="M11" s="161"/>
      <c r="N11" s="161"/>
    </row>
    <row r="12" spans="2:14" ht="15.75">
      <c r="B12" s="161"/>
      <c r="C12" s="161"/>
      <c r="D12" s="161"/>
      <c r="E12" s="161"/>
      <c r="F12" s="161"/>
      <c r="G12" s="45"/>
      <c r="H12" s="161"/>
      <c r="I12" s="161"/>
      <c r="J12" s="161"/>
      <c r="K12" s="161"/>
      <c r="L12" s="161"/>
      <c r="M12" s="161"/>
      <c r="N12" s="161"/>
    </row>
    <row r="13" spans="2:14" ht="15.75">
      <c r="B13" s="161"/>
      <c r="C13" s="161"/>
      <c r="D13" s="6"/>
      <c r="E13" s="161"/>
      <c r="F13" s="161"/>
      <c r="G13" s="45"/>
      <c r="H13" s="161"/>
      <c r="I13" s="161"/>
      <c r="J13" s="161"/>
      <c r="K13" s="161"/>
      <c r="L13" s="161"/>
      <c r="M13" s="161"/>
      <c r="N13" s="161"/>
    </row>
    <row r="14" spans="2:14" ht="15.75">
      <c r="B14" s="245" t="s">
        <v>308</v>
      </c>
      <c r="C14" s="246"/>
      <c r="D14" s="247" t="s">
        <v>25</v>
      </c>
      <c r="E14" s="161"/>
      <c r="F14" s="161"/>
      <c r="G14" s="45"/>
      <c r="H14" s="161"/>
      <c r="I14" s="161"/>
      <c r="J14" s="161"/>
      <c r="K14" s="161"/>
      <c r="L14" s="161"/>
      <c r="M14" s="161"/>
      <c r="N14" s="161"/>
    </row>
    <row r="15" spans="2:14" ht="15.75">
      <c r="B15" s="248">
        <v>1</v>
      </c>
      <c r="C15" s="249" t="s">
        <v>285</v>
      </c>
      <c r="D15" s="46">
        <v>1861814.0499999998</v>
      </c>
      <c r="E15" s="161"/>
      <c r="F15" s="161"/>
      <c r="G15" s="45"/>
      <c r="H15" s="161"/>
      <c r="I15" s="161"/>
      <c r="J15" s="161"/>
      <c r="K15" s="161"/>
      <c r="L15" s="161"/>
      <c r="M15" s="161"/>
      <c r="N15" s="161"/>
    </row>
    <row r="16" spans="2:14" ht="15.75">
      <c r="B16" s="250">
        <v>2</v>
      </c>
      <c r="C16" s="249" t="s">
        <v>306</v>
      </c>
      <c r="D16" s="202">
        <v>22152363</v>
      </c>
      <c r="E16" s="161"/>
      <c r="F16" s="161"/>
      <c r="G16" s="45"/>
      <c r="H16" s="161"/>
      <c r="I16" s="161"/>
      <c r="J16" s="161"/>
      <c r="K16" s="161"/>
      <c r="L16" s="161"/>
      <c r="M16" s="161"/>
      <c r="N16" s="161"/>
    </row>
    <row r="17" spans="2:14" ht="15.75">
      <c r="B17" s="250">
        <v>3</v>
      </c>
      <c r="C17" s="249" t="s">
        <v>312</v>
      </c>
      <c r="D17" s="251">
        <f>D16+M22+M27+SUM('9. Adjustment (MHSA)'!F83:F112)</f>
        <v>22152363</v>
      </c>
      <c r="E17" s="161"/>
      <c r="F17" s="161"/>
      <c r="G17" s="45"/>
      <c r="H17" s="161"/>
      <c r="I17" s="161"/>
      <c r="J17" s="161"/>
      <c r="K17" s="161"/>
      <c r="L17" s="161"/>
      <c r="M17" s="161"/>
      <c r="N17" s="161"/>
    </row>
    <row r="18" spans="2:14" ht="15.75">
      <c r="B18" s="161"/>
      <c r="C18" s="161"/>
      <c r="D18" s="182"/>
      <c r="E18" s="161"/>
      <c r="F18" s="161"/>
      <c r="G18" s="45"/>
      <c r="H18" s="161"/>
      <c r="I18" s="161"/>
      <c r="J18" s="161"/>
      <c r="K18" s="161"/>
      <c r="L18" s="161"/>
      <c r="M18" s="161"/>
      <c r="N18" s="161"/>
    </row>
    <row r="19" spans="2:14" ht="15.75">
      <c r="B19" s="252"/>
      <c r="C19" s="244"/>
      <c r="D19" s="244" t="s">
        <v>27</v>
      </c>
      <c r="E19" s="244" t="s">
        <v>29</v>
      </c>
      <c r="F19" s="244" t="s">
        <v>32</v>
      </c>
      <c r="G19" s="244" t="s">
        <v>246</v>
      </c>
      <c r="H19" s="244" t="s">
        <v>247</v>
      </c>
      <c r="I19" s="244" t="s">
        <v>248</v>
      </c>
      <c r="J19" s="244" t="s">
        <v>257</v>
      </c>
      <c r="K19" s="244" t="s">
        <v>249</v>
      </c>
      <c r="L19" s="244" t="s">
        <v>250</v>
      </c>
      <c r="M19" s="244" t="s">
        <v>251</v>
      </c>
      <c r="N19" s="244" t="s">
        <v>252</v>
      </c>
    </row>
    <row r="20" spans="2:14" ht="23.25" customHeight="1">
      <c r="B20" s="253"/>
      <c r="C20" s="254"/>
      <c r="D20" s="255" t="s">
        <v>34</v>
      </c>
      <c r="E20" s="255" t="s">
        <v>35</v>
      </c>
      <c r="F20" s="255" t="s">
        <v>36</v>
      </c>
      <c r="G20" s="255" t="s">
        <v>37</v>
      </c>
      <c r="H20" s="255" t="s">
        <v>38</v>
      </c>
      <c r="I20" s="255" t="s">
        <v>39</v>
      </c>
      <c r="J20" s="255" t="s">
        <v>40</v>
      </c>
      <c r="K20" s="255" t="s">
        <v>119</v>
      </c>
      <c r="L20" s="255" t="s">
        <v>41</v>
      </c>
      <c r="M20" s="255" t="s">
        <v>42</v>
      </c>
      <c r="N20" s="255" t="s">
        <v>25</v>
      </c>
    </row>
    <row r="21" spans="2:14" ht="24" customHeight="1">
      <c r="B21" s="245" t="s">
        <v>304</v>
      </c>
      <c r="C21" s="256"/>
      <c r="D21" s="257"/>
      <c r="E21" s="258"/>
      <c r="F21" s="259"/>
      <c r="G21" s="259"/>
      <c r="H21" s="259"/>
      <c r="I21" s="259"/>
      <c r="J21" s="259"/>
      <c r="K21" s="259"/>
      <c r="L21" s="259"/>
      <c r="M21" s="259"/>
      <c r="N21" s="260"/>
    </row>
    <row r="22" spans="2:14" ht="24" customHeight="1">
      <c r="B22" s="248">
        <v>4</v>
      </c>
      <c r="C22" s="261" t="s">
        <v>26</v>
      </c>
      <c r="D22" s="46"/>
      <c r="E22" s="46"/>
      <c r="F22" s="251"/>
      <c r="G22" s="262"/>
      <c r="H22" s="262"/>
      <c r="I22" s="263"/>
      <c r="J22" s="262"/>
      <c r="K22" s="263"/>
      <c r="L22" s="263"/>
      <c r="M22" s="264">
        <f>(-D22-E22)</f>
        <v>0</v>
      </c>
      <c r="N22" s="265">
        <f>SUM(D22:M22)</f>
        <v>0</v>
      </c>
    </row>
    <row r="23" spans="2:14" ht="24" customHeight="1">
      <c r="B23" s="250">
        <v>5</v>
      </c>
      <c r="C23" s="249" t="s">
        <v>277</v>
      </c>
      <c r="D23" s="264">
        <f>D15*0.76</f>
        <v>1414978.6779999998</v>
      </c>
      <c r="E23" s="266">
        <f>D15*0.19</f>
        <v>353744.66949999996</v>
      </c>
      <c r="F23" s="267">
        <f>D15*0.05</f>
        <v>93090.7025</v>
      </c>
      <c r="G23" s="262"/>
      <c r="H23" s="262"/>
      <c r="I23" s="262"/>
      <c r="J23" s="263"/>
      <c r="K23" s="262"/>
      <c r="L23" s="262"/>
      <c r="M23" s="262"/>
      <c r="N23" s="265">
        <f>SUM(D23:M23)</f>
        <v>1861814.0499999996</v>
      </c>
    </row>
    <row r="24" spans="2:14" ht="24" customHeight="1">
      <c r="B24" s="250">
        <v>6</v>
      </c>
      <c r="C24" s="268" t="s">
        <v>25</v>
      </c>
      <c r="D24" s="269">
        <f aca="true" t="shared" si="0" ref="D24:L24">SUM(D22:D23)</f>
        <v>1414978.6779999998</v>
      </c>
      <c r="E24" s="269">
        <f t="shared" si="0"/>
        <v>353744.66949999996</v>
      </c>
      <c r="F24" s="269">
        <f t="shared" si="0"/>
        <v>93090.7025</v>
      </c>
      <c r="G24" s="269">
        <f t="shared" si="0"/>
        <v>0</v>
      </c>
      <c r="H24" s="269">
        <f t="shared" si="0"/>
        <v>0</v>
      </c>
      <c r="I24" s="269">
        <f t="shared" si="0"/>
        <v>0</v>
      </c>
      <c r="J24" s="269">
        <f t="shared" si="0"/>
        <v>0</v>
      </c>
      <c r="K24" s="269">
        <f t="shared" si="0"/>
        <v>0</v>
      </c>
      <c r="L24" s="269">
        <f t="shared" si="0"/>
        <v>0</v>
      </c>
      <c r="M24" s="269">
        <v>0</v>
      </c>
      <c r="N24" s="270">
        <f>SUM(D24:M24)</f>
        <v>1861814.0499999996</v>
      </c>
    </row>
    <row r="25" spans="2:14" ht="24" customHeight="1">
      <c r="B25" s="183"/>
      <c r="C25" s="183"/>
      <c r="D25" s="183"/>
      <c r="E25" s="183"/>
      <c r="F25" s="183"/>
      <c r="G25" s="183"/>
      <c r="H25" s="183"/>
      <c r="I25" s="183"/>
      <c r="J25" s="183"/>
      <c r="K25" s="183"/>
      <c r="L25" s="183"/>
      <c r="M25" s="183"/>
      <c r="N25" s="183"/>
    </row>
    <row r="26" spans="1:14" s="274" customFormat="1" ht="24" customHeight="1">
      <c r="A26" s="182"/>
      <c r="B26" s="245" t="s">
        <v>302</v>
      </c>
      <c r="C26" s="256"/>
      <c r="D26" s="271"/>
      <c r="E26" s="272"/>
      <c r="F26" s="272"/>
      <c r="G26" s="272"/>
      <c r="H26" s="272"/>
      <c r="I26" s="272"/>
      <c r="J26" s="272"/>
      <c r="K26" s="272"/>
      <c r="L26" s="272"/>
      <c r="M26" s="272"/>
      <c r="N26" s="273"/>
    </row>
    <row r="27" spans="1:14" s="274" customFormat="1" ht="24" customHeight="1">
      <c r="A27" s="182"/>
      <c r="B27" s="248">
        <v>7</v>
      </c>
      <c r="C27" s="275" t="s">
        <v>284</v>
      </c>
      <c r="D27" s="264">
        <f>(G27+H27+M27)*-1</f>
        <v>0</v>
      </c>
      <c r="E27" s="263"/>
      <c r="F27" s="263"/>
      <c r="G27" s="264">
        <f>'3. CSS'!F20</f>
        <v>0</v>
      </c>
      <c r="H27" s="264">
        <f>'3. CSS'!F21</f>
        <v>0</v>
      </c>
      <c r="I27" s="263"/>
      <c r="J27" s="263"/>
      <c r="K27" s="263"/>
      <c r="L27" s="263"/>
      <c r="M27" s="264">
        <f>'3. CSS'!F22</f>
        <v>0</v>
      </c>
      <c r="N27" s="264">
        <f>SUM(D27:M27)</f>
        <v>0</v>
      </c>
    </row>
    <row r="28" spans="2:14" ht="24" customHeight="1">
      <c r="B28" s="183"/>
      <c r="C28" s="183"/>
      <c r="D28" s="183"/>
      <c r="E28" s="183"/>
      <c r="F28" s="183"/>
      <c r="G28" s="183"/>
      <c r="H28" s="183"/>
      <c r="I28" s="183"/>
      <c r="J28" s="183"/>
      <c r="K28" s="183"/>
      <c r="L28" s="183"/>
      <c r="M28" s="183"/>
      <c r="N28" s="183"/>
    </row>
    <row r="29" spans="2:14" ht="24" customHeight="1">
      <c r="B29" s="245" t="s">
        <v>303</v>
      </c>
      <c r="C29" s="256"/>
      <c r="D29" s="256"/>
      <c r="E29" s="259"/>
      <c r="F29" s="259"/>
      <c r="G29" s="259"/>
      <c r="H29" s="259"/>
      <c r="I29" s="259"/>
      <c r="J29" s="259"/>
      <c r="K29" s="259"/>
      <c r="L29" s="259"/>
      <c r="M29" s="259"/>
      <c r="N29" s="260"/>
    </row>
    <row r="30" spans="2:14" ht="24" customHeight="1">
      <c r="B30" s="250">
        <v>8</v>
      </c>
      <c r="C30" s="275" t="s">
        <v>288</v>
      </c>
      <c r="D30" s="264">
        <f>'3. CSS'!F25</f>
        <v>58658796</v>
      </c>
      <c r="E30" s="264">
        <f>'4. PEI'!F21</f>
        <v>19178432</v>
      </c>
      <c r="F30" s="264">
        <f>'5. INN'!F22</f>
        <v>2084508</v>
      </c>
      <c r="G30" s="264">
        <f>'6. WET'!F20</f>
        <v>3008161</v>
      </c>
      <c r="H30" s="264">
        <f>'7. CFTN'!F21</f>
        <v>4027246</v>
      </c>
      <c r="I30" s="263"/>
      <c r="J30" s="264">
        <f>'8. WET RP, HP'!E14</f>
        <v>0</v>
      </c>
      <c r="K30" s="264">
        <f>'4. PEI'!F17</f>
        <v>0</v>
      </c>
      <c r="L30" s="264">
        <f>'8. WET RP, HP'!E15</f>
        <v>0</v>
      </c>
      <c r="M30" s="263"/>
      <c r="N30" s="264">
        <f aca="true" t="shared" si="1" ref="N30:N35">SUM(D30:M30)</f>
        <v>86957143</v>
      </c>
    </row>
    <row r="31" spans="2:14" ht="24" customHeight="1">
      <c r="B31" s="250">
        <v>9</v>
      </c>
      <c r="C31" s="252" t="s">
        <v>5</v>
      </c>
      <c r="D31" s="267">
        <f>'3. CSS'!G25</f>
        <v>26203002</v>
      </c>
      <c r="E31" s="267">
        <f>'4. PEI'!G21</f>
        <v>5140909</v>
      </c>
      <c r="F31" s="267">
        <f>'5. INN'!G22</f>
        <v>0</v>
      </c>
      <c r="G31" s="267">
        <f>'6. WET'!G20</f>
        <v>0</v>
      </c>
      <c r="H31" s="267">
        <f>'7. CFTN'!G21</f>
        <v>0</v>
      </c>
      <c r="I31" s="276"/>
      <c r="J31" s="267">
        <f>'8. WET RP, HP'!F14</f>
        <v>0</v>
      </c>
      <c r="K31" s="267">
        <f>'4. PEI'!G17</f>
        <v>0</v>
      </c>
      <c r="L31" s="267">
        <f>'8. WET RP, HP'!F15</f>
        <v>0</v>
      </c>
      <c r="M31" s="262"/>
      <c r="N31" s="264">
        <f t="shared" si="1"/>
        <v>31343911</v>
      </c>
    </row>
    <row r="32" spans="2:14" ht="24" customHeight="1">
      <c r="B32" s="250">
        <v>10</v>
      </c>
      <c r="C32" s="252" t="s">
        <v>6</v>
      </c>
      <c r="D32" s="267">
        <f>'3. CSS'!H25</f>
        <v>0</v>
      </c>
      <c r="E32" s="267">
        <f>'4. PEI'!H21</f>
        <v>0</v>
      </c>
      <c r="F32" s="267">
        <f>'5. INN'!H22</f>
        <v>0</v>
      </c>
      <c r="G32" s="267">
        <f>'6. WET'!H20</f>
        <v>0</v>
      </c>
      <c r="H32" s="267">
        <f>'7. CFTN'!H21</f>
        <v>0</v>
      </c>
      <c r="I32" s="276"/>
      <c r="J32" s="267">
        <f>'8. WET RP, HP'!G14</f>
        <v>0</v>
      </c>
      <c r="K32" s="267">
        <f>'4. PEI'!H17</f>
        <v>0</v>
      </c>
      <c r="L32" s="267">
        <f>'8. WET RP, HP'!G15</f>
        <v>0</v>
      </c>
      <c r="M32" s="262"/>
      <c r="N32" s="264">
        <f t="shared" si="1"/>
        <v>0</v>
      </c>
    </row>
    <row r="33" spans="2:14" ht="24" customHeight="1">
      <c r="B33" s="250">
        <v>11</v>
      </c>
      <c r="C33" s="252" t="s">
        <v>31</v>
      </c>
      <c r="D33" s="267">
        <f>'3. CSS'!I25</f>
        <v>10769387</v>
      </c>
      <c r="E33" s="267">
        <f>'4. PEI'!I21</f>
        <v>5149734</v>
      </c>
      <c r="F33" s="267">
        <f>'5. INN'!I22</f>
        <v>0</v>
      </c>
      <c r="G33" s="267">
        <f>'6. WET'!I20</f>
        <v>0</v>
      </c>
      <c r="H33" s="267">
        <f>'7. CFTN'!I21</f>
        <v>0</v>
      </c>
      <c r="I33" s="276"/>
      <c r="J33" s="267">
        <f>'8. WET RP, HP'!H14</f>
        <v>0</v>
      </c>
      <c r="K33" s="267">
        <f>'4. PEI'!I17</f>
        <v>0</v>
      </c>
      <c r="L33" s="267">
        <f>'8. WET RP, HP'!H15</f>
        <v>0</v>
      </c>
      <c r="M33" s="262"/>
      <c r="N33" s="264">
        <f t="shared" si="1"/>
        <v>15919121</v>
      </c>
    </row>
    <row r="34" spans="2:14" ht="24" customHeight="1">
      <c r="B34" s="250">
        <v>12</v>
      </c>
      <c r="C34" s="252" t="s">
        <v>15</v>
      </c>
      <c r="D34" s="267">
        <f>'3. CSS'!J25</f>
        <v>1953114</v>
      </c>
      <c r="E34" s="267">
        <f>'4. PEI'!J21</f>
        <v>4350318</v>
      </c>
      <c r="F34" s="267">
        <f>'5. INN'!J22</f>
        <v>0</v>
      </c>
      <c r="G34" s="267">
        <f>'6. WET'!J20</f>
        <v>0</v>
      </c>
      <c r="H34" s="267">
        <f>'7. CFTN'!J21</f>
        <v>0</v>
      </c>
      <c r="I34" s="276"/>
      <c r="J34" s="267">
        <f>'8. WET RP, HP'!I14</f>
        <v>0</v>
      </c>
      <c r="K34" s="267">
        <f>'4. PEI'!J17</f>
        <v>0</v>
      </c>
      <c r="L34" s="267">
        <f>'8. WET RP, HP'!I15</f>
        <v>0</v>
      </c>
      <c r="M34" s="262"/>
      <c r="N34" s="264">
        <f t="shared" si="1"/>
        <v>6303432</v>
      </c>
    </row>
    <row r="35" spans="2:14" ht="24" customHeight="1">
      <c r="B35" s="250">
        <v>13</v>
      </c>
      <c r="C35" s="268" t="s">
        <v>25</v>
      </c>
      <c r="D35" s="277">
        <f>SUM(D30:D34)</f>
        <v>97584299</v>
      </c>
      <c r="E35" s="277">
        <f aca="true" t="shared" si="2" ref="E35:L35">SUM(E30:E34)</f>
        <v>33819393</v>
      </c>
      <c r="F35" s="277">
        <f t="shared" si="2"/>
        <v>2084508</v>
      </c>
      <c r="G35" s="277">
        <f t="shared" si="2"/>
        <v>3008161</v>
      </c>
      <c r="H35" s="277">
        <f t="shared" si="2"/>
        <v>4027246</v>
      </c>
      <c r="I35" s="277">
        <f t="shared" si="2"/>
        <v>0</v>
      </c>
      <c r="J35" s="277">
        <f t="shared" si="2"/>
        <v>0</v>
      </c>
      <c r="K35" s="277">
        <f t="shared" si="2"/>
        <v>0</v>
      </c>
      <c r="L35" s="277">
        <f t="shared" si="2"/>
        <v>0</v>
      </c>
      <c r="M35" s="276"/>
      <c r="N35" s="269">
        <f t="shared" si="1"/>
        <v>140523607</v>
      </c>
    </row>
    <row r="36" spans="2:14" ht="24" customHeight="1">
      <c r="B36" s="183"/>
      <c r="C36" s="183"/>
      <c r="D36" s="183"/>
      <c r="E36" s="183"/>
      <c r="F36" s="183"/>
      <c r="G36" s="183"/>
      <c r="H36" s="183"/>
      <c r="I36" s="183"/>
      <c r="J36" s="183"/>
      <c r="K36" s="183"/>
      <c r="L36" s="183"/>
      <c r="M36" s="183"/>
      <c r="N36" s="183"/>
    </row>
    <row r="37" spans="2:14" ht="15.75">
      <c r="B37" s="161"/>
      <c r="C37" s="3"/>
      <c r="D37" s="182"/>
      <c r="F37" s="161"/>
      <c r="G37" s="45"/>
      <c r="H37" s="161"/>
      <c r="I37" s="161"/>
      <c r="J37" s="161"/>
      <c r="K37" s="161"/>
      <c r="L37" s="161"/>
      <c r="M37" s="161"/>
      <c r="N37" s="161"/>
    </row>
    <row r="38" spans="2:14" ht="15.75">
      <c r="B38" s="245" t="s">
        <v>309</v>
      </c>
      <c r="C38" s="246"/>
      <c r="D38" s="247" t="s">
        <v>25</v>
      </c>
      <c r="E38" s="161"/>
      <c r="F38" s="45"/>
      <c r="G38" s="161"/>
      <c r="H38" s="161"/>
      <c r="I38" s="161"/>
      <c r="J38" s="161"/>
      <c r="K38" s="161"/>
      <c r="L38" s="161"/>
      <c r="M38" s="161"/>
      <c r="N38" s="182"/>
    </row>
    <row r="39" spans="2:14" ht="15.75">
      <c r="B39" s="250">
        <v>14</v>
      </c>
      <c r="C39" s="278" t="s">
        <v>22</v>
      </c>
      <c r="D39" s="279">
        <f>'3. CSS'!K14+'4. PEI'!K14+'5. INN'!K14+'6. WET'!K14+'7. CFTN'!K14</f>
        <v>438962</v>
      </c>
      <c r="F39" s="45"/>
      <c r="G39" s="161"/>
      <c r="H39" s="161"/>
      <c r="I39" s="161"/>
      <c r="J39" s="161"/>
      <c r="K39" s="161"/>
      <c r="L39" s="161"/>
      <c r="M39" s="161"/>
      <c r="N39" s="182"/>
    </row>
    <row r="40" spans="2:14" ht="15.75">
      <c r="B40" s="250">
        <v>15</v>
      </c>
      <c r="C40" s="278" t="s">
        <v>23</v>
      </c>
      <c r="D40" s="279">
        <f>'3. CSS'!K15+'4. PEI'!K15+'5. INN'!K19+'6. WET'!K15+'7. CFTN'!K16+'7. CFTN'!K17</f>
        <v>0</v>
      </c>
      <c r="E40" s="162"/>
      <c r="F40" s="161"/>
      <c r="G40" s="161"/>
      <c r="H40" s="161"/>
      <c r="I40" s="161"/>
      <c r="J40" s="161"/>
      <c r="K40" s="161"/>
      <c r="L40" s="161"/>
      <c r="M40" s="161"/>
      <c r="N40" s="182"/>
    </row>
    <row r="41" spans="2:14" ht="15.75">
      <c r="B41" s="250">
        <v>16</v>
      </c>
      <c r="C41" s="278" t="s">
        <v>24</v>
      </c>
      <c r="D41" s="279">
        <f>'3. CSS'!K16+'4. PEI'!K16+'5. INN'!K15+'5. INN'!K18+'6. WET'!K16+'7. CFTN'!K18+'7. CFTN'!K19</f>
        <v>21589287</v>
      </c>
      <c r="E41" s="162"/>
      <c r="F41" s="161"/>
      <c r="G41" s="161"/>
      <c r="H41" s="161"/>
      <c r="I41" s="161"/>
      <c r="J41" s="161"/>
      <c r="K41" s="161"/>
      <c r="L41" s="161"/>
      <c r="M41" s="161"/>
      <c r="N41" s="182"/>
    </row>
    <row r="42" ht="15.75" hidden="1"/>
    <row r="43" ht="15.75" hidden="1"/>
    <row r="44" ht="15.75" hidden="1"/>
    <row r="45" ht="15.75" hidden="1"/>
    <row r="46" ht="15.75" hidden="1"/>
    <row r="47" ht="15.75" hidden="1"/>
    <row r="48" ht="15.75" hidden="1"/>
    <row r="49" ht="15.75" hidden="1"/>
    <row r="50" ht="15.75" hidden="1"/>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70" zoomScaleNormal="70" zoomScaleSheetLayoutView="40" zoomScalePageLayoutView="70" workbookViewId="0" topLeftCell="A1">
      <selection activeCell="A1" sqref="A1"/>
    </sheetView>
  </sheetViews>
  <sheetFormatPr defaultColWidth="0" defaultRowHeight="15" zeroHeight="1"/>
  <cols>
    <col min="1" max="1" width="2.7109375" style="163" customWidth="1"/>
    <col min="2" max="2" width="6.7109375" style="309" customWidth="1"/>
    <col min="3" max="3" width="13.57421875" style="309" customWidth="1"/>
    <col min="4" max="5" width="50.7109375" style="309" customWidth="1"/>
    <col min="6" max="6" width="20.7109375" style="309" customWidth="1"/>
    <col min="7" max="7" width="27.57421875" style="309" bestFit="1" customWidth="1"/>
    <col min="8" max="8" width="21.57421875" style="309" customWidth="1"/>
    <col min="9" max="9" width="25.8515625" style="309" bestFit="1" customWidth="1"/>
    <col min="10" max="10" width="17.7109375" style="309" customWidth="1"/>
    <col min="11" max="11" width="23.00390625" style="309" customWidth="1"/>
    <col min="12" max="12" width="20.140625" style="309" customWidth="1"/>
    <col min="13" max="13" width="40.28125" style="274" hidden="1" customWidth="1"/>
    <col min="14" max="16384" width="9.140625" style="274" hidden="1" customWidth="1"/>
  </cols>
  <sheetData>
    <row r="1" spans="1:12" s="182" customFormat="1" ht="15.75">
      <c r="A1" s="281" t="s">
        <v>366</v>
      </c>
      <c r="B1" s="441"/>
      <c r="C1" s="441"/>
      <c r="D1" s="441"/>
      <c r="E1" s="164"/>
      <c r="F1" s="164"/>
      <c r="G1" s="164"/>
      <c r="H1" s="164"/>
      <c r="I1" s="164"/>
      <c r="J1" s="164"/>
      <c r="K1" s="164"/>
      <c r="L1" s="164"/>
    </row>
    <row r="2" s="163" customFormat="1" ht="18">
      <c r="B2" s="282" t="str">
        <f>'1. Information'!B2</f>
        <v>Version 7/1/2018</v>
      </c>
    </row>
    <row r="3" spans="1:12" s="182" customFormat="1" ht="18">
      <c r="A3" s="164"/>
      <c r="B3" s="230" t="str">
        <f>'1. Information'!B3</f>
        <v>Annual Mental Health Services Act Revenue and Expenditure Report</v>
      </c>
      <c r="C3" s="148"/>
      <c r="D3" s="148"/>
      <c r="E3" s="148"/>
      <c r="F3" s="148"/>
      <c r="G3" s="148"/>
      <c r="H3" s="148"/>
      <c r="I3" s="148"/>
      <c r="J3" s="148"/>
      <c r="K3" s="148"/>
      <c r="L3" s="164"/>
    </row>
    <row r="4" spans="1:12" s="182" customFormat="1" ht="18">
      <c r="A4" s="164"/>
      <c r="B4" s="230" t="str">
        <f>'1. Information'!B4</f>
        <v>Fiscal Year 2017-18</v>
      </c>
      <c r="C4" s="148"/>
      <c r="D4" s="148"/>
      <c r="E4" s="148"/>
      <c r="F4" s="148"/>
      <c r="G4" s="148"/>
      <c r="H4" s="148"/>
      <c r="I4" s="148"/>
      <c r="J4" s="148"/>
      <c r="K4" s="148"/>
      <c r="L4" s="164"/>
    </row>
    <row r="5" spans="1:12" s="182" customFormat="1" ht="18">
      <c r="A5" s="164"/>
      <c r="B5" s="230" t="s">
        <v>135</v>
      </c>
      <c r="C5" s="148"/>
      <c r="D5" s="148"/>
      <c r="E5" s="148"/>
      <c r="F5" s="148"/>
      <c r="G5" s="148"/>
      <c r="H5" s="148"/>
      <c r="I5" s="148"/>
      <c r="J5" s="148"/>
      <c r="K5" s="148"/>
      <c r="L5" s="164"/>
    </row>
    <row r="6" spans="1:12" s="182" customFormat="1" ht="15.75">
      <c r="A6" s="164"/>
      <c r="B6" s="29"/>
      <c r="C6" s="29"/>
      <c r="D6" s="29"/>
      <c r="E6" s="29"/>
      <c r="F6" s="29"/>
      <c r="G6" s="29"/>
      <c r="H6" s="29"/>
      <c r="I6" s="29"/>
      <c r="J6" s="29"/>
      <c r="K6" s="29"/>
      <c r="L6" s="164"/>
    </row>
    <row r="7" spans="1:12" s="182" customFormat="1" ht="15.75">
      <c r="A7" s="164"/>
      <c r="B7" s="442" t="s">
        <v>1</v>
      </c>
      <c r="C7" s="442"/>
      <c r="D7" s="283" t="str">
        <f>IF(ISBLANK('1. Information'!D8),"",'1. Information'!D8)</f>
        <v>San Bernardino</v>
      </c>
      <c r="E7" s="164"/>
      <c r="F7" s="244" t="s">
        <v>2</v>
      </c>
      <c r="G7" s="284">
        <f>IF(ISBLANK('1. Information'!D7),"",'1. Information'!D7)</f>
        <v>43462</v>
      </c>
      <c r="H7" s="164"/>
      <c r="I7" s="164"/>
      <c r="J7" s="164"/>
      <c r="K7" s="165"/>
      <c r="L7" s="164"/>
    </row>
    <row r="8" spans="1:12" s="182" customFormat="1" ht="15.75">
      <c r="A8" s="164"/>
      <c r="B8" s="164"/>
      <c r="C8" s="6"/>
      <c r="D8" s="6"/>
      <c r="E8" s="6"/>
      <c r="F8" s="164"/>
      <c r="G8" s="3"/>
      <c r="H8" s="166"/>
      <c r="I8" s="164"/>
      <c r="J8" s="164"/>
      <c r="L8" s="165"/>
    </row>
    <row r="9" spans="1:11" s="182" customFormat="1" ht="18.75" thickBot="1">
      <c r="A9" s="164"/>
      <c r="B9" s="285" t="s">
        <v>260</v>
      </c>
      <c r="C9" s="17"/>
      <c r="D9" s="17"/>
      <c r="E9" s="17"/>
      <c r="F9" s="167"/>
      <c r="G9" s="21"/>
      <c r="H9" s="168"/>
      <c r="I9" s="167"/>
      <c r="J9" s="167"/>
      <c r="K9" s="167"/>
    </row>
    <row r="10" spans="1:11" s="182" customFormat="1" ht="16.5" thickTop="1">
      <c r="A10" s="164"/>
      <c r="B10" s="62"/>
      <c r="C10" s="6"/>
      <c r="D10" s="6"/>
      <c r="E10" s="6"/>
      <c r="F10" s="3"/>
      <c r="G10" s="166"/>
      <c r="H10" s="164"/>
      <c r="I10" s="164"/>
      <c r="J10" s="164"/>
      <c r="K10" s="165"/>
    </row>
    <row r="11" spans="1:11" s="182" customFormat="1" ht="15.75" customHeight="1">
      <c r="A11" s="164"/>
      <c r="B11" s="163"/>
      <c r="C11" s="163"/>
      <c r="D11" s="163"/>
      <c r="E11" s="163"/>
      <c r="F11" s="286" t="s">
        <v>27</v>
      </c>
      <c r="G11" s="250" t="s">
        <v>29</v>
      </c>
      <c r="H11" s="287" t="s">
        <v>32</v>
      </c>
      <c r="I11" s="286" t="s">
        <v>246</v>
      </c>
      <c r="J11" s="286" t="s">
        <v>247</v>
      </c>
      <c r="K11" s="286" t="s">
        <v>248</v>
      </c>
    </row>
    <row r="12" spans="1:11" s="182" customFormat="1" ht="15.75">
      <c r="A12" s="164"/>
      <c r="B12" s="163"/>
      <c r="C12" s="163"/>
      <c r="D12" s="163"/>
      <c r="E12" s="163"/>
      <c r="F12" s="244" t="s">
        <v>28</v>
      </c>
      <c r="G12" s="434" t="s">
        <v>30</v>
      </c>
      <c r="H12" s="432"/>
      <c r="I12" s="432"/>
      <c r="J12" s="435"/>
      <c r="K12" s="288"/>
    </row>
    <row r="13" spans="1:11" s="182" customFormat="1" ht="47.25">
      <c r="A13" s="164"/>
      <c r="B13" s="16"/>
      <c r="C13" s="163"/>
      <c r="D13" s="163"/>
      <c r="E13" s="163"/>
      <c r="F13" s="289" t="s">
        <v>300</v>
      </c>
      <c r="G13" s="290" t="s">
        <v>5</v>
      </c>
      <c r="H13" s="291" t="s">
        <v>6</v>
      </c>
      <c r="I13" s="290" t="s">
        <v>31</v>
      </c>
      <c r="J13" s="290" t="s">
        <v>15</v>
      </c>
      <c r="K13" s="292" t="s">
        <v>278</v>
      </c>
    </row>
    <row r="14" spans="1:11" s="182" customFormat="1" ht="15.75">
      <c r="A14" s="164"/>
      <c r="B14" s="286">
        <v>1</v>
      </c>
      <c r="C14" s="439" t="s">
        <v>7</v>
      </c>
      <c r="D14" s="439"/>
      <c r="E14" s="439"/>
      <c r="F14" s="190"/>
      <c r="G14" s="191"/>
      <c r="H14" s="186"/>
      <c r="I14" s="170"/>
      <c r="J14" s="170"/>
      <c r="K14" s="293">
        <f>SUM(F14:J14)</f>
        <v>0</v>
      </c>
    </row>
    <row r="15" spans="1:11" s="182" customFormat="1" ht="15" customHeight="1">
      <c r="A15" s="164"/>
      <c r="B15" s="286">
        <v>2</v>
      </c>
      <c r="C15" s="439" t="s">
        <v>8</v>
      </c>
      <c r="D15" s="439"/>
      <c r="E15" s="439"/>
      <c r="F15" s="190"/>
      <c r="G15" s="170"/>
      <c r="H15" s="170"/>
      <c r="I15" s="170"/>
      <c r="J15" s="170"/>
      <c r="K15" s="293">
        <f aca="true" t="shared" si="0" ref="K15:K23">SUM(F15:J15)</f>
        <v>0</v>
      </c>
    </row>
    <row r="16" spans="1:11" s="182" customFormat="1" ht="15.75">
      <c r="A16" s="164"/>
      <c r="B16" s="286">
        <v>3</v>
      </c>
      <c r="C16" s="439" t="s">
        <v>129</v>
      </c>
      <c r="D16" s="439"/>
      <c r="E16" s="439"/>
      <c r="F16" s="190">
        <f>11916799+1+3793705-200000-G16-J16+1</f>
        <v>12760506</v>
      </c>
      <c r="G16" s="170">
        <v>2000000</v>
      </c>
      <c r="H16" s="170"/>
      <c r="I16" s="170"/>
      <c r="J16" s="170">
        <v>750000</v>
      </c>
      <c r="K16" s="293">
        <f t="shared" si="0"/>
        <v>15510506</v>
      </c>
    </row>
    <row r="17" spans="1:11" s="182" customFormat="1" ht="15.75">
      <c r="A17" s="164"/>
      <c r="B17" s="286">
        <v>4</v>
      </c>
      <c r="C17" s="440" t="s">
        <v>218</v>
      </c>
      <c r="D17" s="440"/>
      <c r="E17" s="440"/>
      <c r="F17" s="190"/>
      <c r="G17" s="170"/>
      <c r="H17" s="170"/>
      <c r="I17" s="170"/>
      <c r="J17" s="170"/>
      <c r="K17" s="293">
        <f t="shared" si="0"/>
        <v>0</v>
      </c>
    </row>
    <row r="18" spans="1:11" s="182" customFormat="1" ht="15.75">
      <c r="A18" s="164"/>
      <c r="B18" s="286">
        <v>5</v>
      </c>
      <c r="C18" s="440" t="s">
        <v>219</v>
      </c>
      <c r="D18" s="440"/>
      <c r="E18" s="440"/>
      <c r="F18" s="190"/>
      <c r="G18" s="294"/>
      <c r="H18" s="294"/>
      <c r="I18" s="294"/>
      <c r="J18" s="294"/>
      <c r="K18" s="293">
        <f t="shared" si="0"/>
        <v>0</v>
      </c>
    </row>
    <row r="19" spans="1:11" s="182" customFormat="1" ht="15.75">
      <c r="A19" s="164"/>
      <c r="B19" s="286">
        <v>6</v>
      </c>
      <c r="C19" s="439" t="s">
        <v>216</v>
      </c>
      <c r="D19" s="439"/>
      <c r="E19" s="439"/>
      <c r="F19" s="170"/>
      <c r="G19" s="294"/>
      <c r="H19" s="294"/>
      <c r="I19" s="294"/>
      <c r="J19" s="294"/>
      <c r="K19" s="295">
        <f t="shared" si="0"/>
        <v>0</v>
      </c>
    </row>
    <row r="20" spans="1:11" s="182" customFormat="1" ht="15.75">
      <c r="A20" s="165"/>
      <c r="B20" s="296">
        <v>7</v>
      </c>
      <c r="C20" s="436" t="s">
        <v>226</v>
      </c>
      <c r="D20" s="437"/>
      <c r="E20" s="438"/>
      <c r="F20" s="170"/>
      <c r="G20" s="295"/>
      <c r="H20" s="295"/>
      <c r="I20" s="295"/>
      <c r="J20" s="295"/>
      <c r="K20" s="295">
        <f t="shared" si="0"/>
        <v>0</v>
      </c>
    </row>
    <row r="21" spans="1:11" s="182" customFormat="1" ht="15.75">
      <c r="A21" s="165"/>
      <c r="B21" s="296">
        <v>8</v>
      </c>
      <c r="C21" s="436" t="s">
        <v>227</v>
      </c>
      <c r="D21" s="437"/>
      <c r="E21" s="438"/>
      <c r="F21" s="170"/>
      <c r="G21" s="295"/>
      <c r="H21" s="295"/>
      <c r="I21" s="295"/>
      <c r="J21" s="295"/>
      <c r="K21" s="295">
        <f t="shared" si="0"/>
        <v>0</v>
      </c>
    </row>
    <row r="22" spans="1:11" s="182" customFormat="1" ht="15.75">
      <c r="A22" s="165"/>
      <c r="B22" s="296">
        <v>9</v>
      </c>
      <c r="C22" s="436" t="s">
        <v>225</v>
      </c>
      <c r="D22" s="437"/>
      <c r="E22" s="438"/>
      <c r="F22" s="170"/>
      <c r="G22" s="295"/>
      <c r="H22" s="295"/>
      <c r="I22" s="295"/>
      <c r="J22" s="295"/>
      <c r="K22" s="295">
        <f t="shared" si="0"/>
        <v>0</v>
      </c>
    </row>
    <row r="23" spans="1:11" s="182" customFormat="1" ht="15.75">
      <c r="A23" s="164"/>
      <c r="B23" s="286">
        <v>10</v>
      </c>
      <c r="C23" s="439" t="s">
        <v>140</v>
      </c>
      <c r="D23" s="439"/>
      <c r="E23" s="439"/>
      <c r="F23" s="294">
        <f>SUM(G33:G132)</f>
        <v>45898290</v>
      </c>
      <c r="G23" s="295">
        <f>SUM(H33:H132)</f>
        <v>24203002</v>
      </c>
      <c r="H23" s="295">
        <f>SUM(I33:I132)</f>
        <v>0</v>
      </c>
      <c r="I23" s="295">
        <f>SUM(J33:J132)</f>
        <v>10769387</v>
      </c>
      <c r="J23" s="295">
        <f>SUM(K33:K132)</f>
        <v>1203114</v>
      </c>
      <c r="K23" s="295">
        <f t="shared" si="0"/>
        <v>82073793</v>
      </c>
    </row>
    <row r="24" spans="1:11" s="182" customFormat="1" ht="30.75" customHeight="1">
      <c r="A24" s="164"/>
      <c r="B24" s="286">
        <v>11</v>
      </c>
      <c r="C24" s="426" t="s">
        <v>223</v>
      </c>
      <c r="D24" s="427"/>
      <c r="E24" s="428"/>
      <c r="F24" s="276">
        <f>SUM(F14:F16,F18:F23)</f>
        <v>58658796</v>
      </c>
      <c r="G24" s="276">
        <f>SUM(G14:G16,G18:G23)</f>
        <v>26203002</v>
      </c>
      <c r="H24" s="297">
        <f>SUM(H14:H16,H18:H23)</f>
        <v>0</v>
      </c>
      <c r="I24" s="276">
        <f>SUM(I14:I16,I18:I23)</f>
        <v>10769387</v>
      </c>
      <c r="J24" s="276">
        <f>SUM(J14:J16,J18:J23)</f>
        <v>1953114</v>
      </c>
      <c r="K24" s="276">
        <f>SUM(K14:K16,K18:K23)</f>
        <v>97584299</v>
      </c>
    </row>
    <row r="25" spans="1:11" s="182" customFormat="1" ht="30.75" customHeight="1">
      <c r="A25" s="164"/>
      <c r="B25" s="286">
        <v>12</v>
      </c>
      <c r="C25" s="433" t="s">
        <v>283</v>
      </c>
      <c r="D25" s="433"/>
      <c r="E25" s="433"/>
      <c r="F25" s="276">
        <f>SUM(F14:F16,F18,F23)</f>
        <v>58658796</v>
      </c>
      <c r="G25" s="298">
        <f>SUM(G14:G16,G18,G23)</f>
        <v>26203002</v>
      </c>
      <c r="H25" s="298">
        <f>SUM(H14:H16,H18,H23)</f>
        <v>0</v>
      </c>
      <c r="I25" s="298">
        <f>SUM(I14:I16,I18,I23)</f>
        <v>10769387</v>
      </c>
      <c r="J25" s="276">
        <f>SUM(J14:J16,J18,J23)</f>
        <v>1953114</v>
      </c>
      <c r="K25" s="276">
        <f>SUM(K14:K16,K18,K23)</f>
        <v>97584299</v>
      </c>
    </row>
    <row r="26" spans="1:12" s="182" customFormat="1" ht="15.75">
      <c r="A26" s="164"/>
      <c r="B26" s="164"/>
      <c r="C26" s="164"/>
      <c r="D26" s="3"/>
      <c r="E26" s="3"/>
      <c r="F26" s="22"/>
      <c r="G26" s="165"/>
      <c r="H26" s="165"/>
      <c r="I26" s="165"/>
      <c r="J26" s="165"/>
      <c r="K26" s="165"/>
      <c r="L26" s="164"/>
    </row>
    <row r="27" spans="1:12" s="182" customFormat="1" ht="15.75">
      <c r="A27" s="164"/>
      <c r="B27" s="164"/>
      <c r="C27" s="24"/>
      <c r="D27" s="3"/>
      <c r="E27" s="3"/>
      <c r="F27" s="25"/>
      <c r="G27" s="165"/>
      <c r="H27" s="165"/>
      <c r="I27" s="165"/>
      <c r="J27" s="165"/>
      <c r="K27" s="165"/>
      <c r="L27" s="164"/>
    </row>
    <row r="28" spans="1:12" s="182" customFormat="1" ht="18.75" thickBot="1">
      <c r="A28" s="164"/>
      <c r="B28" s="300" t="s">
        <v>261</v>
      </c>
      <c r="C28" s="23"/>
      <c r="D28" s="21"/>
      <c r="E28" s="21"/>
      <c r="F28" s="26"/>
      <c r="G28" s="169"/>
      <c r="H28" s="169"/>
      <c r="I28" s="169"/>
      <c r="J28" s="169"/>
      <c r="K28" s="169"/>
      <c r="L28" s="167"/>
    </row>
    <row r="29" spans="1:12" s="182" customFormat="1" ht="16.5" thickTop="1">
      <c r="A29" s="164"/>
      <c r="B29" s="63"/>
      <c r="C29" s="24"/>
      <c r="D29" s="3"/>
      <c r="E29" s="3"/>
      <c r="F29" s="25"/>
      <c r="G29" s="165"/>
      <c r="H29" s="165"/>
      <c r="I29" s="165"/>
      <c r="J29" s="165"/>
      <c r="K29" s="165"/>
      <c r="L29" s="164"/>
    </row>
    <row r="30" spans="1:12" s="182" customFormat="1" ht="15.75">
      <c r="A30" s="164"/>
      <c r="B30" s="24"/>
      <c r="C30" s="286" t="s">
        <v>27</v>
      </c>
      <c r="D30" s="250" t="s">
        <v>29</v>
      </c>
      <c r="E30" s="250" t="s">
        <v>32</v>
      </c>
      <c r="F30" s="286" t="s">
        <v>246</v>
      </c>
      <c r="G30" s="250" t="s">
        <v>247</v>
      </c>
      <c r="H30" s="250" t="s">
        <v>248</v>
      </c>
      <c r="I30" s="286" t="s">
        <v>257</v>
      </c>
      <c r="J30" s="250" t="s">
        <v>249</v>
      </c>
      <c r="K30" s="250" t="s">
        <v>250</v>
      </c>
      <c r="L30" s="250" t="s">
        <v>251</v>
      </c>
    </row>
    <row r="31" spans="1:12" s="182" customFormat="1" ht="15.75">
      <c r="A31" s="164"/>
      <c r="B31" s="5"/>
      <c r="C31" s="242"/>
      <c r="D31" s="432" t="s">
        <v>166</v>
      </c>
      <c r="E31" s="432"/>
      <c r="F31" s="432"/>
      <c r="G31" s="301" t="s">
        <v>28</v>
      </c>
      <c r="H31" s="429" t="s">
        <v>30</v>
      </c>
      <c r="I31" s="430"/>
      <c r="J31" s="430"/>
      <c r="K31" s="431"/>
      <c r="L31" s="302"/>
    </row>
    <row r="32" spans="1:12" ht="87.75" customHeight="1">
      <c r="A32" s="164"/>
      <c r="B32" s="303" t="s">
        <v>134</v>
      </c>
      <c r="C32" s="304" t="s">
        <v>195</v>
      </c>
      <c r="D32" s="305" t="s">
        <v>10</v>
      </c>
      <c r="E32" s="305" t="s">
        <v>4</v>
      </c>
      <c r="F32" s="305" t="s">
        <v>9</v>
      </c>
      <c r="G32" s="289" t="s">
        <v>300</v>
      </c>
      <c r="H32" s="305" t="s">
        <v>5</v>
      </c>
      <c r="I32" s="305" t="s">
        <v>6</v>
      </c>
      <c r="J32" s="305" t="s">
        <v>31</v>
      </c>
      <c r="K32" s="306" t="s">
        <v>15</v>
      </c>
      <c r="L32" s="292" t="s">
        <v>278</v>
      </c>
    </row>
    <row r="33" spans="1:12" ht="30.75">
      <c r="A33" s="164"/>
      <c r="B33" s="307">
        <v>1</v>
      </c>
      <c r="C33" s="308">
        <f aca="true" t="shared" si="1" ref="C33:C64">IF(L33&lt;&gt;0,VLOOKUP($D$7,Info_County_Code,2,FALSE),"")</f>
        <v>36</v>
      </c>
      <c r="D33" s="203" t="s">
        <v>324</v>
      </c>
      <c r="E33" s="203"/>
      <c r="F33" s="172" t="s">
        <v>102</v>
      </c>
      <c r="G33" s="171">
        <f>5262492</f>
        <v>5262492</v>
      </c>
      <c r="H33" s="171">
        <v>9091656</v>
      </c>
      <c r="I33" s="171"/>
      <c r="J33" s="178">
        <v>8914267</v>
      </c>
      <c r="K33" s="171">
        <v>250524</v>
      </c>
      <c r="L33" s="295">
        <f>SUM(G33:K33)</f>
        <v>23518939</v>
      </c>
    </row>
    <row r="34" spans="1:12" ht="15.75">
      <c r="A34" s="164"/>
      <c r="B34" s="307">
        <v>2</v>
      </c>
      <c r="C34" s="308">
        <f t="shared" si="1"/>
        <v>36</v>
      </c>
      <c r="D34" s="203" t="s">
        <v>325</v>
      </c>
      <c r="E34" s="203"/>
      <c r="F34" s="172" t="s">
        <v>102</v>
      </c>
      <c r="G34" s="171">
        <f>1273400</f>
        <v>1273400</v>
      </c>
      <c r="H34" s="171">
        <v>94330</v>
      </c>
      <c r="I34" s="171"/>
      <c r="J34" s="178">
        <v>83156</v>
      </c>
      <c r="K34" s="171">
        <v>0</v>
      </c>
      <c r="L34" s="295">
        <f aca="true" t="shared" si="2" ref="L34:L97">SUM(G34:K34)</f>
        <v>1450886</v>
      </c>
    </row>
    <row r="35" spans="1:12" ht="15.75">
      <c r="A35" s="164"/>
      <c r="B35" s="307">
        <v>3</v>
      </c>
      <c r="C35" s="308">
        <f t="shared" si="1"/>
        <v>36</v>
      </c>
      <c r="D35" s="203" t="s">
        <v>326</v>
      </c>
      <c r="E35" s="203"/>
      <c r="F35" s="172" t="s">
        <v>102</v>
      </c>
      <c r="G35" s="171">
        <f>4524443</f>
        <v>4524443</v>
      </c>
      <c r="H35" s="171">
        <v>2444815</v>
      </c>
      <c r="I35" s="171"/>
      <c r="J35" s="178">
        <v>423959</v>
      </c>
      <c r="K35" s="171">
        <v>14523</v>
      </c>
      <c r="L35" s="295">
        <f t="shared" si="2"/>
        <v>7407740</v>
      </c>
    </row>
    <row r="36" spans="1:12" ht="15.75">
      <c r="A36" s="164"/>
      <c r="B36" s="307">
        <v>4</v>
      </c>
      <c r="C36" s="308">
        <f t="shared" si="1"/>
        <v>36</v>
      </c>
      <c r="D36" s="203" t="s">
        <v>327</v>
      </c>
      <c r="E36" s="203"/>
      <c r="F36" s="172" t="s">
        <v>102</v>
      </c>
      <c r="G36" s="171">
        <v>3450891</v>
      </c>
      <c r="H36" s="171">
        <v>2241292</v>
      </c>
      <c r="I36" s="171"/>
      <c r="J36" s="178">
        <v>34550</v>
      </c>
      <c r="K36" s="171">
        <v>431777</v>
      </c>
      <c r="L36" s="295">
        <f t="shared" si="2"/>
        <v>6158510</v>
      </c>
    </row>
    <row r="37" spans="1:12" ht="15.75">
      <c r="A37" s="164"/>
      <c r="B37" s="307">
        <v>5</v>
      </c>
      <c r="C37" s="308">
        <f t="shared" si="1"/>
        <v>36</v>
      </c>
      <c r="D37" s="203" t="s">
        <v>328</v>
      </c>
      <c r="E37" s="203"/>
      <c r="F37" s="172" t="s">
        <v>102</v>
      </c>
      <c r="G37" s="171">
        <f>4723159</f>
        <v>4723159</v>
      </c>
      <c r="H37" s="171">
        <v>1290605</v>
      </c>
      <c r="I37" s="171"/>
      <c r="J37" s="178">
        <v>45308</v>
      </c>
      <c r="K37" s="171"/>
      <c r="L37" s="295">
        <f t="shared" si="2"/>
        <v>6059072</v>
      </c>
    </row>
    <row r="38" spans="1:12" ht="30.75">
      <c r="A38" s="164"/>
      <c r="B38" s="307">
        <v>6</v>
      </c>
      <c r="C38" s="308">
        <f t="shared" si="1"/>
        <v>36</v>
      </c>
      <c r="D38" s="203" t="s">
        <v>329</v>
      </c>
      <c r="E38" s="203"/>
      <c r="F38" s="172" t="s">
        <v>102</v>
      </c>
      <c r="G38" s="171">
        <f>4891470</f>
        <v>4891470</v>
      </c>
      <c r="H38" s="171">
        <v>406192</v>
      </c>
      <c r="I38" s="171"/>
      <c r="J38" s="178">
        <v>13527</v>
      </c>
      <c r="K38" s="171">
        <v>506290</v>
      </c>
      <c r="L38" s="295">
        <f t="shared" si="2"/>
        <v>5817479</v>
      </c>
    </row>
    <row r="39" spans="1:12" ht="15.75">
      <c r="A39" s="164"/>
      <c r="B39" s="307">
        <v>7</v>
      </c>
      <c r="C39" s="308">
        <f t="shared" si="1"/>
        <v>36</v>
      </c>
      <c r="D39" s="203" t="s">
        <v>330</v>
      </c>
      <c r="E39" s="203" t="s">
        <v>323</v>
      </c>
      <c r="F39" s="172" t="s">
        <v>102</v>
      </c>
      <c r="G39" s="171">
        <f>232754</f>
        <v>232754</v>
      </c>
      <c r="H39" s="171">
        <v>109009</v>
      </c>
      <c r="I39" s="171"/>
      <c r="J39" s="178">
        <v>12195</v>
      </c>
      <c r="K39" s="171"/>
      <c r="L39" s="295">
        <f t="shared" si="2"/>
        <v>353958</v>
      </c>
    </row>
    <row r="40" spans="1:12" ht="15.75">
      <c r="A40" s="164"/>
      <c r="B40" s="307">
        <v>8</v>
      </c>
      <c r="C40" s="308">
        <f t="shared" si="1"/>
        <v>36</v>
      </c>
      <c r="D40" s="203" t="s">
        <v>331</v>
      </c>
      <c r="E40" s="203"/>
      <c r="F40" s="172" t="s">
        <v>102</v>
      </c>
      <c r="G40" s="171">
        <f>465236</f>
        <v>465236</v>
      </c>
      <c r="H40" s="171">
        <v>110612</v>
      </c>
      <c r="I40" s="171"/>
      <c r="J40" s="178"/>
      <c r="K40" s="171"/>
      <c r="L40" s="295">
        <f t="shared" si="2"/>
        <v>575848</v>
      </c>
    </row>
    <row r="41" spans="1:12" ht="15.75">
      <c r="A41" s="164"/>
      <c r="B41" s="307">
        <v>9</v>
      </c>
      <c r="C41" s="308">
        <f t="shared" si="1"/>
        <v>36</v>
      </c>
      <c r="D41" s="203" t="s">
        <v>332</v>
      </c>
      <c r="E41" s="203"/>
      <c r="F41" s="172" t="s">
        <v>102</v>
      </c>
      <c r="G41" s="171">
        <f>3281316</f>
        <v>3281316</v>
      </c>
      <c r="H41" s="171">
        <v>2861636</v>
      </c>
      <c r="I41" s="171"/>
      <c r="J41" s="178">
        <v>33277</v>
      </c>
      <c r="K41" s="171"/>
      <c r="L41" s="295">
        <f t="shared" si="2"/>
        <v>6176229</v>
      </c>
    </row>
    <row r="42" spans="1:12" ht="15.75">
      <c r="A42" s="164"/>
      <c r="B42" s="307">
        <v>10</v>
      </c>
      <c r="C42" s="308">
        <f t="shared" si="1"/>
        <v>36</v>
      </c>
      <c r="D42" s="203" t="s">
        <v>333</v>
      </c>
      <c r="E42" s="203"/>
      <c r="F42" s="172" t="s">
        <v>103</v>
      </c>
      <c r="G42" s="171">
        <f>2506683</f>
        <v>2506683</v>
      </c>
      <c r="H42" s="171"/>
      <c r="I42" s="171"/>
      <c r="J42" s="178"/>
      <c r="K42" s="171"/>
      <c r="L42" s="295">
        <f t="shared" si="2"/>
        <v>2506683</v>
      </c>
    </row>
    <row r="43" spans="1:12" ht="30.75">
      <c r="A43" s="164"/>
      <c r="B43" s="307">
        <v>11</v>
      </c>
      <c r="C43" s="308">
        <f t="shared" si="1"/>
        <v>36</v>
      </c>
      <c r="D43" s="203" t="s">
        <v>334</v>
      </c>
      <c r="E43" s="203"/>
      <c r="F43" s="172" t="s">
        <v>103</v>
      </c>
      <c r="G43" s="171">
        <v>4747369</v>
      </c>
      <c r="H43" s="171">
        <v>2080823</v>
      </c>
      <c r="I43" s="171"/>
      <c r="J43" s="178">
        <v>300121</v>
      </c>
      <c r="K43" s="171"/>
      <c r="L43" s="295">
        <f t="shared" si="2"/>
        <v>7128313</v>
      </c>
    </row>
    <row r="44" spans="1:12" ht="15.75">
      <c r="A44" s="164"/>
      <c r="B44" s="307">
        <v>12</v>
      </c>
      <c r="C44" s="308">
        <f t="shared" si="1"/>
        <v>36</v>
      </c>
      <c r="D44" s="203" t="s">
        <v>335</v>
      </c>
      <c r="E44" s="203"/>
      <c r="F44" s="172" t="s">
        <v>103</v>
      </c>
      <c r="G44" s="171">
        <f>1198801</f>
        <v>1198801</v>
      </c>
      <c r="H44" s="171">
        <v>448749</v>
      </c>
      <c r="I44" s="171"/>
      <c r="J44" s="178">
        <v>22736</v>
      </c>
      <c r="K44" s="171"/>
      <c r="L44" s="295">
        <f t="shared" si="2"/>
        <v>1670286</v>
      </c>
    </row>
    <row r="45" spans="1:12" ht="15.75">
      <c r="A45" s="164"/>
      <c r="B45" s="307">
        <v>13</v>
      </c>
      <c r="C45" s="308">
        <f t="shared" si="1"/>
        <v>36</v>
      </c>
      <c r="D45" s="203" t="s">
        <v>336</v>
      </c>
      <c r="E45" s="203"/>
      <c r="F45" s="172" t="s">
        <v>103</v>
      </c>
      <c r="G45" s="171">
        <v>4558904</v>
      </c>
      <c r="H45" s="171">
        <v>1745385</v>
      </c>
      <c r="I45" s="171"/>
      <c r="J45" s="178">
        <v>884960</v>
      </c>
      <c r="K45" s="171"/>
      <c r="L45" s="295">
        <f t="shared" si="2"/>
        <v>7189249</v>
      </c>
    </row>
    <row r="46" spans="1:12" ht="15.75">
      <c r="A46" s="164"/>
      <c r="B46" s="307">
        <v>14</v>
      </c>
      <c r="C46" s="308">
        <f t="shared" si="1"/>
        <v>36</v>
      </c>
      <c r="D46" s="203" t="s">
        <v>337</v>
      </c>
      <c r="E46" s="203"/>
      <c r="F46" s="172" t="s">
        <v>103</v>
      </c>
      <c r="G46" s="171">
        <f>1151571</f>
        <v>1151571</v>
      </c>
      <c r="H46" s="171">
        <v>257502</v>
      </c>
      <c r="I46" s="171"/>
      <c r="J46" s="178">
        <v>0</v>
      </c>
      <c r="K46" s="171"/>
      <c r="L46" s="295">
        <f t="shared" si="2"/>
        <v>1409073</v>
      </c>
    </row>
    <row r="47" spans="1:12" ht="15.75">
      <c r="A47" s="164"/>
      <c r="B47" s="307">
        <v>15</v>
      </c>
      <c r="C47" s="308">
        <f t="shared" si="1"/>
        <v>36</v>
      </c>
      <c r="D47" s="203" t="s">
        <v>338</v>
      </c>
      <c r="E47" s="203"/>
      <c r="F47" s="172" t="s">
        <v>103</v>
      </c>
      <c r="G47" s="171">
        <f>613531</f>
        <v>613531</v>
      </c>
      <c r="H47" s="171"/>
      <c r="I47" s="171"/>
      <c r="J47" s="178"/>
      <c r="K47" s="171"/>
      <c r="L47" s="295">
        <f t="shared" si="2"/>
        <v>613531</v>
      </c>
    </row>
    <row r="48" spans="1:12" ht="15.75">
      <c r="A48" s="164"/>
      <c r="B48" s="307">
        <v>16</v>
      </c>
      <c r="C48" s="308">
        <f t="shared" si="1"/>
        <v>36</v>
      </c>
      <c r="D48" s="203" t="s">
        <v>339</v>
      </c>
      <c r="E48" s="203"/>
      <c r="F48" s="172" t="s">
        <v>103</v>
      </c>
      <c r="G48" s="171">
        <f>3017601-1331</f>
        <v>3016270</v>
      </c>
      <c r="H48" s="171">
        <v>1020396</v>
      </c>
      <c r="I48" s="171"/>
      <c r="J48" s="178">
        <v>1331</v>
      </c>
      <c r="K48" s="171"/>
      <c r="L48" s="295">
        <f t="shared" si="2"/>
        <v>4037997</v>
      </c>
    </row>
    <row r="49" spans="1:12" ht="15.75">
      <c r="A49" s="164"/>
      <c r="B49" s="307">
        <v>17</v>
      </c>
      <c r="C49" s="308">
        <f t="shared" si="1"/>
      </c>
      <c r="D49" s="203"/>
      <c r="E49" s="203"/>
      <c r="F49" s="172"/>
      <c r="G49" s="171"/>
      <c r="H49" s="171"/>
      <c r="I49" s="171"/>
      <c r="J49" s="178"/>
      <c r="K49" s="171"/>
      <c r="L49" s="295">
        <f t="shared" si="2"/>
        <v>0</v>
      </c>
    </row>
    <row r="50" spans="1:12" ht="15.75">
      <c r="A50" s="164"/>
      <c r="B50" s="307">
        <v>18</v>
      </c>
      <c r="C50" s="308">
        <f t="shared" si="1"/>
      </c>
      <c r="D50" s="203"/>
      <c r="E50" s="203"/>
      <c r="F50" s="172"/>
      <c r="G50" s="171"/>
      <c r="H50" s="171"/>
      <c r="I50" s="171"/>
      <c r="J50" s="178"/>
      <c r="K50" s="171"/>
      <c r="L50" s="295">
        <f t="shared" si="2"/>
        <v>0</v>
      </c>
    </row>
    <row r="51" spans="1:12" ht="15.75">
      <c r="A51" s="164"/>
      <c r="B51" s="307">
        <v>19</v>
      </c>
      <c r="C51" s="308">
        <f t="shared" si="1"/>
      </c>
      <c r="D51" s="203"/>
      <c r="E51" s="203"/>
      <c r="F51" s="172"/>
      <c r="G51" s="171"/>
      <c r="H51" s="171"/>
      <c r="I51" s="171"/>
      <c r="J51" s="178"/>
      <c r="K51" s="171"/>
      <c r="L51" s="295">
        <f t="shared" si="2"/>
        <v>0</v>
      </c>
    </row>
    <row r="52" spans="1:12" ht="15.75" hidden="1">
      <c r="A52" s="164"/>
      <c r="B52" s="307">
        <v>20</v>
      </c>
      <c r="C52" s="308">
        <f t="shared" si="1"/>
      </c>
      <c r="D52" s="203"/>
      <c r="E52" s="203"/>
      <c r="F52" s="172"/>
      <c r="G52" s="171"/>
      <c r="H52" s="171"/>
      <c r="I52" s="171"/>
      <c r="J52" s="178"/>
      <c r="K52" s="171"/>
      <c r="L52" s="295">
        <f t="shared" si="2"/>
        <v>0</v>
      </c>
    </row>
    <row r="53" spans="1:12" ht="15.75" hidden="1">
      <c r="A53" s="164"/>
      <c r="B53" s="307">
        <v>21</v>
      </c>
      <c r="C53" s="308">
        <f t="shared" si="1"/>
      </c>
      <c r="D53" s="203"/>
      <c r="E53" s="203"/>
      <c r="F53" s="172"/>
      <c r="G53" s="171"/>
      <c r="H53" s="171"/>
      <c r="I53" s="171"/>
      <c r="J53" s="178"/>
      <c r="K53" s="171"/>
      <c r="L53" s="295">
        <f t="shared" si="2"/>
        <v>0</v>
      </c>
    </row>
    <row r="54" spans="1:12" ht="15.75" hidden="1">
      <c r="A54" s="164"/>
      <c r="B54" s="307">
        <v>22</v>
      </c>
      <c r="C54" s="308">
        <f t="shared" si="1"/>
      </c>
      <c r="D54" s="203"/>
      <c r="E54" s="203"/>
      <c r="F54" s="172"/>
      <c r="G54" s="171"/>
      <c r="H54" s="171"/>
      <c r="I54" s="171"/>
      <c r="J54" s="178"/>
      <c r="K54" s="171"/>
      <c r="L54" s="295">
        <f t="shared" si="2"/>
        <v>0</v>
      </c>
    </row>
    <row r="55" spans="1:12" ht="15.75" hidden="1">
      <c r="A55" s="164"/>
      <c r="B55" s="307">
        <v>23</v>
      </c>
      <c r="C55" s="308">
        <f t="shared" si="1"/>
      </c>
      <c r="D55" s="203"/>
      <c r="E55" s="203"/>
      <c r="F55" s="172"/>
      <c r="G55" s="171"/>
      <c r="H55" s="171"/>
      <c r="I55" s="171"/>
      <c r="J55" s="178"/>
      <c r="K55" s="171"/>
      <c r="L55" s="295">
        <f t="shared" si="2"/>
        <v>0</v>
      </c>
    </row>
    <row r="56" spans="1:12" ht="15.75" hidden="1">
      <c r="A56" s="164"/>
      <c r="B56" s="307">
        <v>24</v>
      </c>
      <c r="C56" s="308">
        <f t="shared" si="1"/>
      </c>
      <c r="D56" s="203"/>
      <c r="E56" s="203"/>
      <c r="F56" s="172"/>
      <c r="G56" s="171"/>
      <c r="H56" s="171"/>
      <c r="I56" s="171"/>
      <c r="J56" s="178"/>
      <c r="K56" s="171"/>
      <c r="L56" s="295">
        <f t="shared" si="2"/>
        <v>0</v>
      </c>
    </row>
    <row r="57" spans="1:12" ht="15.75" hidden="1">
      <c r="A57" s="164"/>
      <c r="B57" s="307">
        <v>25</v>
      </c>
      <c r="C57" s="308">
        <f t="shared" si="1"/>
      </c>
      <c r="D57" s="203"/>
      <c r="E57" s="203"/>
      <c r="F57" s="172"/>
      <c r="G57" s="171"/>
      <c r="H57" s="171"/>
      <c r="I57" s="171"/>
      <c r="J57" s="178"/>
      <c r="K57" s="171"/>
      <c r="L57" s="295">
        <f t="shared" si="2"/>
        <v>0</v>
      </c>
    </row>
    <row r="58" spans="1:12" ht="15.75" hidden="1">
      <c r="A58" s="164"/>
      <c r="B58" s="307">
        <v>26</v>
      </c>
      <c r="C58" s="308">
        <f t="shared" si="1"/>
      </c>
      <c r="D58" s="203"/>
      <c r="E58" s="203"/>
      <c r="F58" s="172"/>
      <c r="G58" s="171"/>
      <c r="H58" s="171"/>
      <c r="I58" s="171"/>
      <c r="J58" s="178"/>
      <c r="K58" s="171"/>
      <c r="L58" s="295">
        <f t="shared" si="2"/>
        <v>0</v>
      </c>
    </row>
    <row r="59" spans="1:12" ht="15.75" hidden="1">
      <c r="A59" s="164"/>
      <c r="B59" s="307">
        <v>27</v>
      </c>
      <c r="C59" s="308">
        <f t="shared" si="1"/>
      </c>
      <c r="D59" s="203"/>
      <c r="E59" s="203"/>
      <c r="F59" s="172"/>
      <c r="G59" s="171"/>
      <c r="H59" s="171"/>
      <c r="I59" s="171"/>
      <c r="J59" s="178"/>
      <c r="K59" s="171"/>
      <c r="L59" s="295">
        <f t="shared" si="2"/>
        <v>0</v>
      </c>
    </row>
    <row r="60" spans="1:12" ht="15.75" hidden="1">
      <c r="A60" s="164"/>
      <c r="B60" s="307">
        <v>28</v>
      </c>
      <c r="C60" s="308">
        <f t="shared" si="1"/>
      </c>
      <c r="D60" s="203"/>
      <c r="E60" s="203"/>
      <c r="F60" s="172"/>
      <c r="G60" s="171"/>
      <c r="H60" s="171"/>
      <c r="I60" s="171"/>
      <c r="J60" s="178"/>
      <c r="K60" s="171"/>
      <c r="L60" s="295">
        <f t="shared" si="2"/>
        <v>0</v>
      </c>
    </row>
    <row r="61" spans="1:12" ht="15.75" hidden="1">
      <c r="A61" s="164"/>
      <c r="B61" s="307">
        <v>29</v>
      </c>
      <c r="C61" s="308">
        <f t="shared" si="1"/>
      </c>
      <c r="D61" s="203"/>
      <c r="E61" s="203"/>
      <c r="F61" s="172"/>
      <c r="G61" s="171"/>
      <c r="H61" s="171"/>
      <c r="I61" s="171"/>
      <c r="J61" s="178"/>
      <c r="K61" s="171"/>
      <c r="L61" s="295">
        <f t="shared" si="2"/>
        <v>0</v>
      </c>
    </row>
    <row r="62" spans="1:12" ht="15.75" hidden="1">
      <c r="A62" s="164"/>
      <c r="B62" s="307">
        <v>30</v>
      </c>
      <c r="C62" s="308">
        <f t="shared" si="1"/>
      </c>
      <c r="D62" s="203"/>
      <c r="E62" s="203"/>
      <c r="F62" s="172"/>
      <c r="G62" s="171"/>
      <c r="H62" s="171"/>
      <c r="I62" s="171"/>
      <c r="J62" s="178"/>
      <c r="K62" s="171"/>
      <c r="L62" s="295">
        <f t="shared" si="2"/>
        <v>0</v>
      </c>
    </row>
    <row r="63" spans="1:12" ht="15.75" hidden="1">
      <c r="A63" s="164"/>
      <c r="B63" s="307">
        <v>31</v>
      </c>
      <c r="C63" s="308">
        <f t="shared" si="1"/>
      </c>
      <c r="D63" s="203"/>
      <c r="E63" s="203"/>
      <c r="F63" s="172"/>
      <c r="G63" s="171"/>
      <c r="H63" s="171"/>
      <c r="I63" s="171"/>
      <c r="J63" s="178"/>
      <c r="K63" s="171"/>
      <c r="L63" s="295">
        <f t="shared" si="2"/>
        <v>0</v>
      </c>
    </row>
    <row r="64" spans="1:12" ht="15.75" hidden="1">
      <c r="A64" s="164"/>
      <c r="B64" s="307">
        <v>32</v>
      </c>
      <c r="C64" s="308">
        <f t="shared" si="1"/>
      </c>
      <c r="D64" s="203"/>
      <c r="E64" s="203"/>
      <c r="F64" s="172"/>
      <c r="G64" s="171"/>
      <c r="H64" s="171"/>
      <c r="I64" s="171"/>
      <c r="J64" s="178"/>
      <c r="K64" s="171"/>
      <c r="L64" s="295">
        <f t="shared" si="2"/>
        <v>0</v>
      </c>
    </row>
    <row r="65" spans="1:12" ht="15.75" hidden="1">
      <c r="A65" s="164"/>
      <c r="B65" s="307">
        <v>33</v>
      </c>
      <c r="C65" s="308">
        <f aca="true" t="shared" si="3" ref="C65:C96">IF(L65&lt;&gt;0,VLOOKUP($D$7,Info_County_Code,2,FALSE),"")</f>
      </c>
      <c r="D65" s="203"/>
      <c r="E65" s="203"/>
      <c r="F65" s="172"/>
      <c r="G65" s="171"/>
      <c r="H65" s="171"/>
      <c r="I65" s="171"/>
      <c r="J65" s="178"/>
      <c r="K65" s="171"/>
      <c r="L65" s="295">
        <f t="shared" si="2"/>
        <v>0</v>
      </c>
    </row>
    <row r="66" spans="1:12" ht="15.75" hidden="1">
      <c r="A66" s="164"/>
      <c r="B66" s="307">
        <v>34</v>
      </c>
      <c r="C66" s="308">
        <f t="shared" si="3"/>
      </c>
      <c r="D66" s="203"/>
      <c r="E66" s="203"/>
      <c r="F66" s="172"/>
      <c r="G66" s="171"/>
      <c r="H66" s="171"/>
      <c r="I66" s="171"/>
      <c r="J66" s="178"/>
      <c r="K66" s="171"/>
      <c r="L66" s="295">
        <f t="shared" si="2"/>
        <v>0</v>
      </c>
    </row>
    <row r="67" spans="1:12" ht="15.75" hidden="1">
      <c r="A67" s="164"/>
      <c r="B67" s="307">
        <v>35</v>
      </c>
      <c r="C67" s="308">
        <f t="shared" si="3"/>
      </c>
      <c r="D67" s="203"/>
      <c r="E67" s="203"/>
      <c r="F67" s="172"/>
      <c r="G67" s="171"/>
      <c r="H67" s="171"/>
      <c r="I67" s="171"/>
      <c r="J67" s="178"/>
      <c r="K67" s="171"/>
      <c r="L67" s="295">
        <f t="shared" si="2"/>
        <v>0</v>
      </c>
    </row>
    <row r="68" spans="1:12" ht="15.75" hidden="1">
      <c r="A68" s="164"/>
      <c r="B68" s="307">
        <v>36</v>
      </c>
      <c r="C68" s="308">
        <f t="shared" si="3"/>
      </c>
      <c r="D68" s="203"/>
      <c r="E68" s="203"/>
      <c r="F68" s="172"/>
      <c r="G68" s="171"/>
      <c r="H68" s="171"/>
      <c r="I68" s="171"/>
      <c r="J68" s="178"/>
      <c r="K68" s="171"/>
      <c r="L68" s="295">
        <f t="shared" si="2"/>
        <v>0</v>
      </c>
    </row>
    <row r="69" spans="1:12" ht="15.75" hidden="1">
      <c r="A69" s="164"/>
      <c r="B69" s="307">
        <v>37</v>
      </c>
      <c r="C69" s="308">
        <f t="shared" si="3"/>
      </c>
      <c r="D69" s="203"/>
      <c r="E69" s="203"/>
      <c r="F69" s="172"/>
      <c r="G69" s="171"/>
      <c r="H69" s="171"/>
      <c r="I69" s="171"/>
      <c r="J69" s="178"/>
      <c r="K69" s="171"/>
      <c r="L69" s="295">
        <f t="shared" si="2"/>
        <v>0</v>
      </c>
    </row>
    <row r="70" spans="1:12" ht="15.75" hidden="1">
      <c r="A70" s="164"/>
      <c r="B70" s="307">
        <v>38</v>
      </c>
      <c r="C70" s="308">
        <f t="shared" si="3"/>
      </c>
      <c r="D70" s="203"/>
      <c r="E70" s="203"/>
      <c r="F70" s="172"/>
      <c r="G70" s="171"/>
      <c r="H70" s="171"/>
      <c r="I70" s="171"/>
      <c r="J70" s="178"/>
      <c r="K70" s="171"/>
      <c r="L70" s="295">
        <f t="shared" si="2"/>
        <v>0</v>
      </c>
    </row>
    <row r="71" spans="1:12" ht="15.75" hidden="1">
      <c r="A71" s="164"/>
      <c r="B71" s="307">
        <v>39</v>
      </c>
      <c r="C71" s="308">
        <f t="shared" si="3"/>
      </c>
      <c r="D71" s="203"/>
      <c r="E71" s="203"/>
      <c r="F71" s="172"/>
      <c r="G71" s="171"/>
      <c r="H71" s="171"/>
      <c r="I71" s="171"/>
      <c r="J71" s="178"/>
      <c r="K71" s="171"/>
      <c r="L71" s="295">
        <f t="shared" si="2"/>
        <v>0</v>
      </c>
    </row>
    <row r="72" spans="1:12" ht="15.75" hidden="1">
      <c r="A72" s="164"/>
      <c r="B72" s="307">
        <v>40</v>
      </c>
      <c r="C72" s="308">
        <f t="shared" si="3"/>
      </c>
      <c r="D72" s="203"/>
      <c r="E72" s="203"/>
      <c r="F72" s="172"/>
      <c r="G72" s="171"/>
      <c r="H72" s="171"/>
      <c r="I72" s="171"/>
      <c r="J72" s="178"/>
      <c r="K72" s="171"/>
      <c r="L72" s="295">
        <f t="shared" si="2"/>
        <v>0</v>
      </c>
    </row>
    <row r="73" spans="1:12" ht="15.75" hidden="1">
      <c r="A73" s="164"/>
      <c r="B73" s="307">
        <v>41</v>
      </c>
      <c r="C73" s="308">
        <f t="shared" si="3"/>
      </c>
      <c r="D73" s="203"/>
      <c r="E73" s="203"/>
      <c r="F73" s="172"/>
      <c r="G73" s="171"/>
      <c r="H73" s="171"/>
      <c r="I73" s="171"/>
      <c r="J73" s="178"/>
      <c r="K73" s="171"/>
      <c r="L73" s="295">
        <f t="shared" si="2"/>
        <v>0</v>
      </c>
    </row>
    <row r="74" spans="1:12" ht="15.75" hidden="1">
      <c r="A74" s="164"/>
      <c r="B74" s="307">
        <v>42</v>
      </c>
      <c r="C74" s="308">
        <f t="shared" si="3"/>
      </c>
      <c r="D74" s="203"/>
      <c r="E74" s="203"/>
      <c r="F74" s="172"/>
      <c r="G74" s="171"/>
      <c r="H74" s="171"/>
      <c r="I74" s="171"/>
      <c r="J74" s="178"/>
      <c r="K74" s="171"/>
      <c r="L74" s="295">
        <f t="shared" si="2"/>
        <v>0</v>
      </c>
    </row>
    <row r="75" spans="1:12" ht="15.75" hidden="1">
      <c r="A75" s="164"/>
      <c r="B75" s="307">
        <v>43</v>
      </c>
      <c r="C75" s="308">
        <f t="shared" si="3"/>
      </c>
      <c r="D75" s="203"/>
      <c r="E75" s="203"/>
      <c r="F75" s="172"/>
      <c r="G75" s="171"/>
      <c r="H75" s="171"/>
      <c r="I75" s="171"/>
      <c r="J75" s="178"/>
      <c r="K75" s="171"/>
      <c r="L75" s="295">
        <f t="shared" si="2"/>
        <v>0</v>
      </c>
    </row>
    <row r="76" spans="1:12" ht="15.75" hidden="1">
      <c r="A76" s="164"/>
      <c r="B76" s="307">
        <v>44</v>
      </c>
      <c r="C76" s="308">
        <f t="shared" si="3"/>
      </c>
      <c r="D76" s="203"/>
      <c r="E76" s="203"/>
      <c r="F76" s="172"/>
      <c r="G76" s="171"/>
      <c r="H76" s="171"/>
      <c r="I76" s="171"/>
      <c r="J76" s="178"/>
      <c r="K76" s="171"/>
      <c r="L76" s="295">
        <f t="shared" si="2"/>
        <v>0</v>
      </c>
    </row>
    <row r="77" spans="1:12" ht="15.75" hidden="1">
      <c r="A77" s="164"/>
      <c r="B77" s="307">
        <v>45</v>
      </c>
      <c r="C77" s="308">
        <f t="shared" si="3"/>
      </c>
      <c r="D77" s="203"/>
      <c r="E77" s="203"/>
      <c r="F77" s="172"/>
      <c r="G77" s="171"/>
      <c r="H77" s="171"/>
      <c r="I77" s="171"/>
      <c r="J77" s="178"/>
      <c r="K77" s="171"/>
      <c r="L77" s="295">
        <f>SUM(G77:K77)</f>
        <v>0</v>
      </c>
    </row>
    <row r="78" spans="1:12" ht="15.75" hidden="1">
      <c r="A78" s="164"/>
      <c r="B78" s="307">
        <v>46</v>
      </c>
      <c r="C78" s="308">
        <f t="shared" si="3"/>
      </c>
      <c r="D78" s="203"/>
      <c r="E78" s="203"/>
      <c r="F78" s="172"/>
      <c r="G78" s="171"/>
      <c r="H78" s="171"/>
      <c r="I78" s="171"/>
      <c r="J78" s="178"/>
      <c r="K78" s="171"/>
      <c r="L78" s="295">
        <f t="shared" si="2"/>
        <v>0</v>
      </c>
    </row>
    <row r="79" spans="1:12" ht="15.75" hidden="1">
      <c r="A79" s="164"/>
      <c r="B79" s="307">
        <v>47</v>
      </c>
      <c r="C79" s="308">
        <f t="shared" si="3"/>
      </c>
      <c r="D79" s="203"/>
      <c r="E79" s="203"/>
      <c r="F79" s="172"/>
      <c r="G79" s="171"/>
      <c r="H79" s="171"/>
      <c r="I79" s="171"/>
      <c r="J79" s="178"/>
      <c r="K79" s="171"/>
      <c r="L79" s="295">
        <f t="shared" si="2"/>
        <v>0</v>
      </c>
    </row>
    <row r="80" spans="1:12" ht="15.75" hidden="1">
      <c r="A80" s="164"/>
      <c r="B80" s="307">
        <v>48</v>
      </c>
      <c r="C80" s="308">
        <f t="shared" si="3"/>
      </c>
      <c r="D80" s="203"/>
      <c r="E80" s="203"/>
      <c r="F80" s="172"/>
      <c r="G80" s="171"/>
      <c r="H80" s="171"/>
      <c r="I80" s="171"/>
      <c r="J80" s="178"/>
      <c r="K80" s="171"/>
      <c r="L80" s="295">
        <f t="shared" si="2"/>
        <v>0</v>
      </c>
    </row>
    <row r="81" spans="1:12" ht="15.75" hidden="1">
      <c r="A81" s="164"/>
      <c r="B81" s="307">
        <v>49</v>
      </c>
      <c r="C81" s="308">
        <f t="shared" si="3"/>
      </c>
      <c r="D81" s="203"/>
      <c r="E81" s="203"/>
      <c r="F81" s="172"/>
      <c r="G81" s="171"/>
      <c r="H81" s="171"/>
      <c r="I81" s="171"/>
      <c r="J81" s="178"/>
      <c r="K81" s="171"/>
      <c r="L81" s="295">
        <f t="shared" si="2"/>
        <v>0</v>
      </c>
    </row>
    <row r="82" spans="1:12" ht="15.75" hidden="1">
      <c r="A82" s="164"/>
      <c r="B82" s="307">
        <v>50</v>
      </c>
      <c r="C82" s="308">
        <f t="shared" si="3"/>
      </c>
      <c r="D82" s="205"/>
      <c r="E82" s="205"/>
      <c r="F82" s="172"/>
      <c r="G82" s="171"/>
      <c r="H82" s="171"/>
      <c r="I82" s="171"/>
      <c r="J82" s="178"/>
      <c r="K82" s="171"/>
      <c r="L82" s="295">
        <f t="shared" si="2"/>
        <v>0</v>
      </c>
    </row>
    <row r="83" spans="1:12" ht="15.75" hidden="1">
      <c r="A83" s="164"/>
      <c r="B83" s="307">
        <v>51</v>
      </c>
      <c r="C83" s="308">
        <f t="shared" si="3"/>
      </c>
      <c r="D83" s="188"/>
      <c r="E83" s="188"/>
      <c r="F83" s="172"/>
      <c r="G83" s="171"/>
      <c r="H83" s="171"/>
      <c r="I83" s="171"/>
      <c r="J83" s="178"/>
      <c r="K83" s="171"/>
      <c r="L83" s="295">
        <f t="shared" si="2"/>
        <v>0</v>
      </c>
    </row>
    <row r="84" spans="1:12" ht="15.75" hidden="1">
      <c r="A84" s="164"/>
      <c r="B84" s="307">
        <v>52</v>
      </c>
      <c r="C84" s="308">
        <f t="shared" si="3"/>
      </c>
      <c r="D84" s="188"/>
      <c r="E84" s="188"/>
      <c r="F84" s="172"/>
      <c r="G84" s="171"/>
      <c r="H84" s="171"/>
      <c r="I84" s="171"/>
      <c r="J84" s="178"/>
      <c r="K84" s="171"/>
      <c r="L84" s="295">
        <f t="shared" si="2"/>
        <v>0</v>
      </c>
    </row>
    <row r="85" spans="1:12" ht="15.75" hidden="1">
      <c r="A85" s="164"/>
      <c r="B85" s="307">
        <v>53</v>
      </c>
      <c r="C85" s="308">
        <f t="shared" si="3"/>
      </c>
      <c r="D85" s="188"/>
      <c r="E85" s="188"/>
      <c r="F85" s="172"/>
      <c r="G85" s="171"/>
      <c r="H85" s="171"/>
      <c r="I85" s="171"/>
      <c r="J85" s="178"/>
      <c r="K85" s="171"/>
      <c r="L85" s="295">
        <f t="shared" si="2"/>
        <v>0</v>
      </c>
    </row>
    <row r="86" spans="1:12" ht="15.75" hidden="1">
      <c r="A86" s="164"/>
      <c r="B86" s="307">
        <v>54</v>
      </c>
      <c r="C86" s="308">
        <f t="shared" si="3"/>
      </c>
      <c r="D86" s="188"/>
      <c r="E86" s="188"/>
      <c r="F86" s="172"/>
      <c r="G86" s="171"/>
      <c r="H86" s="171"/>
      <c r="I86" s="171"/>
      <c r="J86" s="178"/>
      <c r="K86" s="171"/>
      <c r="L86" s="295">
        <f t="shared" si="2"/>
        <v>0</v>
      </c>
    </row>
    <row r="87" spans="1:12" ht="15.75" hidden="1">
      <c r="A87" s="164"/>
      <c r="B87" s="307">
        <v>55</v>
      </c>
      <c r="C87" s="308">
        <f t="shared" si="3"/>
      </c>
      <c r="D87" s="188"/>
      <c r="E87" s="188"/>
      <c r="F87" s="172"/>
      <c r="G87" s="171"/>
      <c r="H87" s="171"/>
      <c r="I87" s="171"/>
      <c r="J87" s="178"/>
      <c r="K87" s="171"/>
      <c r="L87" s="295">
        <f t="shared" si="2"/>
        <v>0</v>
      </c>
    </row>
    <row r="88" spans="1:12" ht="15.75" hidden="1">
      <c r="A88" s="164"/>
      <c r="B88" s="307">
        <v>56</v>
      </c>
      <c r="C88" s="308">
        <f t="shared" si="3"/>
      </c>
      <c r="D88" s="188"/>
      <c r="E88" s="188"/>
      <c r="F88" s="172"/>
      <c r="G88" s="171"/>
      <c r="H88" s="171"/>
      <c r="I88" s="171"/>
      <c r="J88" s="178"/>
      <c r="K88" s="171"/>
      <c r="L88" s="295">
        <f t="shared" si="2"/>
        <v>0</v>
      </c>
    </row>
    <row r="89" spans="1:12" ht="15.75" hidden="1">
      <c r="A89" s="164"/>
      <c r="B89" s="307">
        <v>57</v>
      </c>
      <c r="C89" s="308">
        <f t="shared" si="3"/>
      </c>
      <c r="D89" s="188"/>
      <c r="E89" s="188"/>
      <c r="F89" s="172"/>
      <c r="G89" s="171"/>
      <c r="H89" s="171"/>
      <c r="I89" s="171"/>
      <c r="J89" s="178"/>
      <c r="K89" s="171"/>
      <c r="L89" s="295">
        <f t="shared" si="2"/>
        <v>0</v>
      </c>
    </row>
    <row r="90" spans="1:12" ht="15.75" hidden="1">
      <c r="A90" s="164"/>
      <c r="B90" s="307">
        <v>58</v>
      </c>
      <c r="C90" s="308">
        <f t="shared" si="3"/>
      </c>
      <c r="D90" s="188"/>
      <c r="E90" s="188"/>
      <c r="F90" s="172"/>
      <c r="G90" s="171"/>
      <c r="H90" s="171"/>
      <c r="I90" s="171"/>
      <c r="J90" s="178"/>
      <c r="K90" s="171"/>
      <c r="L90" s="295">
        <f t="shared" si="2"/>
        <v>0</v>
      </c>
    </row>
    <row r="91" spans="1:12" ht="15.75" hidden="1">
      <c r="A91" s="164"/>
      <c r="B91" s="307">
        <v>59</v>
      </c>
      <c r="C91" s="308">
        <f t="shared" si="3"/>
      </c>
      <c r="D91" s="188"/>
      <c r="E91" s="188"/>
      <c r="F91" s="172"/>
      <c r="G91" s="171"/>
      <c r="H91" s="171"/>
      <c r="I91" s="171"/>
      <c r="J91" s="178"/>
      <c r="K91" s="171"/>
      <c r="L91" s="295">
        <f t="shared" si="2"/>
        <v>0</v>
      </c>
    </row>
    <row r="92" spans="1:12" ht="15.75" hidden="1">
      <c r="A92" s="164"/>
      <c r="B92" s="307">
        <v>60</v>
      </c>
      <c r="C92" s="308">
        <f t="shared" si="3"/>
      </c>
      <c r="D92" s="188"/>
      <c r="E92" s="188"/>
      <c r="F92" s="172"/>
      <c r="G92" s="171"/>
      <c r="H92" s="171"/>
      <c r="I92" s="171"/>
      <c r="J92" s="178"/>
      <c r="K92" s="171"/>
      <c r="L92" s="295">
        <f t="shared" si="2"/>
        <v>0</v>
      </c>
    </row>
    <row r="93" spans="1:12" ht="15.75" hidden="1">
      <c r="A93" s="164"/>
      <c r="B93" s="307">
        <v>61</v>
      </c>
      <c r="C93" s="308">
        <f t="shared" si="3"/>
      </c>
      <c r="D93" s="188"/>
      <c r="E93" s="188"/>
      <c r="F93" s="172"/>
      <c r="G93" s="171"/>
      <c r="H93" s="171"/>
      <c r="I93" s="171"/>
      <c r="J93" s="178"/>
      <c r="K93" s="171"/>
      <c r="L93" s="295">
        <f t="shared" si="2"/>
        <v>0</v>
      </c>
    </row>
    <row r="94" spans="1:12" ht="15.75" hidden="1">
      <c r="A94" s="164"/>
      <c r="B94" s="307">
        <v>62</v>
      </c>
      <c r="C94" s="308">
        <f t="shared" si="3"/>
      </c>
      <c r="D94" s="188"/>
      <c r="E94" s="188"/>
      <c r="F94" s="172"/>
      <c r="G94" s="171"/>
      <c r="H94" s="171"/>
      <c r="I94" s="171"/>
      <c r="J94" s="178"/>
      <c r="K94" s="171"/>
      <c r="L94" s="295">
        <f t="shared" si="2"/>
        <v>0</v>
      </c>
    </row>
    <row r="95" spans="1:12" ht="15.75" hidden="1">
      <c r="A95" s="164"/>
      <c r="B95" s="307">
        <v>63</v>
      </c>
      <c r="C95" s="308">
        <f t="shared" si="3"/>
      </c>
      <c r="D95" s="188"/>
      <c r="E95" s="188"/>
      <c r="F95" s="172"/>
      <c r="G95" s="171"/>
      <c r="H95" s="171"/>
      <c r="I95" s="171"/>
      <c r="J95" s="178"/>
      <c r="K95" s="171"/>
      <c r="L95" s="295">
        <f t="shared" si="2"/>
        <v>0</v>
      </c>
    </row>
    <row r="96" spans="1:12" ht="15.75" hidden="1">
      <c r="A96" s="164"/>
      <c r="B96" s="307">
        <v>64</v>
      </c>
      <c r="C96" s="308">
        <f t="shared" si="3"/>
      </c>
      <c r="D96" s="188"/>
      <c r="E96" s="188"/>
      <c r="F96" s="172"/>
      <c r="G96" s="171"/>
      <c r="H96" s="171"/>
      <c r="I96" s="171"/>
      <c r="J96" s="178"/>
      <c r="K96" s="171"/>
      <c r="L96" s="295">
        <f t="shared" si="2"/>
        <v>0</v>
      </c>
    </row>
    <row r="97" spans="1:12" ht="15.75" hidden="1">
      <c r="A97" s="164"/>
      <c r="B97" s="307">
        <v>65</v>
      </c>
      <c r="C97" s="308">
        <f aca="true" t="shared" si="4" ref="C97:C132">IF(L97&lt;&gt;0,VLOOKUP($D$7,Info_County_Code,2,FALSE),"")</f>
      </c>
      <c r="D97" s="188"/>
      <c r="E97" s="188"/>
      <c r="F97" s="172"/>
      <c r="G97" s="171"/>
      <c r="H97" s="171"/>
      <c r="I97" s="171"/>
      <c r="J97" s="178"/>
      <c r="K97" s="171"/>
      <c r="L97" s="295">
        <f t="shared" si="2"/>
        <v>0</v>
      </c>
    </row>
    <row r="98" spans="1:12" ht="15.75" hidden="1">
      <c r="A98" s="164"/>
      <c r="B98" s="307">
        <v>66</v>
      </c>
      <c r="C98" s="308">
        <f t="shared" si="4"/>
      </c>
      <c r="D98" s="188"/>
      <c r="E98" s="188"/>
      <c r="F98" s="172"/>
      <c r="G98" s="171"/>
      <c r="H98" s="171"/>
      <c r="I98" s="171"/>
      <c r="J98" s="178"/>
      <c r="K98" s="171"/>
      <c r="L98" s="295">
        <f aca="true" t="shared" si="5" ref="L98:L109">SUM(G98:K98)</f>
        <v>0</v>
      </c>
    </row>
    <row r="99" spans="1:12" ht="15.75" hidden="1">
      <c r="A99" s="164"/>
      <c r="B99" s="307">
        <v>67</v>
      </c>
      <c r="C99" s="308">
        <f t="shared" si="4"/>
      </c>
      <c r="D99" s="188"/>
      <c r="E99" s="188"/>
      <c r="F99" s="172"/>
      <c r="G99" s="171"/>
      <c r="H99" s="171"/>
      <c r="I99" s="171"/>
      <c r="J99" s="178"/>
      <c r="K99" s="171"/>
      <c r="L99" s="295">
        <f t="shared" si="5"/>
        <v>0</v>
      </c>
    </row>
    <row r="100" spans="1:12" ht="15.75" hidden="1">
      <c r="A100" s="164"/>
      <c r="B100" s="307">
        <v>68</v>
      </c>
      <c r="C100" s="308">
        <f t="shared" si="4"/>
      </c>
      <c r="D100" s="188"/>
      <c r="E100" s="188"/>
      <c r="F100" s="172"/>
      <c r="G100" s="171"/>
      <c r="H100" s="171"/>
      <c r="I100" s="171"/>
      <c r="J100" s="178"/>
      <c r="K100" s="171"/>
      <c r="L100" s="295">
        <f t="shared" si="5"/>
        <v>0</v>
      </c>
    </row>
    <row r="101" spans="1:12" ht="15.75" hidden="1">
      <c r="A101" s="164"/>
      <c r="B101" s="307">
        <v>69</v>
      </c>
      <c r="C101" s="308">
        <f t="shared" si="4"/>
      </c>
      <c r="D101" s="188"/>
      <c r="E101" s="188"/>
      <c r="F101" s="172"/>
      <c r="G101" s="171"/>
      <c r="H101" s="171"/>
      <c r="I101" s="171"/>
      <c r="J101" s="178"/>
      <c r="K101" s="171"/>
      <c r="L101" s="295">
        <f t="shared" si="5"/>
        <v>0</v>
      </c>
    </row>
    <row r="102" spans="1:12" ht="15.75" hidden="1">
      <c r="A102" s="164"/>
      <c r="B102" s="307">
        <v>70</v>
      </c>
      <c r="C102" s="308">
        <f t="shared" si="4"/>
      </c>
      <c r="D102" s="188"/>
      <c r="E102" s="188"/>
      <c r="F102" s="172"/>
      <c r="G102" s="171"/>
      <c r="H102" s="171"/>
      <c r="I102" s="171"/>
      <c r="J102" s="178"/>
      <c r="K102" s="171"/>
      <c r="L102" s="295">
        <f t="shared" si="5"/>
        <v>0</v>
      </c>
    </row>
    <row r="103" spans="1:12" ht="15.75" hidden="1">
      <c r="A103" s="164"/>
      <c r="B103" s="307">
        <v>71</v>
      </c>
      <c r="C103" s="308">
        <f t="shared" si="4"/>
      </c>
      <c r="D103" s="188"/>
      <c r="E103" s="188"/>
      <c r="F103" s="172"/>
      <c r="G103" s="171"/>
      <c r="H103" s="171"/>
      <c r="I103" s="171"/>
      <c r="J103" s="178"/>
      <c r="K103" s="171"/>
      <c r="L103" s="295">
        <f t="shared" si="5"/>
        <v>0</v>
      </c>
    </row>
    <row r="104" spans="1:12" ht="15.75" hidden="1">
      <c r="A104" s="164"/>
      <c r="B104" s="307">
        <v>72</v>
      </c>
      <c r="C104" s="308">
        <f t="shared" si="4"/>
      </c>
      <c r="D104" s="188"/>
      <c r="E104" s="188"/>
      <c r="F104" s="172"/>
      <c r="G104" s="171"/>
      <c r="H104" s="171"/>
      <c r="I104" s="171"/>
      <c r="J104" s="178"/>
      <c r="K104" s="171"/>
      <c r="L104" s="295">
        <f t="shared" si="5"/>
        <v>0</v>
      </c>
    </row>
    <row r="105" spans="1:12" ht="15.75" hidden="1">
      <c r="A105" s="164"/>
      <c r="B105" s="307">
        <v>73</v>
      </c>
      <c r="C105" s="308">
        <f t="shared" si="4"/>
      </c>
      <c r="D105" s="188"/>
      <c r="E105" s="188"/>
      <c r="F105" s="172"/>
      <c r="G105" s="171"/>
      <c r="H105" s="171"/>
      <c r="I105" s="171"/>
      <c r="J105" s="178"/>
      <c r="K105" s="171"/>
      <c r="L105" s="295">
        <f t="shared" si="5"/>
        <v>0</v>
      </c>
    </row>
    <row r="106" spans="1:12" ht="15.75" hidden="1">
      <c r="A106" s="164"/>
      <c r="B106" s="307">
        <v>74</v>
      </c>
      <c r="C106" s="308">
        <f t="shared" si="4"/>
      </c>
      <c r="D106" s="188"/>
      <c r="E106" s="188"/>
      <c r="F106" s="172"/>
      <c r="G106" s="171"/>
      <c r="H106" s="171"/>
      <c r="I106" s="171"/>
      <c r="J106" s="178"/>
      <c r="K106" s="171"/>
      <c r="L106" s="295">
        <f t="shared" si="5"/>
        <v>0</v>
      </c>
    </row>
    <row r="107" spans="1:12" ht="15.75" hidden="1">
      <c r="A107" s="164"/>
      <c r="B107" s="307">
        <v>75</v>
      </c>
      <c r="C107" s="308">
        <f t="shared" si="4"/>
      </c>
      <c r="D107" s="188"/>
      <c r="E107" s="188"/>
      <c r="F107" s="172"/>
      <c r="G107" s="171"/>
      <c r="H107" s="171"/>
      <c r="I107" s="171"/>
      <c r="J107" s="178"/>
      <c r="K107" s="171"/>
      <c r="L107" s="295">
        <f t="shared" si="5"/>
        <v>0</v>
      </c>
    </row>
    <row r="108" spans="1:12" ht="15.75" hidden="1">
      <c r="A108" s="164"/>
      <c r="B108" s="307">
        <v>76</v>
      </c>
      <c r="C108" s="308">
        <f t="shared" si="4"/>
      </c>
      <c r="D108" s="188"/>
      <c r="E108" s="188"/>
      <c r="F108" s="172"/>
      <c r="G108" s="171"/>
      <c r="H108" s="171"/>
      <c r="I108" s="171"/>
      <c r="J108" s="178"/>
      <c r="K108" s="171"/>
      <c r="L108" s="295">
        <f t="shared" si="5"/>
        <v>0</v>
      </c>
    </row>
    <row r="109" spans="1:12" ht="15.75" hidden="1">
      <c r="A109" s="164"/>
      <c r="B109" s="307">
        <v>77</v>
      </c>
      <c r="C109" s="308">
        <f t="shared" si="4"/>
      </c>
      <c r="D109" s="188"/>
      <c r="E109" s="188"/>
      <c r="F109" s="172"/>
      <c r="G109" s="171"/>
      <c r="H109" s="171"/>
      <c r="I109" s="171"/>
      <c r="J109" s="178"/>
      <c r="K109" s="171"/>
      <c r="L109" s="295">
        <f t="shared" si="5"/>
        <v>0</v>
      </c>
    </row>
    <row r="110" spans="1:12" ht="15.75" hidden="1">
      <c r="A110" s="164"/>
      <c r="B110" s="307">
        <v>78</v>
      </c>
      <c r="C110" s="308">
        <f t="shared" si="4"/>
      </c>
      <c r="D110" s="188"/>
      <c r="E110" s="188"/>
      <c r="F110" s="172"/>
      <c r="G110" s="171"/>
      <c r="H110" s="171"/>
      <c r="I110" s="171"/>
      <c r="J110" s="178"/>
      <c r="K110" s="171"/>
      <c r="L110" s="295">
        <f>SUM(G110:K110)</f>
        <v>0</v>
      </c>
    </row>
    <row r="111" spans="1:12" ht="15.75" hidden="1">
      <c r="A111" s="164"/>
      <c r="B111" s="307">
        <v>79</v>
      </c>
      <c r="C111" s="308">
        <f t="shared" si="4"/>
      </c>
      <c r="D111" s="188"/>
      <c r="E111" s="188"/>
      <c r="F111" s="172"/>
      <c r="G111" s="171"/>
      <c r="H111" s="171"/>
      <c r="I111" s="171"/>
      <c r="J111" s="178"/>
      <c r="K111" s="171"/>
      <c r="L111" s="295">
        <f aca="true" t="shared" si="6" ref="L111:L119">SUM(G111:K111)</f>
        <v>0</v>
      </c>
    </row>
    <row r="112" spans="1:12" ht="15.75" hidden="1">
      <c r="A112" s="164"/>
      <c r="B112" s="307">
        <v>80</v>
      </c>
      <c r="C112" s="308">
        <f t="shared" si="4"/>
      </c>
      <c r="D112" s="188"/>
      <c r="E112" s="188"/>
      <c r="F112" s="172"/>
      <c r="G112" s="171"/>
      <c r="H112" s="171"/>
      <c r="I112" s="171"/>
      <c r="J112" s="178"/>
      <c r="K112" s="171"/>
      <c r="L112" s="295">
        <f t="shared" si="6"/>
        <v>0</v>
      </c>
    </row>
    <row r="113" spans="1:12" ht="15.75" hidden="1">
      <c r="A113" s="164"/>
      <c r="B113" s="307">
        <v>81</v>
      </c>
      <c r="C113" s="308">
        <f t="shared" si="4"/>
      </c>
      <c r="D113" s="188"/>
      <c r="E113" s="188"/>
      <c r="F113" s="172"/>
      <c r="G113" s="171"/>
      <c r="H113" s="171"/>
      <c r="I113" s="171"/>
      <c r="J113" s="178"/>
      <c r="K113" s="171"/>
      <c r="L113" s="295">
        <f t="shared" si="6"/>
        <v>0</v>
      </c>
    </row>
    <row r="114" spans="1:12" ht="15.75" hidden="1">
      <c r="A114" s="164"/>
      <c r="B114" s="307">
        <v>82</v>
      </c>
      <c r="C114" s="308">
        <f t="shared" si="4"/>
      </c>
      <c r="D114" s="188"/>
      <c r="E114" s="188"/>
      <c r="F114" s="172"/>
      <c r="G114" s="171"/>
      <c r="H114" s="171"/>
      <c r="I114" s="171"/>
      <c r="J114" s="178"/>
      <c r="K114" s="171"/>
      <c r="L114" s="295">
        <f t="shared" si="6"/>
        <v>0</v>
      </c>
    </row>
    <row r="115" spans="1:12" ht="15.75" hidden="1">
      <c r="A115" s="164"/>
      <c r="B115" s="307">
        <v>83</v>
      </c>
      <c r="C115" s="308">
        <f t="shared" si="4"/>
      </c>
      <c r="D115" s="188"/>
      <c r="E115" s="188"/>
      <c r="F115" s="172"/>
      <c r="G115" s="171"/>
      <c r="H115" s="171"/>
      <c r="I115" s="171"/>
      <c r="J115" s="178"/>
      <c r="K115" s="171"/>
      <c r="L115" s="295">
        <f t="shared" si="6"/>
        <v>0</v>
      </c>
    </row>
    <row r="116" spans="1:12" ht="15.75" hidden="1">
      <c r="A116" s="164"/>
      <c r="B116" s="307">
        <v>84</v>
      </c>
      <c r="C116" s="308">
        <f t="shared" si="4"/>
      </c>
      <c r="D116" s="188"/>
      <c r="E116" s="188"/>
      <c r="F116" s="172"/>
      <c r="G116" s="171"/>
      <c r="H116" s="171"/>
      <c r="I116" s="171"/>
      <c r="J116" s="178"/>
      <c r="K116" s="171"/>
      <c r="L116" s="295">
        <f t="shared" si="6"/>
        <v>0</v>
      </c>
    </row>
    <row r="117" spans="1:12" ht="15.75" hidden="1">
      <c r="A117" s="164"/>
      <c r="B117" s="307">
        <v>85</v>
      </c>
      <c r="C117" s="308">
        <f t="shared" si="4"/>
      </c>
      <c r="D117" s="188"/>
      <c r="E117" s="188"/>
      <c r="F117" s="172"/>
      <c r="G117" s="171"/>
      <c r="H117" s="171"/>
      <c r="I117" s="171"/>
      <c r="J117" s="178"/>
      <c r="K117" s="171"/>
      <c r="L117" s="295">
        <f t="shared" si="6"/>
        <v>0</v>
      </c>
    </row>
    <row r="118" spans="1:12" ht="15.75" hidden="1">
      <c r="A118" s="164"/>
      <c r="B118" s="307">
        <v>86</v>
      </c>
      <c r="C118" s="308">
        <f t="shared" si="4"/>
      </c>
      <c r="D118" s="188"/>
      <c r="E118" s="188"/>
      <c r="F118" s="172"/>
      <c r="G118" s="171"/>
      <c r="H118" s="171"/>
      <c r="I118" s="171"/>
      <c r="J118" s="178"/>
      <c r="K118" s="171"/>
      <c r="L118" s="295">
        <f t="shared" si="6"/>
        <v>0</v>
      </c>
    </row>
    <row r="119" spans="1:12" ht="15.75" hidden="1">
      <c r="A119" s="164"/>
      <c r="B119" s="307">
        <v>87</v>
      </c>
      <c r="C119" s="308">
        <f t="shared" si="4"/>
      </c>
      <c r="D119" s="188"/>
      <c r="E119" s="188"/>
      <c r="F119" s="172"/>
      <c r="G119" s="171"/>
      <c r="H119" s="171"/>
      <c r="I119" s="171"/>
      <c r="J119" s="178"/>
      <c r="K119" s="171"/>
      <c r="L119" s="295">
        <f t="shared" si="6"/>
        <v>0</v>
      </c>
    </row>
    <row r="120" spans="1:12" ht="15.75" hidden="1">
      <c r="A120" s="164"/>
      <c r="B120" s="307">
        <v>88</v>
      </c>
      <c r="C120" s="308">
        <f t="shared" si="4"/>
      </c>
      <c r="D120" s="188"/>
      <c r="E120" s="188"/>
      <c r="F120" s="172"/>
      <c r="G120" s="171"/>
      <c r="H120" s="171"/>
      <c r="I120" s="171"/>
      <c r="J120" s="178"/>
      <c r="K120" s="171"/>
      <c r="L120" s="295">
        <f>SUM(G120:K120)</f>
        <v>0</v>
      </c>
    </row>
    <row r="121" spans="1:12" ht="15.75" hidden="1">
      <c r="A121" s="164"/>
      <c r="B121" s="307">
        <v>89</v>
      </c>
      <c r="C121" s="308">
        <f t="shared" si="4"/>
      </c>
      <c r="D121" s="188"/>
      <c r="E121" s="188"/>
      <c r="F121" s="172"/>
      <c r="G121" s="171"/>
      <c r="H121" s="171"/>
      <c r="I121" s="171"/>
      <c r="J121" s="178"/>
      <c r="K121" s="171"/>
      <c r="L121" s="295">
        <f aca="true" t="shared" si="7" ref="L121:L126">SUM(G121:K121)</f>
        <v>0</v>
      </c>
    </row>
    <row r="122" spans="1:12" ht="15.75" hidden="1">
      <c r="A122" s="164"/>
      <c r="B122" s="307">
        <v>90</v>
      </c>
      <c r="C122" s="308">
        <f t="shared" si="4"/>
      </c>
      <c r="D122" s="188"/>
      <c r="E122" s="188"/>
      <c r="F122" s="172"/>
      <c r="G122" s="171"/>
      <c r="H122" s="171"/>
      <c r="I122" s="171"/>
      <c r="J122" s="178"/>
      <c r="K122" s="171"/>
      <c r="L122" s="295">
        <f t="shared" si="7"/>
        <v>0</v>
      </c>
    </row>
    <row r="123" spans="1:12" ht="15.75" hidden="1">
      <c r="A123" s="164"/>
      <c r="B123" s="307">
        <v>91</v>
      </c>
      <c r="C123" s="308">
        <f t="shared" si="4"/>
      </c>
      <c r="D123" s="188"/>
      <c r="E123" s="188"/>
      <c r="F123" s="172"/>
      <c r="G123" s="171"/>
      <c r="H123" s="171"/>
      <c r="I123" s="171"/>
      <c r="J123" s="178"/>
      <c r="K123" s="171"/>
      <c r="L123" s="295">
        <f>SUM(G123:K123)</f>
        <v>0</v>
      </c>
    </row>
    <row r="124" spans="1:12" ht="15.75" hidden="1">
      <c r="A124" s="164"/>
      <c r="B124" s="307">
        <v>92</v>
      </c>
      <c r="C124" s="308">
        <f t="shared" si="4"/>
      </c>
      <c r="D124" s="188"/>
      <c r="E124" s="188"/>
      <c r="F124" s="172"/>
      <c r="G124" s="171"/>
      <c r="H124" s="171"/>
      <c r="I124" s="171"/>
      <c r="J124" s="178"/>
      <c r="K124" s="171"/>
      <c r="L124" s="295">
        <f t="shared" si="7"/>
        <v>0</v>
      </c>
    </row>
    <row r="125" spans="1:12" ht="15.75" hidden="1">
      <c r="A125" s="164"/>
      <c r="B125" s="307">
        <v>93</v>
      </c>
      <c r="C125" s="308">
        <f t="shared" si="4"/>
      </c>
      <c r="D125" s="188"/>
      <c r="E125" s="188"/>
      <c r="F125" s="172"/>
      <c r="G125" s="171"/>
      <c r="H125" s="171"/>
      <c r="I125" s="171"/>
      <c r="J125" s="178"/>
      <c r="K125" s="171"/>
      <c r="L125" s="295">
        <f t="shared" si="7"/>
        <v>0</v>
      </c>
    </row>
    <row r="126" spans="1:12" ht="15.75" hidden="1">
      <c r="A126" s="164"/>
      <c r="B126" s="307">
        <v>94</v>
      </c>
      <c r="C126" s="308">
        <f t="shared" si="4"/>
      </c>
      <c r="D126" s="188"/>
      <c r="E126" s="188"/>
      <c r="F126" s="172"/>
      <c r="G126" s="171"/>
      <c r="H126" s="171"/>
      <c r="I126" s="171"/>
      <c r="J126" s="178"/>
      <c r="K126" s="171"/>
      <c r="L126" s="295">
        <f t="shared" si="7"/>
        <v>0</v>
      </c>
    </row>
    <row r="127" spans="1:12" ht="15.75" hidden="1">
      <c r="A127" s="164"/>
      <c r="B127" s="307">
        <v>95</v>
      </c>
      <c r="C127" s="308">
        <f t="shared" si="4"/>
      </c>
      <c r="D127" s="188"/>
      <c r="E127" s="188"/>
      <c r="F127" s="172"/>
      <c r="G127" s="171"/>
      <c r="H127" s="171"/>
      <c r="I127" s="171"/>
      <c r="J127" s="178"/>
      <c r="K127" s="171"/>
      <c r="L127" s="295">
        <f>SUM(G127:K127)</f>
        <v>0</v>
      </c>
    </row>
    <row r="128" spans="1:12" ht="15.75" hidden="1">
      <c r="A128" s="164"/>
      <c r="B128" s="307">
        <v>96</v>
      </c>
      <c r="C128" s="308">
        <f t="shared" si="4"/>
      </c>
      <c r="D128" s="188"/>
      <c r="E128" s="188"/>
      <c r="F128" s="172"/>
      <c r="G128" s="171"/>
      <c r="H128" s="171"/>
      <c r="I128" s="171"/>
      <c r="J128" s="178"/>
      <c r="K128" s="171"/>
      <c r="L128" s="295">
        <f>SUM(G128:K128)</f>
        <v>0</v>
      </c>
    </row>
    <row r="129" spans="1:12" ht="15.75" hidden="1">
      <c r="A129" s="164"/>
      <c r="B129" s="307">
        <v>97</v>
      </c>
      <c r="C129" s="308">
        <f t="shared" si="4"/>
      </c>
      <c r="D129" s="188"/>
      <c r="E129" s="188"/>
      <c r="F129" s="172"/>
      <c r="G129" s="171"/>
      <c r="H129" s="171"/>
      <c r="I129" s="171"/>
      <c r="J129" s="178"/>
      <c r="K129" s="171"/>
      <c r="L129" s="295">
        <f>SUM(G129:K129)</f>
        <v>0</v>
      </c>
    </row>
    <row r="130" spans="1:12" ht="15.75" hidden="1">
      <c r="A130" s="164"/>
      <c r="B130" s="307">
        <v>98</v>
      </c>
      <c r="C130" s="308">
        <f t="shared" si="4"/>
      </c>
      <c r="D130" s="188"/>
      <c r="E130" s="188"/>
      <c r="F130" s="172"/>
      <c r="G130" s="171"/>
      <c r="H130" s="171"/>
      <c r="I130" s="171"/>
      <c r="J130" s="178"/>
      <c r="K130" s="171"/>
      <c r="L130" s="295">
        <f>SUM(G130:K130)</f>
        <v>0</v>
      </c>
    </row>
    <row r="131" spans="1:12" ht="15.75" hidden="1">
      <c r="A131" s="164"/>
      <c r="B131" s="307">
        <v>99</v>
      </c>
      <c r="C131" s="308">
        <f t="shared" si="4"/>
      </c>
      <c r="D131" s="188"/>
      <c r="E131" s="188"/>
      <c r="F131" s="172"/>
      <c r="G131" s="171"/>
      <c r="H131" s="171"/>
      <c r="I131" s="171"/>
      <c r="J131" s="178"/>
      <c r="K131" s="171"/>
      <c r="L131" s="295">
        <f>SUM(G131:K131)</f>
        <v>0</v>
      </c>
    </row>
    <row r="132" spans="1:12" ht="15.75" hidden="1">
      <c r="A132" s="164"/>
      <c r="B132" s="307">
        <v>100</v>
      </c>
      <c r="C132" s="308">
        <f t="shared" si="4"/>
      </c>
      <c r="D132" s="206"/>
      <c r="E132" s="206"/>
      <c r="F132" s="173"/>
      <c r="G132" s="171"/>
      <c r="H132" s="171"/>
      <c r="I132" s="171"/>
      <c r="J132" s="184"/>
      <c r="K132" s="171"/>
      <c r="L132" s="295">
        <f>SUM(G132:K132)</f>
        <v>0</v>
      </c>
    </row>
    <row r="133" spans="1:12" ht="15.75" hidden="1">
      <c r="A133" s="164"/>
      <c r="B133" s="299"/>
      <c r="C133" s="299"/>
      <c r="D133" s="299"/>
      <c r="E133" s="299"/>
      <c r="F133" s="299"/>
      <c r="G133" s="299"/>
      <c r="H133" s="299"/>
      <c r="I133" s="299"/>
      <c r="J133" s="299"/>
      <c r="K133" s="299"/>
      <c r="L133" s="299"/>
    </row>
    <row r="134" ht="15.75" hidden="1"/>
    <row r="135" ht="15.75" hidden="1"/>
    <row r="136" ht="15.75" hidden="1"/>
    <row r="137" ht="15.75" hidden="1"/>
    <row r="138" ht="15.75" hidden="1"/>
    <row r="139" ht="15.75" hidden="1"/>
    <row r="140" ht="15.75" hidden="1"/>
  </sheetData>
  <sheetProtection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A1:AN136"/>
  <sheetViews>
    <sheetView showGridLines="0" zoomScale="60" zoomScaleNormal="60" zoomScaleSheetLayoutView="40" zoomScalePageLayoutView="80" workbookViewId="0" topLeftCell="A1">
      <selection activeCell="C29" sqref="C29:E29"/>
    </sheetView>
  </sheetViews>
  <sheetFormatPr defaultColWidth="0" defaultRowHeight="15" zeroHeight="1"/>
  <cols>
    <col min="1" max="1" width="2.7109375" style="51" customWidth="1"/>
    <col min="2" max="2" width="6.7109375" style="332" customWidth="1"/>
    <col min="3" max="3" width="15.28125" style="343" customWidth="1"/>
    <col min="4" max="5" width="52.00390625" style="332" customWidth="1"/>
    <col min="6" max="7" width="26.00390625" style="332" bestFit="1" customWidth="1"/>
    <col min="8" max="8" width="20.7109375" style="332" bestFit="1" customWidth="1"/>
    <col min="9" max="9" width="21.140625" style="332" customWidth="1"/>
    <col min="10" max="10" width="30.8515625" style="332" customWidth="1"/>
    <col min="11" max="11" width="31.57421875" style="332" bestFit="1" customWidth="1"/>
    <col min="12" max="12" width="27.421875" style="332" bestFit="1" customWidth="1"/>
    <col min="13" max="13" width="23.140625" style="332" customWidth="1"/>
    <col min="14" max="15" width="26.421875" style="332" bestFit="1" customWidth="1"/>
    <col min="16" max="16" width="22.28125" style="332" customWidth="1"/>
    <col min="17" max="17" width="18.8515625" style="332" bestFit="1" customWidth="1"/>
    <col min="18" max="18" width="15.00390625" style="310" hidden="1" customWidth="1"/>
    <col min="19" max="24" width="15.00390625" style="182" hidden="1" customWidth="1"/>
    <col min="25" max="40" width="9.140625" style="182" hidden="1" customWidth="1"/>
    <col min="41" max="16384" width="9.140625" style="51" hidden="1" customWidth="1"/>
  </cols>
  <sheetData>
    <row r="1" spans="1:17" ht="15.75">
      <c r="A1" s="281" t="s">
        <v>367</v>
      </c>
      <c r="B1" s="182"/>
      <c r="C1" s="27"/>
      <c r="D1" s="27"/>
      <c r="E1" s="51"/>
      <c r="F1" s="51"/>
      <c r="G1" s="51"/>
      <c r="H1" s="51"/>
      <c r="I1" s="51"/>
      <c r="J1" s="51"/>
      <c r="K1" s="51"/>
      <c r="L1" s="51"/>
      <c r="M1" s="51"/>
      <c r="N1" s="51"/>
      <c r="O1" s="51"/>
      <c r="P1" s="51"/>
      <c r="Q1" s="51"/>
    </row>
    <row r="2" spans="2:18" s="163" customFormat="1" ht="18">
      <c r="B2" s="282" t="str">
        <f>'1. Information'!B2</f>
        <v>Version 7/1/2018</v>
      </c>
      <c r="R2" s="311"/>
    </row>
    <row r="3" spans="2:17" ht="18">
      <c r="B3" s="314" t="str">
        <f>'1. Information'!B3</f>
        <v>Annual Mental Health Services Act Revenue and Expenditure Report</v>
      </c>
      <c r="C3" s="28"/>
      <c r="D3" s="28"/>
      <c r="E3" s="28"/>
      <c r="F3" s="28"/>
      <c r="G3" s="28"/>
      <c r="H3" s="28"/>
      <c r="I3" s="28"/>
      <c r="J3" s="28"/>
      <c r="K3" s="28"/>
      <c r="L3" s="29"/>
      <c r="M3" s="1"/>
      <c r="N3" s="1"/>
      <c r="O3" s="1"/>
      <c r="P3" s="1"/>
      <c r="Q3" s="1"/>
    </row>
    <row r="4" spans="2:17" ht="18">
      <c r="B4" s="314" t="str">
        <f>'1. Information'!B4</f>
        <v>Fiscal Year 2017-18</v>
      </c>
      <c r="C4" s="28"/>
      <c r="D4" s="28"/>
      <c r="E4" s="28"/>
      <c r="F4" s="28"/>
      <c r="G4" s="28"/>
      <c r="H4" s="28"/>
      <c r="I4" s="28"/>
      <c r="J4" s="28"/>
      <c r="K4" s="28"/>
      <c r="L4" s="29"/>
      <c r="M4" s="1"/>
      <c r="N4" s="1"/>
      <c r="O4" s="1"/>
      <c r="P4" s="1"/>
      <c r="Q4" s="1"/>
    </row>
    <row r="5" spans="2:17" ht="18">
      <c r="B5" s="314" t="s">
        <v>0</v>
      </c>
      <c r="C5" s="28"/>
      <c r="D5" s="28"/>
      <c r="E5" s="28"/>
      <c r="F5" s="28"/>
      <c r="G5" s="28"/>
      <c r="H5" s="28"/>
      <c r="I5" s="28"/>
      <c r="J5" s="28"/>
      <c r="K5" s="28"/>
      <c r="L5" s="29"/>
      <c r="M5" s="1"/>
      <c r="N5" s="1"/>
      <c r="O5" s="1"/>
      <c r="P5" s="1"/>
      <c r="Q5" s="1"/>
    </row>
    <row r="6" spans="2:17" ht="15.75">
      <c r="B6" s="29"/>
      <c r="C6" s="29"/>
      <c r="D6" s="29"/>
      <c r="E6" s="29"/>
      <c r="F6" s="29"/>
      <c r="G6" s="29"/>
      <c r="H6" s="29"/>
      <c r="I6" s="29"/>
      <c r="J6" s="29"/>
      <c r="K6" s="29"/>
      <c r="L6" s="29"/>
      <c r="M6" s="1"/>
      <c r="N6" s="1"/>
      <c r="O6" s="1"/>
      <c r="P6" s="1"/>
      <c r="Q6" s="1"/>
    </row>
    <row r="7" spans="2:17" ht="15.75" customHeight="1">
      <c r="B7" s="434" t="s">
        <v>1</v>
      </c>
      <c r="C7" s="435"/>
      <c r="D7" s="283" t="str">
        <f>IF(ISBLANK('1. Information'!D8),"",'1. Information'!D8)</f>
        <v>San Bernardino</v>
      </c>
      <c r="E7" s="51"/>
      <c r="F7" s="244" t="s">
        <v>2</v>
      </c>
      <c r="G7" s="315">
        <f>IF(ISBLANK('1. Information'!D7),"",'1. Information'!D7)</f>
        <v>43462</v>
      </c>
      <c r="H7" s="51"/>
      <c r="I7" s="51"/>
      <c r="J7" s="52"/>
      <c r="K7" s="52"/>
      <c r="L7" s="52"/>
      <c r="M7" s="52"/>
      <c r="N7" s="52"/>
      <c r="O7" s="52"/>
      <c r="P7" s="52"/>
      <c r="Q7" s="52"/>
    </row>
    <row r="8" spans="2:17" ht="15.75">
      <c r="B8" s="51"/>
      <c r="C8" s="6"/>
      <c r="D8" s="6"/>
      <c r="E8" s="6"/>
      <c r="F8" s="6"/>
      <c r="G8" s="3"/>
      <c r="H8" s="12"/>
      <c r="I8" s="6"/>
      <c r="J8" s="53"/>
      <c r="K8" s="52"/>
      <c r="L8" s="182"/>
      <c r="M8" s="182"/>
      <c r="N8" s="182"/>
      <c r="O8" s="182"/>
      <c r="P8" s="182"/>
      <c r="Q8" s="182"/>
    </row>
    <row r="9" spans="2:17" ht="18.75" thickBot="1">
      <c r="B9" s="285" t="s">
        <v>260</v>
      </c>
      <c r="C9" s="54"/>
      <c r="D9" s="17"/>
      <c r="E9" s="17"/>
      <c r="F9" s="17"/>
      <c r="G9" s="21"/>
      <c r="H9" s="30"/>
      <c r="I9" s="17"/>
      <c r="J9" s="55"/>
      <c r="K9" s="56"/>
      <c r="L9" s="182"/>
      <c r="M9" s="182"/>
      <c r="N9" s="182"/>
      <c r="O9" s="182"/>
      <c r="P9" s="182"/>
      <c r="Q9" s="182"/>
    </row>
    <row r="10" spans="2:17" ht="16.5" thickTop="1">
      <c r="B10" s="51"/>
      <c r="C10" s="3"/>
      <c r="D10" s="6"/>
      <c r="E10" s="6"/>
      <c r="F10" s="6"/>
      <c r="G10" s="3"/>
      <c r="H10" s="12"/>
      <c r="I10" s="6"/>
      <c r="J10" s="53"/>
      <c r="K10" s="52"/>
      <c r="L10" s="52"/>
      <c r="M10" s="52"/>
      <c r="N10" s="52"/>
      <c r="O10" s="182"/>
      <c r="P10" s="182"/>
      <c r="Q10" s="182"/>
    </row>
    <row r="11" spans="2:40" ht="15.75">
      <c r="B11" s="51"/>
      <c r="C11" s="3"/>
      <c r="D11" s="6"/>
      <c r="E11" s="6"/>
      <c r="F11" s="316" t="s">
        <v>27</v>
      </c>
      <c r="G11" s="317" t="s">
        <v>29</v>
      </c>
      <c r="H11" s="286" t="s">
        <v>32</v>
      </c>
      <c r="I11" s="286" t="s">
        <v>246</v>
      </c>
      <c r="J11" s="318" t="s">
        <v>247</v>
      </c>
      <c r="K11" s="286" t="s">
        <v>248</v>
      </c>
      <c r="L11" s="182"/>
      <c r="M11" s="182"/>
      <c r="N11" s="182"/>
      <c r="O11" s="182"/>
      <c r="P11" s="182"/>
      <c r="Q11" s="182"/>
      <c r="AL11" s="51"/>
      <c r="AM11" s="51"/>
      <c r="AN11" s="51"/>
    </row>
    <row r="12" spans="2:40" ht="15.75">
      <c r="B12" s="51"/>
      <c r="C12" s="51"/>
      <c r="D12" s="6"/>
      <c r="E12" s="6"/>
      <c r="F12" s="319" t="s">
        <v>28</v>
      </c>
      <c r="G12" s="434" t="s">
        <v>30</v>
      </c>
      <c r="H12" s="432"/>
      <c r="I12" s="432"/>
      <c r="J12" s="435"/>
      <c r="K12" s="288"/>
      <c r="L12" s="182"/>
      <c r="M12" s="182"/>
      <c r="N12" s="182"/>
      <c r="O12" s="182"/>
      <c r="P12" s="182"/>
      <c r="Q12" s="182"/>
      <c r="AL12" s="51"/>
      <c r="AM12" s="51"/>
      <c r="AN12" s="51"/>
    </row>
    <row r="13" spans="2:40" ht="47.25" customHeight="1">
      <c r="B13" s="51"/>
      <c r="C13" s="446"/>
      <c r="D13" s="446"/>
      <c r="E13" s="446"/>
      <c r="F13" s="289" t="s">
        <v>300</v>
      </c>
      <c r="G13" s="290" t="s">
        <v>5</v>
      </c>
      <c r="H13" s="290" t="s">
        <v>6</v>
      </c>
      <c r="I13" s="290" t="s">
        <v>31</v>
      </c>
      <c r="J13" s="290" t="s">
        <v>15</v>
      </c>
      <c r="K13" s="320" t="s">
        <v>278</v>
      </c>
      <c r="L13" s="182"/>
      <c r="M13" s="182"/>
      <c r="N13" s="182"/>
      <c r="O13" s="182"/>
      <c r="P13" s="182"/>
      <c r="Q13" s="182"/>
      <c r="AL13" s="51"/>
      <c r="AM13" s="51"/>
      <c r="AN13" s="51"/>
    </row>
    <row r="14" spans="2:37" s="52" customFormat="1" ht="15.75">
      <c r="B14" s="296">
        <v>1</v>
      </c>
      <c r="C14" s="440" t="s">
        <v>3</v>
      </c>
      <c r="D14" s="440"/>
      <c r="E14" s="436"/>
      <c r="F14" s="171"/>
      <c r="G14" s="186"/>
      <c r="H14" s="186"/>
      <c r="I14" s="186"/>
      <c r="J14" s="186"/>
      <c r="K14" s="293">
        <f>SUM(F14:J14)</f>
        <v>0</v>
      </c>
      <c r="L14" s="182"/>
      <c r="M14" s="182"/>
      <c r="N14" s="182"/>
      <c r="O14" s="182"/>
      <c r="P14" s="182"/>
      <c r="Q14" s="182"/>
      <c r="R14" s="310"/>
      <c r="S14" s="182"/>
      <c r="T14" s="182"/>
      <c r="U14" s="182"/>
      <c r="V14" s="182"/>
      <c r="W14" s="182"/>
      <c r="X14" s="182"/>
      <c r="Y14" s="182"/>
      <c r="Z14" s="182"/>
      <c r="AA14" s="182"/>
      <c r="AB14" s="182"/>
      <c r="AC14" s="182"/>
      <c r="AD14" s="182"/>
      <c r="AE14" s="182"/>
      <c r="AF14" s="182"/>
      <c r="AG14" s="182"/>
      <c r="AH14" s="182"/>
      <c r="AI14" s="182"/>
      <c r="AJ14" s="182"/>
      <c r="AK14" s="182"/>
    </row>
    <row r="15" spans="2:37" s="52" customFormat="1" ht="15" customHeight="1">
      <c r="B15" s="296">
        <v>2</v>
      </c>
      <c r="C15" s="440" t="s">
        <v>133</v>
      </c>
      <c r="D15" s="440"/>
      <c r="E15" s="436"/>
      <c r="F15" s="171"/>
      <c r="G15" s="186"/>
      <c r="H15" s="186"/>
      <c r="I15" s="186"/>
      <c r="J15" s="186"/>
      <c r="K15" s="293">
        <f aca="true" t="shared" si="0" ref="K15:K20">SUM(F15:J15)</f>
        <v>0</v>
      </c>
      <c r="L15" s="182"/>
      <c r="M15" s="182"/>
      <c r="N15" s="182"/>
      <c r="O15" s="182"/>
      <c r="P15" s="182"/>
      <c r="Q15" s="182"/>
      <c r="R15" s="310"/>
      <c r="S15" s="182"/>
      <c r="T15" s="182"/>
      <c r="U15" s="182"/>
      <c r="V15" s="182"/>
      <c r="W15" s="182"/>
      <c r="X15" s="182"/>
      <c r="Y15" s="182"/>
      <c r="Z15" s="182"/>
      <c r="AA15" s="182"/>
      <c r="AB15" s="182"/>
      <c r="AC15" s="182"/>
      <c r="AD15" s="182"/>
      <c r="AE15" s="182"/>
      <c r="AF15" s="182"/>
      <c r="AG15" s="182"/>
      <c r="AH15" s="182"/>
      <c r="AI15" s="182"/>
      <c r="AJ15" s="182"/>
      <c r="AK15" s="182"/>
    </row>
    <row r="16" spans="2:37" s="52" customFormat="1" ht="15" customHeight="1">
      <c r="B16" s="296">
        <v>3</v>
      </c>
      <c r="C16" s="447" t="s">
        <v>149</v>
      </c>
      <c r="D16" s="447"/>
      <c r="E16" s="448"/>
      <c r="F16" s="199">
        <f>2645553+561901+556840-50000+2</f>
        <v>3714296</v>
      </c>
      <c r="G16" s="198"/>
      <c r="H16" s="198"/>
      <c r="I16" s="198"/>
      <c r="J16" s="198"/>
      <c r="K16" s="293">
        <f t="shared" si="0"/>
        <v>3714296</v>
      </c>
      <c r="L16" s="182"/>
      <c r="M16" s="182"/>
      <c r="N16" s="182"/>
      <c r="O16" s="182"/>
      <c r="P16" s="182"/>
      <c r="Q16" s="182"/>
      <c r="R16" s="310"/>
      <c r="S16" s="182"/>
      <c r="T16" s="182"/>
      <c r="U16" s="182"/>
      <c r="V16" s="182"/>
      <c r="W16" s="182"/>
      <c r="X16" s="182"/>
      <c r="Y16" s="182"/>
      <c r="Z16" s="182"/>
      <c r="AA16" s="182"/>
      <c r="AB16" s="182"/>
      <c r="AC16" s="182"/>
      <c r="AD16" s="182"/>
      <c r="AE16" s="182"/>
      <c r="AF16" s="182"/>
      <c r="AG16" s="182"/>
      <c r="AH16" s="182"/>
      <c r="AI16" s="182"/>
      <c r="AJ16" s="182"/>
      <c r="AK16" s="182"/>
    </row>
    <row r="17" spans="2:37" s="52" customFormat="1" ht="15" customHeight="1">
      <c r="B17" s="296">
        <v>4</v>
      </c>
      <c r="C17" s="440" t="s">
        <v>228</v>
      </c>
      <c r="D17" s="440"/>
      <c r="E17" s="436"/>
      <c r="F17" s="171"/>
      <c r="G17" s="198"/>
      <c r="H17" s="198"/>
      <c r="I17" s="198"/>
      <c r="J17" s="198"/>
      <c r="K17" s="293">
        <f t="shared" si="0"/>
        <v>0</v>
      </c>
      <c r="L17" s="182"/>
      <c r="M17" s="182"/>
      <c r="N17" s="182"/>
      <c r="O17" s="182"/>
      <c r="P17" s="182"/>
      <c r="Q17" s="182"/>
      <c r="R17" s="310"/>
      <c r="S17" s="182"/>
      <c r="T17" s="182"/>
      <c r="U17" s="182"/>
      <c r="V17" s="182"/>
      <c r="W17" s="182"/>
      <c r="X17" s="182"/>
      <c r="Y17" s="182"/>
      <c r="Z17" s="182"/>
      <c r="AA17" s="182"/>
      <c r="AB17" s="182"/>
      <c r="AC17" s="182"/>
      <c r="AD17" s="182"/>
      <c r="AE17" s="182"/>
      <c r="AF17" s="182"/>
      <c r="AG17" s="182"/>
      <c r="AH17" s="182"/>
      <c r="AI17" s="182"/>
      <c r="AJ17" s="182"/>
      <c r="AK17" s="182"/>
    </row>
    <row r="18" spans="2:37" s="52" customFormat="1" ht="15" customHeight="1">
      <c r="B18" s="296">
        <v>5</v>
      </c>
      <c r="C18" s="440" t="s">
        <v>215</v>
      </c>
      <c r="D18" s="440"/>
      <c r="E18" s="436"/>
      <c r="F18" s="200"/>
      <c r="G18" s="321"/>
      <c r="H18" s="321"/>
      <c r="I18" s="321"/>
      <c r="J18" s="321"/>
      <c r="K18" s="293">
        <f t="shared" si="0"/>
        <v>0</v>
      </c>
      <c r="L18" s="182"/>
      <c r="M18" s="182"/>
      <c r="N18" s="182"/>
      <c r="O18" s="182"/>
      <c r="P18" s="182"/>
      <c r="Q18" s="182"/>
      <c r="R18" s="310"/>
      <c r="S18" s="182"/>
      <c r="T18" s="182"/>
      <c r="U18" s="182"/>
      <c r="V18" s="182"/>
      <c r="W18" s="182"/>
      <c r="X18" s="182"/>
      <c r="Y18" s="182"/>
      <c r="Z18" s="182"/>
      <c r="AA18" s="182"/>
      <c r="AB18" s="182"/>
      <c r="AC18" s="182"/>
      <c r="AD18" s="182"/>
      <c r="AE18" s="182"/>
      <c r="AF18" s="182"/>
      <c r="AG18" s="182"/>
      <c r="AH18" s="182"/>
      <c r="AI18" s="182"/>
      <c r="AJ18" s="182"/>
      <c r="AK18" s="182"/>
    </row>
    <row r="19" spans="2:37" s="52" customFormat="1" ht="15" customHeight="1">
      <c r="B19" s="296">
        <v>6</v>
      </c>
      <c r="C19" s="440" t="s">
        <v>217</v>
      </c>
      <c r="D19" s="440"/>
      <c r="E19" s="436"/>
      <c r="F19" s="171"/>
      <c r="G19" s="321"/>
      <c r="H19" s="321"/>
      <c r="I19" s="321"/>
      <c r="J19" s="321"/>
      <c r="K19" s="293">
        <f t="shared" si="0"/>
        <v>0</v>
      </c>
      <c r="L19" s="182"/>
      <c r="M19" s="182"/>
      <c r="N19" s="182"/>
      <c r="O19" s="182"/>
      <c r="P19" s="182"/>
      <c r="Q19" s="182"/>
      <c r="R19" s="310"/>
      <c r="S19" s="182"/>
      <c r="T19" s="182"/>
      <c r="U19" s="182"/>
      <c r="V19" s="182"/>
      <c r="W19" s="182"/>
      <c r="X19" s="182"/>
      <c r="Y19" s="182"/>
      <c r="Z19" s="182"/>
      <c r="AA19" s="182"/>
      <c r="AB19" s="182"/>
      <c r="AC19" s="182"/>
      <c r="AD19" s="182"/>
      <c r="AE19" s="182"/>
      <c r="AF19" s="182"/>
      <c r="AG19" s="182"/>
      <c r="AH19" s="182"/>
      <c r="AI19" s="182"/>
      <c r="AJ19" s="182"/>
      <c r="AK19" s="182"/>
    </row>
    <row r="20" spans="2:37" s="52" customFormat="1" ht="15" customHeight="1">
      <c r="B20" s="296">
        <v>7</v>
      </c>
      <c r="C20" s="439" t="s">
        <v>150</v>
      </c>
      <c r="D20" s="439"/>
      <c r="E20" s="439"/>
      <c r="F20" s="322">
        <f>SUMIF($G$36:$G$135,"Combined Summary",L$36:L$135)+SUMIF($F$36:$F$135,"Standalone",L$36:L$135)</f>
        <v>15464136</v>
      </c>
      <c r="G20" s="323">
        <f>SUMIF($G$36:$G$135,"Combined Summary",M$36:M$135)+SUMIF($F$36:$F$135,"Standalone",M$36:M$135)</f>
        <v>5140909</v>
      </c>
      <c r="H20" s="323">
        <f>SUMIF($G$36:$G$135,"Combined Summary",N$36:N$135)+SUMIF($F$36:$F$135,"Standalone",N$36:N$135)</f>
        <v>0</v>
      </c>
      <c r="I20" s="323">
        <f>SUMIF($G$36:$G$135,"Combined Summary",O$36:O$135)+SUMIF($F$36:$F$135,"Standalone",O$36:O$135)</f>
        <v>5149734</v>
      </c>
      <c r="J20" s="323">
        <f>SUMIF($G$36:$G$135,"Combined Summary",P$36:P$135)+SUMIF($F$36:$F$135,"Standalone",P$36:P$135)</f>
        <v>4350318</v>
      </c>
      <c r="K20" s="295">
        <f t="shared" si="0"/>
        <v>30105097</v>
      </c>
      <c r="L20" s="182"/>
      <c r="M20" s="182"/>
      <c r="N20" s="182"/>
      <c r="O20" s="182"/>
      <c r="P20" s="182"/>
      <c r="Q20" s="182"/>
      <c r="R20" s="310"/>
      <c r="S20" s="182"/>
      <c r="T20" s="182"/>
      <c r="U20" s="182"/>
      <c r="V20" s="182"/>
      <c r="W20" s="182"/>
      <c r="X20" s="182"/>
      <c r="Y20" s="182"/>
      <c r="Z20" s="182"/>
      <c r="AA20" s="182"/>
      <c r="AB20" s="182"/>
      <c r="AC20" s="182"/>
      <c r="AD20" s="182"/>
      <c r="AE20" s="182"/>
      <c r="AF20" s="182"/>
      <c r="AG20" s="182"/>
      <c r="AH20" s="182"/>
      <c r="AI20" s="182"/>
      <c r="AJ20" s="182"/>
      <c r="AK20" s="182"/>
    </row>
    <row r="21" spans="2:37" s="52" customFormat="1" ht="30.75" customHeight="1">
      <c r="B21" s="324">
        <v>8</v>
      </c>
      <c r="C21" s="452" t="s">
        <v>229</v>
      </c>
      <c r="D21" s="452"/>
      <c r="E21" s="452"/>
      <c r="F21" s="325">
        <f>SUM(F14:F16,F19:F20)</f>
        <v>19178432</v>
      </c>
      <c r="G21" s="325">
        <f>SUM(G14:G16,G19:G20)</f>
        <v>5140909</v>
      </c>
      <c r="H21" s="325">
        <f>SUM(H14:H16,H19:H20)</f>
        <v>0</v>
      </c>
      <c r="I21" s="325">
        <f>SUM(I14:I16,I19:I20)</f>
        <v>5149734</v>
      </c>
      <c r="J21" s="325">
        <f>SUM(J14:J16,J19:J20)</f>
        <v>4350318</v>
      </c>
      <c r="K21" s="325">
        <f>SUM(K14:K16,K19:K20)</f>
        <v>33819393</v>
      </c>
      <c r="L21" s="182"/>
      <c r="M21" s="182"/>
      <c r="N21" s="182"/>
      <c r="O21" s="182"/>
      <c r="P21" s="182"/>
      <c r="Q21" s="182"/>
      <c r="R21" s="310"/>
      <c r="S21" s="182"/>
      <c r="T21" s="182"/>
      <c r="U21" s="182"/>
      <c r="V21" s="182"/>
      <c r="W21" s="182"/>
      <c r="X21" s="182"/>
      <c r="Y21" s="182"/>
      <c r="Z21" s="182"/>
      <c r="AA21" s="182"/>
      <c r="AB21" s="182"/>
      <c r="AC21" s="182"/>
      <c r="AD21" s="182"/>
      <c r="AE21" s="182"/>
      <c r="AF21" s="182"/>
      <c r="AG21" s="182"/>
      <c r="AH21" s="182"/>
      <c r="AI21" s="182"/>
      <c r="AJ21" s="182"/>
      <c r="AK21" s="182"/>
    </row>
    <row r="22" spans="2:17" ht="15.75">
      <c r="B22" s="51"/>
      <c r="C22" s="51"/>
      <c r="D22" s="3"/>
      <c r="E22" s="3"/>
      <c r="F22" s="3"/>
      <c r="G22" s="31"/>
      <c r="H22" s="3"/>
      <c r="I22" s="52"/>
      <c r="J22" s="52"/>
      <c r="K22" s="52"/>
      <c r="L22" s="52"/>
      <c r="M22" s="52"/>
      <c r="N22" s="52"/>
      <c r="O22" s="182"/>
      <c r="P22" s="182"/>
      <c r="Q22" s="182"/>
    </row>
    <row r="23" spans="2:17" ht="18.75" thickBot="1">
      <c r="B23" s="285" t="s">
        <v>261</v>
      </c>
      <c r="C23" s="21"/>
      <c r="D23" s="21"/>
      <c r="E23" s="21"/>
      <c r="F23" s="32"/>
      <c r="G23" s="21"/>
      <c r="H23" s="182"/>
      <c r="I23" s="182"/>
      <c r="J23" s="182"/>
      <c r="K23" s="182"/>
      <c r="L23" s="182"/>
      <c r="M23" s="182"/>
      <c r="N23" s="182"/>
      <c r="O23" s="182"/>
      <c r="P23" s="182"/>
      <c r="Q23" s="182"/>
    </row>
    <row r="24" spans="2:17" ht="16.5" thickTop="1">
      <c r="B24" s="51"/>
      <c r="C24" s="3"/>
      <c r="D24" s="3"/>
      <c r="E24" s="3"/>
      <c r="F24" s="3"/>
      <c r="G24" s="31"/>
      <c r="H24" s="3"/>
      <c r="I24" s="52"/>
      <c r="J24" s="52"/>
      <c r="K24" s="52"/>
      <c r="L24" s="52"/>
      <c r="M24" s="52"/>
      <c r="N24" s="52"/>
      <c r="O24" s="182"/>
      <c r="P24" s="182"/>
      <c r="Q24" s="182"/>
    </row>
    <row r="25" spans="2:17" ht="15.75">
      <c r="B25" s="51"/>
      <c r="C25" s="3"/>
      <c r="D25" s="3"/>
      <c r="E25" s="3"/>
      <c r="F25" s="250" t="s">
        <v>27</v>
      </c>
      <c r="G25" s="326" t="s">
        <v>29</v>
      </c>
      <c r="H25" s="3"/>
      <c r="I25" s="52"/>
      <c r="J25" s="52"/>
      <c r="K25" s="52"/>
      <c r="L25" s="52"/>
      <c r="M25" s="52"/>
      <c r="N25" s="52"/>
      <c r="O25" s="182"/>
      <c r="P25" s="182"/>
      <c r="Q25" s="182"/>
    </row>
    <row r="26" spans="2:17" ht="15" customHeight="1">
      <c r="B26" s="48"/>
      <c r="C26" s="48"/>
      <c r="D26" s="48"/>
      <c r="E26" s="48"/>
      <c r="F26" s="451" t="s">
        <v>234</v>
      </c>
      <c r="G26" s="449" t="s">
        <v>233</v>
      </c>
      <c r="H26" s="52"/>
      <c r="I26" s="52"/>
      <c r="J26" s="52"/>
      <c r="K26" s="52"/>
      <c r="L26" s="52"/>
      <c r="M26" s="52"/>
      <c r="N26" s="52"/>
      <c r="O26" s="52"/>
      <c r="P26" s="52"/>
      <c r="Q26" s="52"/>
    </row>
    <row r="27" spans="2:17" ht="15" customHeight="1">
      <c r="B27" s="48"/>
      <c r="C27" s="48"/>
      <c r="D27" s="48"/>
      <c r="E27" s="48"/>
      <c r="F27" s="451"/>
      <c r="G27" s="449"/>
      <c r="H27" s="52"/>
      <c r="I27" s="52"/>
      <c r="J27" s="52"/>
      <c r="K27" s="52"/>
      <c r="L27" s="52"/>
      <c r="M27" s="52"/>
      <c r="N27" s="52"/>
      <c r="O27" s="52"/>
      <c r="P27" s="52"/>
      <c r="Q27" s="52"/>
    </row>
    <row r="28" spans="2:17" ht="15.75">
      <c r="B28" s="48"/>
      <c r="C28" s="48"/>
      <c r="D28" s="48"/>
      <c r="E28" s="48"/>
      <c r="F28" s="451"/>
      <c r="G28" s="450"/>
      <c r="H28" s="52"/>
      <c r="I28" s="52"/>
      <c r="J28" s="52"/>
      <c r="K28" s="52"/>
      <c r="L28" s="52"/>
      <c r="M28" s="52"/>
      <c r="N28" s="52"/>
      <c r="O28" s="52"/>
      <c r="P28" s="52"/>
      <c r="Q28" s="52"/>
    </row>
    <row r="29" spans="2:17" ht="51.75" customHeight="1">
      <c r="B29" s="231">
        <v>1</v>
      </c>
      <c r="C29" s="443" t="s">
        <v>245</v>
      </c>
      <c r="D29" s="444"/>
      <c r="E29" s="445"/>
      <c r="F29" s="327">
        <f>IF(F21=0,"",((SUMPRODUCT($K$36:$K$135,$L$36:$L$135)+(F19*G29))/$F$21))</f>
        <v>0.4455097762945375</v>
      </c>
      <c r="G29" s="36"/>
      <c r="H29" s="52"/>
      <c r="I29" s="52"/>
      <c r="J29" s="52"/>
      <c r="K29" s="52"/>
      <c r="L29" s="52"/>
      <c r="M29" s="52"/>
      <c r="N29" s="52"/>
      <c r="O29" s="52"/>
      <c r="P29" s="52"/>
      <c r="Q29" s="52"/>
    </row>
    <row r="30" spans="18:40" s="48" customFormat="1" ht="15.75">
      <c r="R30" s="310"/>
      <c r="S30" s="182"/>
      <c r="T30" s="182"/>
      <c r="U30" s="182"/>
      <c r="V30" s="182"/>
      <c r="W30" s="182"/>
      <c r="X30" s="182"/>
      <c r="Y30" s="182"/>
      <c r="Z30" s="182"/>
      <c r="AA30" s="182"/>
      <c r="AB30" s="182"/>
      <c r="AC30" s="182"/>
      <c r="AD30" s="182"/>
      <c r="AE30" s="182"/>
      <c r="AF30" s="182"/>
      <c r="AG30" s="182"/>
      <c r="AH30" s="182"/>
      <c r="AI30" s="182"/>
      <c r="AJ30" s="182"/>
      <c r="AK30" s="182"/>
      <c r="AL30" s="182"/>
      <c r="AM30" s="182"/>
      <c r="AN30" s="182"/>
    </row>
    <row r="31" spans="2:17" ht="18.75" thickBot="1">
      <c r="B31" s="285" t="s">
        <v>262</v>
      </c>
      <c r="C31" s="33"/>
      <c r="D31" s="33"/>
      <c r="E31" s="33"/>
      <c r="F31" s="34"/>
      <c r="G31" s="21"/>
      <c r="H31" s="56"/>
      <c r="I31" s="56"/>
      <c r="J31" s="56"/>
      <c r="K31" s="56"/>
      <c r="L31" s="56"/>
      <c r="M31" s="56"/>
      <c r="N31" s="56"/>
      <c r="O31" s="56"/>
      <c r="P31" s="56"/>
      <c r="Q31" s="56"/>
    </row>
    <row r="32" spans="2:17" ht="16.5" thickTop="1">
      <c r="B32" s="51"/>
      <c r="C32" s="3"/>
      <c r="D32" s="4"/>
      <c r="E32" s="4"/>
      <c r="F32" s="4"/>
      <c r="G32" s="35"/>
      <c r="H32" s="3"/>
      <c r="I32" s="52"/>
      <c r="J32" s="52"/>
      <c r="K32" s="52"/>
      <c r="L32" s="52"/>
      <c r="M32" s="52"/>
      <c r="N32" s="52"/>
      <c r="O32" s="52"/>
      <c r="P32" s="52"/>
      <c r="Q32" s="52"/>
    </row>
    <row r="33" spans="1:38" s="332" customFormat="1" ht="15.75">
      <c r="A33" s="51"/>
      <c r="B33" s="51"/>
      <c r="C33" s="328" t="s">
        <v>27</v>
      </c>
      <c r="D33" s="328" t="s">
        <v>29</v>
      </c>
      <c r="E33" s="328" t="s">
        <v>32</v>
      </c>
      <c r="F33" s="326" t="s">
        <v>246</v>
      </c>
      <c r="G33" s="250" t="s">
        <v>247</v>
      </c>
      <c r="H33" s="324" t="s">
        <v>248</v>
      </c>
      <c r="I33" s="324" t="s">
        <v>257</v>
      </c>
      <c r="J33" s="324" t="s">
        <v>249</v>
      </c>
      <c r="K33" s="324" t="s">
        <v>250</v>
      </c>
      <c r="L33" s="296" t="s">
        <v>251</v>
      </c>
      <c r="M33" s="329" t="s">
        <v>252</v>
      </c>
      <c r="N33" s="296" t="s">
        <v>253</v>
      </c>
      <c r="O33" s="296" t="s">
        <v>254</v>
      </c>
      <c r="P33" s="330" t="s">
        <v>255</v>
      </c>
      <c r="Q33" s="296" t="s">
        <v>256</v>
      </c>
      <c r="R33" s="331"/>
      <c r="S33" s="274"/>
      <c r="T33" s="274"/>
      <c r="U33" s="274"/>
      <c r="V33" s="274"/>
      <c r="W33" s="274"/>
      <c r="X33" s="274"/>
      <c r="Y33" s="274"/>
      <c r="Z33" s="274"/>
      <c r="AA33" s="274"/>
      <c r="AB33" s="274"/>
      <c r="AC33" s="274"/>
      <c r="AD33" s="274"/>
      <c r="AE33" s="274"/>
      <c r="AF33" s="274"/>
      <c r="AG33" s="274"/>
      <c r="AH33" s="274"/>
      <c r="AI33" s="274"/>
      <c r="AJ33" s="274"/>
      <c r="AK33" s="274"/>
      <c r="AL33" s="274"/>
    </row>
    <row r="34" spans="1:37" s="332" customFormat="1" ht="15.75">
      <c r="A34" s="51"/>
      <c r="B34" s="51"/>
      <c r="C34" s="242"/>
      <c r="D34" s="432" t="s">
        <v>165</v>
      </c>
      <c r="E34" s="432"/>
      <c r="F34" s="432"/>
      <c r="G34" s="432"/>
      <c r="H34" s="432"/>
      <c r="I34" s="432"/>
      <c r="J34" s="432"/>
      <c r="K34" s="432"/>
      <c r="L34" s="244" t="s">
        <v>28</v>
      </c>
      <c r="M34" s="434" t="s">
        <v>30</v>
      </c>
      <c r="N34" s="432"/>
      <c r="O34" s="432"/>
      <c r="P34" s="435"/>
      <c r="Q34" s="302"/>
      <c r="R34" s="331"/>
      <c r="S34" s="274"/>
      <c r="T34" s="274"/>
      <c r="U34" s="274"/>
      <c r="V34" s="274"/>
      <c r="W34" s="274"/>
      <c r="X34" s="274"/>
      <c r="Y34" s="274"/>
      <c r="Z34" s="274"/>
      <c r="AA34" s="274"/>
      <c r="AB34" s="274"/>
      <c r="AC34" s="274"/>
      <c r="AD34" s="274"/>
      <c r="AE34" s="274"/>
      <c r="AF34" s="274"/>
      <c r="AG34" s="274"/>
      <c r="AH34" s="274"/>
      <c r="AI34" s="274"/>
      <c r="AJ34" s="274"/>
      <c r="AK34" s="274"/>
    </row>
    <row r="35" spans="2:37" s="65" customFormat="1" ht="133.5" customHeight="1">
      <c r="B35" s="231" t="s">
        <v>134</v>
      </c>
      <c r="C35" s="333" t="s">
        <v>11</v>
      </c>
      <c r="D35" s="334" t="s">
        <v>10</v>
      </c>
      <c r="E35" s="335" t="s">
        <v>4</v>
      </c>
      <c r="F35" s="335" t="s">
        <v>141</v>
      </c>
      <c r="G35" s="335" t="s">
        <v>104</v>
      </c>
      <c r="H35" s="335" t="s">
        <v>196</v>
      </c>
      <c r="I35" s="335" t="s">
        <v>142</v>
      </c>
      <c r="J35" s="335" t="s">
        <v>231</v>
      </c>
      <c r="K35" s="336" t="s">
        <v>232</v>
      </c>
      <c r="L35" s="289" t="s">
        <v>300</v>
      </c>
      <c r="M35" s="337" t="s">
        <v>5</v>
      </c>
      <c r="N35" s="335" t="s">
        <v>6</v>
      </c>
      <c r="O35" s="335" t="s">
        <v>31</v>
      </c>
      <c r="P35" s="335" t="s">
        <v>15</v>
      </c>
      <c r="Q35" s="338" t="s">
        <v>278</v>
      </c>
      <c r="R35" s="208" t="s">
        <v>313</v>
      </c>
      <c r="S35" s="207" t="s">
        <v>313</v>
      </c>
      <c r="T35" s="182"/>
      <c r="U35" s="182"/>
      <c r="V35" s="182"/>
      <c r="W35" s="182"/>
      <c r="X35" s="182"/>
      <c r="Y35" s="182"/>
      <c r="Z35" s="182"/>
      <c r="AA35" s="182"/>
      <c r="AB35" s="182"/>
      <c r="AC35" s="182"/>
      <c r="AD35" s="182"/>
      <c r="AE35" s="182"/>
      <c r="AF35" s="182"/>
      <c r="AG35" s="182"/>
      <c r="AH35" s="182"/>
      <c r="AI35" s="182"/>
      <c r="AJ35" s="182"/>
      <c r="AK35" s="182"/>
    </row>
    <row r="36" spans="2:40" ht="15.75">
      <c r="B36" s="339">
        <v>1</v>
      </c>
      <c r="C36" s="340">
        <f aca="true" t="shared" si="1" ref="C36:C67">IF(AND(NOT(COUNTA(D36:J36)),(NOT(COUNTA(L36:P36)))),"",VLOOKUP($D$7,Info_County_Code,2,FALSE))</f>
        <v>36</v>
      </c>
      <c r="D36" s="218" t="s">
        <v>359</v>
      </c>
      <c r="E36" s="213"/>
      <c r="F36" s="213" t="s">
        <v>143</v>
      </c>
      <c r="G36" s="214" t="s">
        <v>136</v>
      </c>
      <c r="H36" s="213"/>
      <c r="I36" s="67">
        <v>1</v>
      </c>
      <c r="J36" s="67">
        <v>0.76</v>
      </c>
      <c r="K36" s="341">
        <f>IF(OR(G36="Combined Summary",F36="Standalone"),(SUMPRODUCT(--(D$36:D$135=D36),I$36:I$135,J$36:J$135)),"")</f>
        <v>0.76</v>
      </c>
      <c r="L36" s="171">
        <f>3081157</f>
        <v>3081157</v>
      </c>
      <c r="M36" s="185"/>
      <c r="N36" s="57"/>
      <c r="O36" s="57"/>
      <c r="P36" s="57"/>
      <c r="Q36" s="342">
        <f>SUM(L36:P36)</f>
        <v>3081157</v>
      </c>
      <c r="R36" s="312">
        <f>IF(OR(G36="Combined Summary",F36="Standalone"),(SUMIF(D$36:D$135,D36,I$36:I$135)),"")</f>
        <v>1</v>
      </c>
      <c r="S36" s="313">
        <f>IF(AND(F36="Standalone",NOT(R36=1)),"ERROR",IF(AND(G36="Combined Summary",NOT(R36=1)),"ERROR",""))</f>
      </c>
      <c r="AL36" s="51"/>
      <c r="AM36" s="51"/>
      <c r="AN36" s="51"/>
    </row>
    <row r="37" spans="2:40" ht="15.75">
      <c r="B37" s="339">
        <v>2</v>
      </c>
      <c r="C37" s="340">
        <f t="shared" si="1"/>
        <v>36</v>
      </c>
      <c r="D37" s="218" t="s">
        <v>340</v>
      </c>
      <c r="E37" s="213"/>
      <c r="F37" s="213" t="s">
        <v>143</v>
      </c>
      <c r="G37" s="214" t="s">
        <v>136</v>
      </c>
      <c r="H37" s="213"/>
      <c r="I37" s="67">
        <v>1</v>
      </c>
      <c r="J37" s="67">
        <v>1</v>
      </c>
      <c r="K37" s="341">
        <f aca="true" t="shared" si="2" ref="K37:K100">IF(OR(G37="Combined Summary",F37="Standalone"),(SUMPRODUCT(--(D$36:D$135=D37),I$36:I$135,J$36:J$135)),"")</f>
        <v>1</v>
      </c>
      <c r="L37" s="171">
        <f>684469</f>
        <v>684469</v>
      </c>
      <c r="M37" s="185"/>
      <c r="N37" s="57"/>
      <c r="O37" s="57"/>
      <c r="P37" s="57"/>
      <c r="Q37" s="342">
        <f aca="true" t="shared" si="3" ref="Q37:Q100">SUM(L37:P37)</f>
        <v>684469</v>
      </c>
      <c r="R37" s="312">
        <f aca="true" t="shared" si="4" ref="R37:R100">IF(OR(G37="Combined Summary",F37="Standalone"),(SUMIF(D$36:D$135,D37,I$36:I$135)),"")</f>
        <v>1</v>
      </c>
      <c r="S37" s="313">
        <f aca="true" t="shared" si="5" ref="S37:S100">IF(AND(F37="Standalone",NOT(R37=1)),"ERROR",IF(AND(G37="Combined Summary",NOT(R37=1)),"ERROR",""))</f>
      </c>
      <c r="AL37" s="51"/>
      <c r="AM37" s="51"/>
      <c r="AN37" s="51"/>
    </row>
    <row r="38" spans="2:40" ht="15.75">
      <c r="B38" s="339">
        <v>3</v>
      </c>
      <c r="C38" s="340">
        <f t="shared" si="1"/>
        <v>36</v>
      </c>
      <c r="D38" s="218" t="s">
        <v>360</v>
      </c>
      <c r="E38" s="214"/>
      <c r="F38" s="213" t="s">
        <v>143</v>
      </c>
      <c r="G38" s="214" t="s">
        <v>136</v>
      </c>
      <c r="H38" s="213"/>
      <c r="I38" s="67">
        <v>1</v>
      </c>
      <c r="J38" s="67">
        <v>0.93</v>
      </c>
      <c r="K38" s="341">
        <f t="shared" si="2"/>
        <v>0.93</v>
      </c>
      <c r="L38" s="171">
        <f>613300</f>
        <v>613300</v>
      </c>
      <c r="M38" s="185"/>
      <c r="N38" s="57"/>
      <c r="O38" s="57"/>
      <c r="P38" s="57"/>
      <c r="Q38" s="342">
        <f t="shared" si="3"/>
        <v>613300</v>
      </c>
      <c r="R38" s="312">
        <f t="shared" si="4"/>
        <v>1</v>
      </c>
      <c r="S38" s="313">
        <f t="shared" si="5"/>
      </c>
      <c r="AL38" s="51"/>
      <c r="AM38" s="51"/>
      <c r="AN38" s="51"/>
    </row>
    <row r="39" spans="2:40" ht="15.75">
      <c r="B39" s="339">
        <v>4</v>
      </c>
      <c r="C39" s="340">
        <f t="shared" si="1"/>
        <v>36</v>
      </c>
      <c r="D39" s="218" t="s">
        <v>361</v>
      </c>
      <c r="E39" s="213"/>
      <c r="F39" s="213" t="s">
        <v>143</v>
      </c>
      <c r="G39" s="214" t="s">
        <v>145</v>
      </c>
      <c r="H39" s="213"/>
      <c r="I39" s="67">
        <v>1</v>
      </c>
      <c r="J39" s="67">
        <v>0.25</v>
      </c>
      <c r="K39" s="341">
        <f t="shared" si="2"/>
        <v>0.25</v>
      </c>
      <c r="L39" s="171">
        <f>747551</f>
        <v>747551</v>
      </c>
      <c r="M39" s="185"/>
      <c r="N39" s="57"/>
      <c r="O39" s="57"/>
      <c r="P39" s="57"/>
      <c r="Q39" s="342">
        <f t="shared" si="3"/>
        <v>747551</v>
      </c>
      <c r="R39" s="312">
        <f t="shared" si="4"/>
        <v>1</v>
      </c>
      <c r="S39" s="313">
        <f t="shared" si="5"/>
      </c>
      <c r="AL39" s="51"/>
      <c r="AM39" s="51"/>
      <c r="AN39" s="51"/>
    </row>
    <row r="40" spans="2:40" ht="15.75">
      <c r="B40" s="339">
        <v>5</v>
      </c>
      <c r="C40" s="340">
        <f t="shared" si="1"/>
        <v>36</v>
      </c>
      <c r="D40" s="218" t="s">
        <v>341</v>
      </c>
      <c r="E40" s="213"/>
      <c r="F40" s="213" t="s">
        <v>143</v>
      </c>
      <c r="G40" s="214" t="s">
        <v>136</v>
      </c>
      <c r="H40" s="213"/>
      <c r="I40" s="67">
        <v>1</v>
      </c>
      <c r="J40" s="67">
        <v>0.78</v>
      </c>
      <c r="K40" s="341">
        <f t="shared" si="2"/>
        <v>0.78</v>
      </c>
      <c r="L40" s="171">
        <f>402627</f>
        <v>402627</v>
      </c>
      <c r="M40" s="185"/>
      <c r="N40" s="57"/>
      <c r="O40" s="57"/>
      <c r="P40" s="57"/>
      <c r="Q40" s="342">
        <f t="shared" si="3"/>
        <v>402627</v>
      </c>
      <c r="R40" s="312">
        <f t="shared" si="4"/>
        <v>1</v>
      </c>
      <c r="S40" s="313">
        <f t="shared" si="5"/>
      </c>
      <c r="AL40" s="51"/>
      <c r="AM40" s="51"/>
      <c r="AN40" s="51"/>
    </row>
    <row r="41" spans="2:40" ht="15.75">
      <c r="B41" s="339">
        <v>6</v>
      </c>
      <c r="C41" s="340">
        <f t="shared" si="1"/>
        <v>36</v>
      </c>
      <c r="D41" s="218" t="s">
        <v>342</v>
      </c>
      <c r="E41" s="213"/>
      <c r="F41" s="213" t="s">
        <v>143</v>
      </c>
      <c r="G41" s="214" t="s">
        <v>136</v>
      </c>
      <c r="H41" s="213"/>
      <c r="I41" s="67">
        <v>1</v>
      </c>
      <c r="J41" s="67">
        <v>0</v>
      </c>
      <c r="K41" s="341">
        <f t="shared" si="2"/>
        <v>0</v>
      </c>
      <c r="L41" s="171">
        <f>755570</f>
        <v>755570</v>
      </c>
      <c r="M41" s="185"/>
      <c r="N41" s="57"/>
      <c r="O41" s="57"/>
      <c r="P41" s="57"/>
      <c r="Q41" s="342">
        <f t="shared" si="3"/>
        <v>755570</v>
      </c>
      <c r="R41" s="312">
        <f t="shared" si="4"/>
        <v>1</v>
      </c>
      <c r="S41" s="313">
        <f t="shared" si="5"/>
      </c>
      <c r="AL41" s="51"/>
      <c r="AM41" s="51"/>
      <c r="AN41" s="51"/>
    </row>
    <row r="42" spans="2:40" ht="15.75">
      <c r="B42" s="339">
        <v>7</v>
      </c>
      <c r="C42" s="340">
        <f t="shared" si="1"/>
        <v>36</v>
      </c>
      <c r="D42" s="218" t="s">
        <v>343</v>
      </c>
      <c r="E42" s="214"/>
      <c r="F42" s="213" t="s">
        <v>144</v>
      </c>
      <c r="G42" s="214" t="s">
        <v>230</v>
      </c>
      <c r="H42" s="213"/>
      <c r="I42" s="67"/>
      <c r="J42" s="67"/>
      <c r="K42" s="341">
        <f t="shared" si="2"/>
        <v>0.1306675255804371</v>
      </c>
      <c r="L42" s="171">
        <f>708647</f>
        <v>708647</v>
      </c>
      <c r="M42" s="185"/>
      <c r="N42" s="57"/>
      <c r="O42" s="57"/>
      <c r="P42" s="57"/>
      <c r="Q42" s="342">
        <f t="shared" si="3"/>
        <v>708647</v>
      </c>
      <c r="R42" s="312">
        <f t="shared" si="4"/>
        <v>1</v>
      </c>
      <c r="S42" s="313">
        <f t="shared" si="5"/>
      </c>
      <c r="AL42" s="51"/>
      <c r="AM42" s="51"/>
      <c r="AN42" s="51"/>
    </row>
    <row r="43" spans="2:40" ht="15.75">
      <c r="B43" s="339">
        <v>8</v>
      </c>
      <c r="C43" s="340">
        <f t="shared" si="1"/>
        <v>36</v>
      </c>
      <c r="D43" s="218" t="s">
        <v>343</v>
      </c>
      <c r="E43" s="214"/>
      <c r="F43" s="213" t="s">
        <v>144</v>
      </c>
      <c r="G43" s="214"/>
      <c r="H43" s="214" t="s">
        <v>136</v>
      </c>
      <c r="I43" s="67">
        <f>412759/L42</f>
        <v>0.5824606609496689</v>
      </c>
      <c r="J43" s="67">
        <v>0.21</v>
      </c>
      <c r="K43" s="341">
        <f t="shared" si="2"/>
      </c>
      <c r="L43" s="171"/>
      <c r="M43" s="185"/>
      <c r="N43" s="57"/>
      <c r="O43" s="57"/>
      <c r="P43" s="57"/>
      <c r="Q43" s="342">
        <f t="shared" si="3"/>
        <v>0</v>
      </c>
      <c r="R43" s="312">
        <f t="shared" si="4"/>
      </c>
      <c r="S43" s="313">
        <f t="shared" si="5"/>
      </c>
      <c r="AL43" s="51"/>
      <c r="AM43" s="51"/>
      <c r="AN43" s="51"/>
    </row>
    <row r="44" spans="2:40" ht="15.75">
      <c r="B44" s="339">
        <v>9</v>
      </c>
      <c r="C44" s="340">
        <f t="shared" si="1"/>
        <v>36</v>
      </c>
      <c r="D44" s="218" t="s">
        <v>343</v>
      </c>
      <c r="E44" s="214"/>
      <c r="F44" s="213" t="s">
        <v>144</v>
      </c>
      <c r="G44" s="214"/>
      <c r="H44" s="214" t="s">
        <v>137</v>
      </c>
      <c r="I44" s="67">
        <f>295888/L42</f>
        <v>0.41753933905033114</v>
      </c>
      <c r="J44" s="67">
        <v>0.02</v>
      </c>
      <c r="K44" s="341">
        <f t="shared" si="2"/>
      </c>
      <c r="L44" s="171"/>
      <c r="M44" s="185"/>
      <c r="N44" s="57"/>
      <c r="O44" s="57"/>
      <c r="P44" s="57"/>
      <c r="Q44" s="342">
        <f t="shared" si="3"/>
        <v>0</v>
      </c>
      <c r="R44" s="312">
        <f t="shared" si="4"/>
      </c>
      <c r="S44" s="313">
        <f t="shared" si="5"/>
      </c>
      <c r="AL44" s="51"/>
      <c r="AM44" s="51"/>
      <c r="AN44" s="51"/>
    </row>
    <row r="45" spans="2:40" ht="15.75">
      <c r="B45" s="339">
        <v>10</v>
      </c>
      <c r="C45" s="340">
        <f t="shared" si="1"/>
        <v>36</v>
      </c>
      <c r="D45" s="218" t="s">
        <v>344</v>
      </c>
      <c r="E45" s="214"/>
      <c r="F45" s="213" t="s">
        <v>143</v>
      </c>
      <c r="G45" s="214" t="s">
        <v>136</v>
      </c>
      <c r="H45" s="214"/>
      <c r="I45" s="67">
        <v>1</v>
      </c>
      <c r="J45" s="67">
        <v>0.75</v>
      </c>
      <c r="K45" s="341">
        <f t="shared" si="2"/>
        <v>0.75</v>
      </c>
      <c r="L45" s="171">
        <f>107963</f>
        <v>107963</v>
      </c>
      <c r="M45" s="185"/>
      <c r="N45" s="57"/>
      <c r="O45" s="57"/>
      <c r="P45" s="57"/>
      <c r="Q45" s="342">
        <f t="shared" si="3"/>
        <v>107963</v>
      </c>
      <c r="R45" s="312">
        <f t="shared" si="4"/>
        <v>1</v>
      </c>
      <c r="S45" s="313">
        <f t="shared" si="5"/>
      </c>
      <c r="AL45" s="51"/>
      <c r="AM45" s="51"/>
      <c r="AN45" s="51"/>
    </row>
    <row r="46" spans="2:40" ht="15.75">
      <c r="B46" s="339">
        <v>11</v>
      </c>
      <c r="C46" s="340">
        <f t="shared" si="1"/>
        <v>36</v>
      </c>
      <c r="D46" s="218" t="s">
        <v>362</v>
      </c>
      <c r="E46" s="214"/>
      <c r="F46" s="213" t="s">
        <v>144</v>
      </c>
      <c r="G46" s="214" t="s">
        <v>230</v>
      </c>
      <c r="H46" s="214"/>
      <c r="I46" s="67"/>
      <c r="J46" s="67"/>
      <c r="K46" s="341">
        <f t="shared" si="2"/>
        <v>0.179832005384937</v>
      </c>
      <c r="L46" s="171">
        <f>3372370</f>
        <v>3372370</v>
      </c>
      <c r="M46" s="185"/>
      <c r="N46" s="57"/>
      <c r="O46" s="57"/>
      <c r="P46" s="57"/>
      <c r="Q46" s="342">
        <f t="shared" si="3"/>
        <v>3372370</v>
      </c>
      <c r="R46" s="312">
        <f t="shared" si="4"/>
        <v>1</v>
      </c>
      <c r="S46" s="313">
        <f t="shared" si="5"/>
      </c>
      <c r="AL46" s="51"/>
      <c r="AM46" s="51"/>
      <c r="AN46" s="51"/>
    </row>
    <row r="47" spans="2:40" ht="15.75">
      <c r="B47" s="339">
        <v>12</v>
      </c>
      <c r="C47" s="340">
        <f t="shared" si="1"/>
        <v>36</v>
      </c>
      <c r="D47" s="218" t="s">
        <v>362</v>
      </c>
      <c r="E47" s="214"/>
      <c r="F47" s="213" t="s">
        <v>144</v>
      </c>
      <c r="G47" s="214"/>
      <c r="H47" s="214" t="s">
        <v>136</v>
      </c>
      <c r="I47" s="67">
        <f>2619807/L46</f>
        <v>0.7768444743607611</v>
      </c>
      <c r="J47" s="67">
        <v>0.22</v>
      </c>
      <c r="K47" s="341">
        <f t="shared" si="2"/>
      </c>
      <c r="L47" s="171"/>
      <c r="M47" s="185"/>
      <c r="N47" s="57"/>
      <c r="O47" s="57"/>
      <c r="P47" s="57"/>
      <c r="Q47" s="342">
        <f t="shared" si="3"/>
        <v>0</v>
      </c>
      <c r="R47" s="312">
        <f t="shared" si="4"/>
      </c>
      <c r="S47" s="313">
        <f t="shared" si="5"/>
      </c>
      <c r="AL47" s="51"/>
      <c r="AM47" s="51"/>
      <c r="AN47" s="51"/>
    </row>
    <row r="48" spans="2:40" ht="15.75">
      <c r="B48" s="339">
        <v>13</v>
      </c>
      <c r="C48" s="340">
        <f t="shared" si="1"/>
        <v>36</v>
      </c>
      <c r="D48" s="218" t="s">
        <v>362</v>
      </c>
      <c r="E48" s="214"/>
      <c r="F48" s="213" t="s">
        <v>144</v>
      </c>
      <c r="G48" s="214"/>
      <c r="H48" s="214" t="s">
        <v>137</v>
      </c>
      <c r="I48" s="67">
        <f>752563/L46</f>
        <v>0.22315552563923888</v>
      </c>
      <c r="J48" s="67">
        <v>0.04</v>
      </c>
      <c r="K48" s="341">
        <f t="shared" si="2"/>
      </c>
      <c r="L48" s="171"/>
      <c r="M48" s="185"/>
      <c r="N48" s="57"/>
      <c r="O48" s="57"/>
      <c r="P48" s="57"/>
      <c r="Q48" s="342">
        <f t="shared" si="3"/>
        <v>0</v>
      </c>
      <c r="R48" s="312">
        <f t="shared" si="4"/>
      </c>
      <c r="S48" s="313">
        <f t="shared" si="5"/>
      </c>
      <c r="AL48" s="51"/>
      <c r="AM48" s="51"/>
      <c r="AN48" s="51"/>
    </row>
    <row r="49" spans="2:40" ht="15.75">
      <c r="B49" s="339">
        <v>14</v>
      </c>
      <c r="C49" s="340">
        <f t="shared" si="1"/>
        <v>36</v>
      </c>
      <c r="D49" s="218" t="s">
        <v>345</v>
      </c>
      <c r="E49" s="214"/>
      <c r="F49" s="213" t="s">
        <v>143</v>
      </c>
      <c r="G49" s="214" t="s">
        <v>146</v>
      </c>
      <c r="H49" s="214"/>
      <c r="I49" s="67">
        <v>1</v>
      </c>
      <c r="J49" s="67">
        <v>0.42</v>
      </c>
      <c r="K49" s="341">
        <f t="shared" si="2"/>
        <v>0.42</v>
      </c>
      <c r="L49" s="171">
        <f>584428</f>
        <v>584428</v>
      </c>
      <c r="M49" s="185"/>
      <c r="N49" s="57"/>
      <c r="O49" s="57"/>
      <c r="P49" s="57"/>
      <c r="Q49" s="342">
        <f t="shared" si="3"/>
        <v>584428</v>
      </c>
      <c r="R49" s="312">
        <f t="shared" si="4"/>
        <v>1</v>
      </c>
      <c r="S49" s="313">
        <f t="shared" si="5"/>
      </c>
      <c r="AL49" s="51"/>
      <c r="AM49" s="51"/>
      <c r="AN49" s="51"/>
    </row>
    <row r="50" spans="2:40" ht="15.75">
      <c r="B50" s="339">
        <v>15</v>
      </c>
      <c r="C50" s="340">
        <f t="shared" si="1"/>
        <v>36</v>
      </c>
      <c r="D50" s="218" t="s">
        <v>346</v>
      </c>
      <c r="E50" s="214"/>
      <c r="F50" s="213" t="s">
        <v>143</v>
      </c>
      <c r="G50" s="214" t="s">
        <v>132</v>
      </c>
      <c r="H50" s="214"/>
      <c r="I50" s="67">
        <v>1</v>
      </c>
      <c r="J50" s="67">
        <v>1</v>
      </c>
      <c r="K50" s="341">
        <f t="shared" si="2"/>
        <v>1</v>
      </c>
      <c r="L50" s="171">
        <v>2811081</v>
      </c>
      <c r="M50" s="185">
        <v>5140909</v>
      </c>
      <c r="N50" s="57"/>
      <c r="O50" s="57">
        <v>5149734</v>
      </c>
      <c r="P50" s="57">
        <v>4350318</v>
      </c>
      <c r="Q50" s="342">
        <f t="shared" si="3"/>
        <v>17452042</v>
      </c>
      <c r="R50" s="312">
        <f t="shared" si="4"/>
        <v>1</v>
      </c>
      <c r="S50" s="313">
        <f t="shared" si="5"/>
      </c>
      <c r="AL50" s="51"/>
      <c r="AM50" s="51"/>
      <c r="AN50" s="51"/>
    </row>
    <row r="51" spans="2:40" ht="15.75">
      <c r="B51" s="339">
        <v>16</v>
      </c>
      <c r="C51" s="340">
        <f t="shared" si="1"/>
        <v>36</v>
      </c>
      <c r="D51" s="218" t="s">
        <v>347</v>
      </c>
      <c r="E51" s="214"/>
      <c r="F51" s="213" t="s">
        <v>144</v>
      </c>
      <c r="G51" s="214" t="s">
        <v>230</v>
      </c>
      <c r="H51" s="214"/>
      <c r="I51" s="67"/>
      <c r="J51" s="67"/>
      <c r="K51" s="341">
        <f t="shared" si="2"/>
        <v>0.2422608642127293</v>
      </c>
      <c r="L51" s="171">
        <f>1299680</f>
        <v>1299680</v>
      </c>
      <c r="M51" s="185"/>
      <c r="N51" s="57"/>
      <c r="O51" s="57"/>
      <c r="P51" s="57"/>
      <c r="Q51" s="342">
        <f t="shared" si="3"/>
        <v>1299680</v>
      </c>
      <c r="R51" s="312">
        <f t="shared" si="4"/>
        <v>1</v>
      </c>
      <c r="S51" s="313">
        <f t="shared" si="5"/>
      </c>
      <c r="AL51" s="51"/>
      <c r="AM51" s="51"/>
      <c r="AN51" s="51"/>
    </row>
    <row r="52" spans="2:40" ht="15.75">
      <c r="B52" s="339">
        <v>17</v>
      </c>
      <c r="C52" s="340">
        <f t="shared" si="1"/>
        <v>36</v>
      </c>
      <c r="D52" s="218" t="s">
        <v>347</v>
      </c>
      <c r="E52" s="214"/>
      <c r="F52" s="213" t="s">
        <v>144</v>
      </c>
      <c r="G52" s="214"/>
      <c r="H52" s="214" t="s">
        <v>136</v>
      </c>
      <c r="I52" s="67">
        <f>911080/L51</f>
        <v>0.7010033238951127</v>
      </c>
      <c r="J52" s="67">
        <v>0.32</v>
      </c>
      <c r="K52" s="341">
        <f t="shared" si="2"/>
      </c>
      <c r="L52" s="171"/>
      <c r="M52" s="185"/>
      <c r="N52" s="57"/>
      <c r="O52" s="57"/>
      <c r="P52" s="57"/>
      <c r="Q52" s="342">
        <f t="shared" si="3"/>
        <v>0</v>
      </c>
      <c r="R52" s="312">
        <f t="shared" si="4"/>
      </c>
      <c r="S52" s="313">
        <f t="shared" si="5"/>
      </c>
      <c r="AL52" s="51"/>
      <c r="AM52" s="51"/>
      <c r="AN52" s="51"/>
    </row>
    <row r="53" spans="2:40" ht="15.75">
      <c r="B53" s="339">
        <v>18</v>
      </c>
      <c r="C53" s="340">
        <f t="shared" si="1"/>
        <v>36</v>
      </c>
      <c r="D53" s="218" t="s">
        <v>347</v>
      </c>
      <c r="E53" s="214"/>
      <c r="F53" s="213" t="s">
        <v>144</v>
      </c>
      <c r="G53" s="214"/>
      <c r="H53" s="214" t="s">
        <v>137</v>
      </c>
      <c r="I53" s="67">
        <f>388600/L51</f>
        <v>0.29899667610488734</v>
      </c>
      <c r="J53" s="67">
        <v>0.06</v>
      </c>
      <c r="K53" s="341">
        <f t="shared" si="2"/>
      </c>
      <c r="L53" s="171"/>
      <c r="M53" s="185"/>
      <c r="N53" s="57"/>
      <c r="O53" s="57"/>
      <c r="P53" s="57"/>
      <c r="Q53" s="342">
        <f t="shared" si="3"/>
        <v>0</v>
      </c>
      <c r="R53" s="312">
        <f t="shared" si="4"/>
      </c>
      <c r="S53" s="313">
        <f t="shared" si="5"/>
      </c>
      <c r="AL53" s="51"/>
      <c r="AM53" s="51"/>
      <c r="AN53" s="51"/>
    </row>
    <row r="54" spans="2:40" ht="15.75">
      <c r="B54" s="339">
        <v>19</v>
      </c>
      <c r="C54" s="340">
        <f t="shared" si="1"/>
        <v>36</v>
      </c>
      <c r="D54" s="218" t="s">
        <v>363</v>
      </c>
      <c r="E54" s="214"/>
      <c r="F54" s="213" t="s">
        <v>143</v>
      </c>
      <c r="G54" s="214" t="s">
        <v>136</v>
      </c>
      <c r="H54" s="214"/>
      <c r="I54" s="67">
        <v>1</v>
      </c>
      <c r="J54" s="67">
        <v>1</v>
      </c>
      <c r="K54" s="341">
        <f t="shared" si="2"/>
        <v>1</v>
      </c>
      <c r="L54" s="171">
        <f>295293</f>
        <v>295293</v>
      </c>
      <c r="M54" s="185"/>
      <c r="N54" s="57"/>
      <c r="O54" s="57"/>
      <c r="P54" s="57"/>
      <c r="Q54" s="342">
        <f t="shared" si="3"/>
        <v>295293</v>
      </c>
      <c r="R54" s="312">
        <f t="shared" si="4"/>
        <v>1</v>
      </c>
      <c r="S54" s="313">
        <f t="shared" si="5"/>
      </c>
      <c r="AL54" s="51"/>
      <c r="AM54" s="51"/>
      <c r="AN54" s="51"/>
    </row>
    <row r="55" spans="2:40" ht="15.75">
      <c r="B55" s="339">
        <v>20</v>
      </c>
      <c r="C55" s="340">
        <f t="shared" si="1"/>
      </c>
      <c r="D55" s="203"/>
      <c r="E55" s="203"/>
      <c r="F55" s="60"/>
      <c r="G55" s="50"/>
      <c r="H55" s="60"/>
      <c r="I55" s="67"/>
      <c r="J55" s="67"/>
      <c r="K55" s="341">
        <f t="shared" si="2"/>
      </c>
      <c r="L55" s="171"/>
      <c r="M55" s="185"/>
      <c r="N55" s="57"/>
      <c r="O55" s="57"/>
      <c r="P55" s="57"/>
      <c r="Q55" s="342">
        <f t="shared" si="3"/>
        <v>0</v>
      </c>
      <c r="R55" s="312">
        <f t="shared" si="4"/>
      </c>
      <c r="S55" s="313">
        <f t="shared" si="5"/>
      </c>
      <c r="AL55" s="51"/>
      <c r="AM55" s="51"/>
      <c r="AN55" s="51"/>
    </row>
    <row r="56" spans="2:40" ht="15.75">
      <c r="B56" s="339">
        <v>21</v>
      </c>
      <c r="C56" s="340">
        <f t="shared" si="1"/>
      </c>
      <c r="D56" s="203"/>
      <c r="E56" s="203"/>
      <c r="F56" s="60"/>
      <c r="G56" s="50"/>
      <c r="H56" s="60"/>
      <c r="I56" s="67"/>
      <c r="J56" s="67"/>
      <c r="K56" s="341">
        <f t="shared" si="2"/>
      </c>
      <c r="L56" s="171"/>
      <c r="M56" s="185"/>
      <c r="N56" s="57"/>
      <c r="O56" s="57"/>
      <c r="P56" s="57"/>
      <c r="Q56" s="342">
        <f t="shared" si="3"/>
        <v>0</v>
      </c>
      <c r="R56" s="312">
        <f t="shared" si="4"/>
      </c>
      <c r="S56" s="313">
        <f t="shared" si="5"/>
      </c>
      <c r="AL56" s="51"/>
      <c r="AM56" s="51"/>
      <c r="AN56" s="51"/>
    </row>
    <row r="57" spans="2:40" ht="15.75">
      <c r="B57" s="339">
        <v>22</v>
      </c>
      <c r="C57" s="340">
        <f t="shared" si="1"/>
      </c>
      <c r="D57" s="203"/>
      <c r="E57" s="203"/>
      <c r="F57" s="60"/>
      <c r="G57" s="50"/>
      <c r="H57" s="60"/>
      <c r="I57" s="67"/>
      <c r="J57" s="67"/>
      <c r="K57" s="341">
        <f t="shared" si="2"/>
      </c>
      <c r="L57" s="171"/>
      <c r="M57" s="185"/>
      <c r="N57" s="57"/>
      <c r="O57" s="57"/>
      <c r="P57" s="57"/>
      <c r="Q57" s="342">
        <f t="shared" si="3"/>
        <v>0</v>
      </c>
      <c r="R57" s="312">
        <f t="shared" si="4"/>
      </c>
      <c r="S57" s="313">
        <f t="shared" si="5"/>
      </c>
      <c r="AL57" s="51"/>
      <c r="AM57" s="51"/>
      <c r="AN57" s="51"/>
    </row>
    <row r="58" spans="2:40" ht="15.75">
      <c r="B58" s="339">
        <v>23</v>
      </c>
      <c r="C58" s="340">
        <f t="shared" si="1"/>
      </c>
      <c r="D58" s="203"/>
      <c r="E58" s="203"/>
      <c r="F58" s="60"/>
      <c r="G58" s="50"/>
      <c r="H58" s="60"/>
      <c r="I58" s="67"/>
      <c r="J58" s="67"/>
      <c r="K58" s="341">
        <f t="shared" si="2"/>
      </c>
      <c r="L58" s="171"/>
      <c r="M58" s="185"/>
      <c r="N58" s="57"/>
      <c r="O58" s="57"/>
      <c r="P58" s="57"/>
      <c r="Q58" s="342">
        <f t="shared" si="3"/>
        <v>0</v>
      </c>
      <c r="R58" s="312">
        <f t="shared" si="4"/>
      </c>
      <c r="S58" s="313">
        <f t="shared" si="5"/>
      </c>
      <c r="AL58" s="51"/>
      <c r="AM58" s="51"/>
      <c r="AN58" s="51"/>
    </row>
    <row r="59" spans="2:40" ht="15.75">
      <c r="B59" s="339">
        <v>24</v>
      </c>
      <c r="C59" s="340">
        <f t="shared" si="1"/>
      </c>
      <c r="D59" s="203"/>
      <c r="E59" s="203"/>
      <c r="F59" s="60"/>
      <c r="G59" s="50"/>
      <c r="H59" s="60"/>
      <c r="I59" s="67"/>
      <c r="J59" s="67"/>
      <c r="K59" s="341">
        <f t="shared" si="2"/>
      </c>
      <c r="L59" s="171"/>
      <c r="M59" s="185"/>
      <c r="N59" s="57"/>
      <c r="O59" s="57"/>
      <c r="P59" s="57"/>
      <c r="Q59" s="342">
        <f t="shared" si="3"/>
        <v>0</v>
      </c>
      <c r="R59" s="312">
        <f t="shared" si="4"/>
      </c>
      <c r="S59" s="313">
        <f t="shared" si="5"/>
      </c>
      <c r="AL59" s="51"/>
      <c r="AM59" s="51"/>
      <c r="AN59" s="51"/>
    </row>
    <row r="60" spans="2:40" ht="15.75">
      <c r="B60" s="339">
        <v>25</v>
      </c>
      <c r="C60" s="340">
        <f t="shared" si="1"/>
      </c>
      <c r="D60" s="203"/>
      <c r="E60" s="203"/>
      <c r="F60" s="60"/>
      <c r="G60" s="50"/>
      <c r="H60" s="60"/>
      <c r="I60" s="67"/>
      <c r="J60" s="67"/>
      <c r="K60" s="341">
        <f t="shared" si="2"/>
      </c>
      <c r="L60" s="171"/>
      <c r="M60" s="185"/>
      <c r="N60" s="57"/>
      <c r="O60" s="57"/>
      <c r="P60" s="57"/>
      <c r="Q60" s="342">
        <f t="shared" si="3"/>
        <v>0</v>
      </c>
      <c r="R60" s="312">
        <f t="shared" si="4"/>
      </c>
      <c r="S60" s="313">
        <f t="shared" si="5"/>
      </c>
      <c r="AL60" s="51"/>
      <c r="AM60" s="51"/>
      <c r="AN60" s="51"/>
    </row>
    <row r="61" spans="2:40" ht="15.75">
      <c r="B61" s="339">
        <v>26</v>
      </c>
      <c r="C61" s="340">
        <f t="shared" si="1"/>
      </c>
      <c r="D61" s="203"/>
      <c r="E61" s="203"/>
      <c r="F61" s="60"/>
      <c r="G61" s="50"/>
      <c r="H61" s="60"/>
      <c r="I61" s="67"/>
      <c r="J61" s="67"/>
      <c r="K61" s="341">
        <f t="shared" si="2"/>
      </c>
      <c r="L61" s="171"/>
      <c r="M61" s="185"/>
      <c r="N61" s="57"/>
      <c r="O61" s="57"/>
      <c r="P61" s="57"/>
      <c r="Q61" s="342">
        <f t="shared" si="3"/>
        <v>0</v>
      </c>
      <c r="R61" s="312">
        <f t="shared" si="4"/>
      </c>
      <c r="S61" s="313">
        <f t="shared" si="5"/>
      </c>
      <c r="AL61" s="51"/>
      <c r="AM61" s="51"/>
      <c r="AN61" s="51"/>
    </row>
    <row r="62" spans="2:40" ht="15.75">
      <c r="B62" s="339">
        <v>27</v>
      </c>
      <c r="C62" s="340">
        <f t="shared" si="1"/>
      </c>
      <c r="D62" s="203"/>
      <c r="E62" s="203"/>
      <c r="F62" s="60"/>
      <c r="G62" s="50"/>
      <c r="H62" s="60"/>
      <c r="I62" s="67"/>
      <c r="J62" s="67"/>
      <c r="K62" s="341">
        <f t="shared" si="2"/>
      </c>
      <c r="L62" s="171"/>
      <c r="M62" s="185"/>
      <c r="N62" s="57"/>
      <c r="O62" s="57"/>
      <c r="P62" s="57"/>
      <c r="Q62" s="342">
        <f t="shared" si="3"/>
        <v>0</v>
      </c>
      <c r="R62" s="312">
        <f t="shared" si="4"/>
      </c>
      <c r="S62" s="313">
        <f t="shared" si="5"/>
      </c>
      <c r="AL62" s="51"/>
      <c r="AM62" s="51"/>
      <c r="AN62" s="51"/>
    </row>
    <row r="63" spans="2:40" ht="15.75">
      <c r="B63" s="339">
        <v>28</v>
      </c>
      <c r="C63" s="340">
        <f t="shared" si="1"/>
      </c>
      <c r="D63" s="203"/>
      <c r="E63" s="203"/>
      <c r="F63" s="60"/>
      <c r="G63" s="50"/>
      <c r="H63" s="60"/>
      <c r="I63" s="67"/>
      <c r="J63" s="67"/>
      <c r="K63" s="341">
        <f t="shared" si="2"/>
      </c>
      <c r="L63" s="171"/>
      <c r="M63" s="185"/>
      <c r="N63" s="57"/>
      <c r="O63" s="57"/>
      <c r="P63" s="57"/>
      <c r="Q63" s="342">
        <f t="shared" si="3"/>
        <v>0</v>
      </c>
      <c r="R63" s="312">
        <f t="shared" si="4"/>
      </c>
      <c r="S63" s="313">
        <f t="shared" si="5"/>
      </c>
      <c r="AL63" s="51"/>
      <c r="AM63" s="51"/>
      <c r="AN63" s="51"/>
    </row>
    <row r="64" spans="2:40" ht="15.75">
      <c r="B64" s="339">
        <v>29</v>
      </c>
      <c r="C64" s="340">
        <f t="shared" si="1"/>
      </c>
      <c r="D64" s="203"/>
      <c r="E64" s="203"/>
      <c r="F64" s="60"/>
      <c r="G64" s="50"/>
      <c r="H64" s="60"/>
      <c r="I64" s="67"/>
      <c r="J64" s="67"/>
      <c r="K64" s="341">
        <f t="shared" si="2"/>
      </c>
      <c r="L64" s="171"/>
      <c r="M64" s="185"/>
      <c r="N64" s="57"/>
      <c r="O64" s="57"/>
      <c r="P64" s="57"/>
      <c r="Q64" s="342">
        <f t="shared" si="3"/>
        <v>0</v>
      </c>
      <c r="R64" s="312">
        <f t="shared" si="4"/>
      </c>
      <c r="S64" s="313">
        <f t="shared" si="5"/>
      </c>
      <c r="AL64" s="51"/>
      <c r="AM64" s="51"/>
      <c r="AN64" s="51"/>
    </row>
    <row r="65" spans="2:40" ht="15.75">
      <c r="B65" s="339">
        <v>30</v>
      </c>
      <c r="C65" s="340">
        <f t="shared" si="1"/>
      </c>
      <c r="D65" s="203"/>
      <c r="E65" s="203"/>
      <c r="F65" s="60"/>
      <c r="G65" s="50"/>
      <c r="H65" s="60"/>
      <c r="I65" s="67"/>
      <c r="J65" s="67"/>
      <c r="K65" s="341">
        <f t="shared" si="2"/>
      </c>
      <c r="L65" s="171"/>
      <c r="M65" s="185"/>
      <c r="N65" s="57"/>
      <c r="O65" s="57"/>
      <c r="P65" s="57"/>
      <c r="Q65" s="342">
        <f t="shared" si="3"/>
        <v>0</v>
      </c>
      <c r="R65" s="312">
        <f t="shared" si="4"/>
      </c>
      <c r="S65" s="313">
        <f t="shared" si="5"/>
      </c>
      <c r="AL65" s="51"/>
      <c r="AM65" s="51"/>
      <c r="AN65" s="51"/>
    </row>
    <row r="66" spans="2:40" ht="15.75">
      <c r="B66" s="339">
        <v>31</v>
      </c>
      <c r="C66" s="340">
        <f t="shared" si="1"/>
      </c>
      <c r="D66" s="203"/>
      <c r="E66" s="203"/>
      <c r="F66" s="60"/>
      <c r="G66" s="50"/>
      <c r="H66" s="60"/>
      <c r="I66" s="67"/>
      <c r="J66" s="67"/>
      <c r="K66" s="341">
        <f t="shared" si="2"/>
      </c>
      <c r="L66" s="171"/>
      <c r="M66" s="185"/>
      <c r="N66" s="57"/>
      <c r="O66" s="57"/>
      <c r="P66" s="57"/>
      <c r="Q66" s="342">
        <f t="shared" si="3"/>
        <v>0</v>
      </c>
      <c r="R66" s="312">
        <f t="shared" si="4"/>
      </c>
      <c r="S66" s="313">
        <f t="shared" si="5"/>
      </c>
      <c r="AL66" s="51"/>
      <c r="AM66" s="51"/>
      <c r="AN66" s="51"/>
    </row>
    <row r="67" spans="2:40" ht="15.75">
      <c r="B67" s="339">
        <v>32</v>
      </c>
      <c r="C67" s="340">
        <f t="shared" si="1"/>
      </c>
      <c r="D67" s="203"/>
      <c r="E67" s="203"/>
      <c r="F67" s="60"/>
      <c r="G67" s="50"/>
      <c r="H67" s="60"/>
      <c r="I67" s="67"/>
      <c r="J67" s="67"/>
      <c r="K67" s="341">
        <f t="shared" si="2"/>
      </c>
      <c r="L67" s="171"/>
      <c r="M67" s="185"/>
      <c r="N67" s="57"/>
      <c r="O67" s="57"/>
      <c r="P67" s="57"/>
      <c r="Q67" s="342">
        <f t="shared" si="3"/>
        <v>0</v>
      </c>
      <c r="R67" s="312">
        <f t="shared" si="4"/>
      </c>
      <c r="S67" s="313">
        <f t="shared" si="5"/>
      </c>
      <c r="AL67" s="51"/>
      <c r="AM67" s="51"/>
      <c r="AN67" s="51"/>
    </row>
    <row r="68" spans="2:40" ht="15.75">
      <c r="B68" s="339">
        <v>33</v>
      </c>
      <c r="C68" s="340">
        <f aca="true" t="shared" si="6" ref="C68:C99">IF(AND(NOT(COUNTA(D68:J68)),(NOT(COUNTA(L68:P68)))),"",VLOOKUP($D$7,Info_County_Code,2,FALSE))</f>
      </c>
      <c r="D68" s="203"/>
      <c r="E68" s="203"/>
      <c r="F68" s="60"/>
      <c r="G68" s="50"/>
      <c r="H68" s="60"/>
      <c r="I68" s="67"/>
      <c r="J68" s="67"/>
      <c r="K68" s="341">
        <f t="shared" si="2"/>
      </c>
      <c r="L68" s="171"/>
      <c r="M68" s="185"/>
      <c r="N68" s="57"/>
      <c r="O68" s="57"/>
      <c r="P68" s="57"/>
      <c r="Q68" s="342">
        <f t="shared" si="3"/>
        <v>0</v>
      </c>
      <c r="R68" s="312">
        <f t="shared" si="4"/>
      </c>
      <c r="S68" s="313">
        <f t="shared" si="5"/>
      </c>
      <c r="AL68" s="51"/>
      <c r="AM68" s="51"/>
      <c r="AN68" s="51"/>
    </row>
    <row r="69" spans="2:40" ht="15.75">
      <c r="B69" s="339">
        <v>34</v>
      </c>
      <c r="C69" s="340">
        <f t="shared" si="6"/>
      </c>
      <c r="D69" s="203"/>
      <c r="E69" s="203"/>
      <c r="F69" s="60"/>
      <c r="G69" s="50"/>
      <c r="H69" s="60"/>
      <c r="I69" s="67"/>
      <c r="J69" s="67"/>
      <c r="K69" s="341">
        <f t="shared" si="2"/>
      </c>
      <c r="L69" s="171"/>
      <c r="M69" s="185"/>
      <c r="N69" s="57"/>
      <c r="O69" s="57"/>
      <c r="P69" s="57"/>
      <c r="Q69" s="342">
        <f t="shared" si="3"/>
        <v>0</v>
      </c>
      <c r="R69" s="312">
        <f t="shared" si="4"/>
      </c>
      <c r="S69" s="313">
        <f t="shared" si="5"/>
      </c>
      <c r="AL69" s="51"/>
      <c r="AM69" s="51"/>
      <c r="AN69" s="51"/>
    </row>
    <row r="70" spans="2:40" ht="15.75">
      <c r="B70" s="339">
        <v>35</v>
      </c>
      <c r="C70" s="340">
        <f t="shared" si="6"/>
      </c>
      <c r="D70" s="203"/>
      <c r="E70" s="203"/>
      <c r="F70" s="60"/>
      <c r="G70" s="50"/>
      <c r="H70" s="60"/>
      <c r="I70" s="67"/>
      <c r="J70" s="67"/>
      <c r="K70" s="341">
        <f t="shared" si="2"/>
      </c>
      <c r="L70" s="171"/>
      <c r="M70" s="185"/>
      <c r="N70" s="57"/>
      <c r="O70" s="57"/>
      <c r="P70" s="57"/>
      <c r="Q70" s="342">
        <f t="shared" si="3"/>
        <v>0</v>
      </c>
      <c r="R70" s="312">
        <f t="shared" si="4"/>
      </c>
      <c r="S70" s="313">
        <f t="shared" si="5"/>
      </c>
      <c r="AL70" s="51"/>
      <c r="AM70" s="51"/>
      <c r="AN70" s="51"/>
    </row>
    <row r="71" spans="2:40" ht="15.75">
      <c r="B71" s="339">
        <v>36</v>
      </c>
      <c r="C71" s="340">
        <f t="shared" si="6"/>
      </c>
      <c r="D71" s="203"/>
      <c r="E71" s="203"/>
      <c r="F71" s="60"/>
      <c r="G71" s="50"/>
      <c r="H71" s="60"/>
      <c r="I71" s="67"/>
      <c r="J71" s="67"/>
      <c r="K71" s="341">
        <f t="shared" si="2"/>
      </c>
      <c r="L71" s="171"/>
      <c r="M71" s="185"/>
      <c r="N71" s="57"/>
      <c r="O71" s="57"/>
      <c r="P71" s="57"/>
      <c r="Q71" s="342">
        <f t="shared" si="3"/>
        <v>0</v>
      </c>
      <c r="R71" s="312">
        <f t="shared" si="4"/>
      </c>
      <c r="S71" s="313">
        <f t="shared" si="5"/>
      </c>
      <c r="AL71" s="51"/>
      <c r="AM71" s="51"/>
      <c r="AN71" s="51"/>
    </row>
    <row r="72" spans="2:40" ht="15.75">
      <c r="B72" s="339">
        <v>37</v>
      </c>
      <c r="C72" s="340">
        <f t="shared" si="6"/>
      </c>
      <c r="D72" s="203"/>
      <c r="E72" s="203"/>
      <c r="F72" s="60"/>
      <c r="G72" s="50"/>
      <c r="H72" s="60"/>
      <c r="I72" s="67"/>
      <c r="J72" s="67"/>
      <c r="K72" s="341">
        <f t="shared" si="2"/>
      </c>
      <c r="L72" s="171"/>
      <c r="M72" s="185"/>
      <c r="N72" s="57"/>
      <c r="O72" s="57"/>
      <c r="P72" s="57"/>
      <c r="Q72" s="342">
        <f t="shared" si="3"/>
        <v>0</v>
      </c>
      <c r="R72" s="312">
        <f t="shared" si="4"/>
      </c>
      <c r="S72" s="313">
        <f t="shared" si="5"/>
      </c>
      <c r="AL72" s="51"/>
      <c r="AM72" s="51"/>
      <c r="AN72" s="51"/>
    </row>
    <row r="73" spans="2:40" ht="15.75">
      <c r="B73" s="339">
        <v>38</v>
      </c>
      <c r="C73" s="340">
        <f t="shared" si="6"/>
      </c>
      <c r="D73" s="203"/>
      <c r="E73" s="203"/>
      <c r="F73" s="60"/>
      <c r="G73" s="50"/>
      <c r="H73" s="60"/>
      <c r="I73" s="67"/>
      <c r="J73" s="67"/>
      <c r="K73" s="341">
        <f t="shared" si="2"/>
      </c>
      <c r="L73" s="171"/>
      <c r="M73" s="185"/>
      <c r="N73" s="57"/>
      <c r="O73" s="57"/>
      <c r="P73" s="57"/>
      <c r="Q73" s="342">
        <f t="shared" si="3"/>
        <v>0</v>
      </c>
      <c r="R73" s="312">
        <f t="shared" si="4"/>
      </c>
      <c r="S73" s="313">
        <f t="shared" si="5"/>
      </c>
      <c r="AL73" s="51"/>
      <c r="AM73" s="51"/>
      <c r="AN73" s="51"/>
    </row>
    <row r="74" spans="2:40" ht="15.75">
      <c r="B74" s="339">
        <v>39</v>
      </c>
      <c r="C74" s="340">
        <f t="shared" si="6"/>
      </c>
      <c r="D74" s="203"/>
      <c r="E74" s="203"/>
      <c r="F74" s="60"/>
      <c r="G74" s="50"/>
      <c r="H74" s="60"/>
      <c r="I74" s="67"/>
      <c r="J74" s="67"/>
      <c r="K74" s="341">
        <f t="shared" si="2"/>
      </c>
      <c r="L74" s="171"/>
      <c r="M74" s="185"/>
      <c r="N74" s="57"/>
      <c r="O74" s="57"/>
      <c r="P74" s="57"/>
      <c r="Q74" s="342">
        <f t="shared" si="3"/>
        <v>0</v>
      </c>
      <c r="R74" s="312">
        <f t="shared" si="4"/>
      </c>
      <c r="S74" s="313">
        <f t="shared" si="5"/>
      </c>
      <c r="AL74" s="51"/>
      <c r="AM74" s="51"/>
      <c r="AN74" s="51"/>
    </row>
    <row r="75" spans="2:40" ht="15.75">
      <c r="B75" s="339">
        <v>40</v>
      </c>
      <c r="C75" s="340">
        <f t="shared" si="6"/>
      </c>
      <c r="D75" s="203"/>
      <c r="E75" s="203"/>
      <c r="F75" s="60"/>
      <c r="G75" s="50"/>
      <c r="H75" s="60"/>
      <c r="I75" s="67"/>
      <c r="J75" s="67"/>
      <c r="K75" s="341">
        <f t="shared" si="2"/>
      </c>
      <c r="L75" s="171"/>
      <c r="M75" s="185"/>
      <c r="N75" s="57"/>
      <c r="O75" s="57"/>
      <c r="P75" s="57"/>
      <c r="Q75" s="342">
        <f t="shared" si="3"/>
        <v>0</v>
      </c>
      <c r="R75" s="312">
        <f t="shared" si="4"/>
      </c>
      <c r="S75" s="313">
        <f t="shared" si="5"/>
      </c>
      <c r="AL75" s="51"/>
      <c r="AM75" s="51"/>
      <c r="AN75" s="51"/>
    </row>
    <row r="76" spans="2:40" ht="15.75">
      <c r="B76" s="339">
        <v>41</v>
      </c>
      <c r="C76" s="340">
        <f t="shared" si="6"/>
      </c>
      <c r="D76" s="203"/>
      <c r="E76" s="203"/>
      <c r="F76" s="60"/>
      <c r="G76" s="50"/>
      <c r="H76" s="60"/>
      <c r="I76" s="67"/>
      <c r="J76" s="67"/>
      <c r="K76" s="341">
        <f t="shared" si="2"/>
      </c>
      <c r="L76" s="171"/>
      <c r="M76" s="185"/>
      <c r="N76" s="57"/>
      <c r="O76" s="57"/>
      <c r="P76" s="57"/>
      <c r="Q76" s="342">
        <f t="shared" si="3"/>
        <v>0</v>
      </c>
      <c r="R76" s="312">
        <f t="shared" si="4"/>
      </c>
      <c r="S76" s="313">
        <f t="shared" si="5"/>
      </c>
      <c r="AL76" s="51"/>
      <c r="AM76" s="51"/>
      <c r="AN76" s="51"/>
    </row>
    <row r="77" spans="2:40" ht="15.75">
      <c r="B77" s="339">
        <v>42</v>
      </c>
      <c r="C77" s="340">
        <f t="shared" si="6"/>
      </c>
      <c r="D77" s="203"/>
      <c r="E77" s="203"/>
      <c r="F77" s="60"/>
      <c r="G77" s="50"/>
      <c r="H77" s="60"/>
      <c r="I77" s="67"/>
      <c r="J77" s="67"/>
      <c r="K77" s="341">
        <f t="shared" si="2"/>
      </c>
      <c r="L77" s="171"/>
      <c r="M77" s="185"/>
      <c r="N77" s="57"/>
      <c r="O77" s="57"/>
      <c r="P77" s="57"/>
      <c r="Q77" s="342">
        <f t="shared" si="3"/>
        <v>0</v>
      </c>
      <c r="R77" s="312">
        <f t="shared" si="4"/>
      </c>
      <c r="S77" s="313">
        <f t="shared" si="5"/>
      </c>
      <c r="AL77" s="51"/>
      <c r="AM77" s="51"/>
      <c r="AN77" s="51"/>
    </row>
    <row r="78" spans="2:40" ht="15.75">
      <c r="B78" s="339">
        <v>43</v>
      </c>
      <c r="C78" s="340">
        <f t="shared" si="6"/>
      </c>
      <c r="D78" s="203"/>
      <c r="E78" s="203"/>
      <c r="F78" s="60"/>
      <c r="G78" s="50"/>
      <c r="H78" s="60"/>
      <c r="I78" s="67"/>
      <c r="J78" s="67"/>
      <c r="K78" s="341">
        <f t="shared" si="2"/>
      </c>
      <c r="L78" s="171"/>
      <c r="M78" s="185"/>
      <c r="N78" s="57"/>
      <c r="O78" s="57"/>
      <c r="P78" s="57"/>
      <c r="Q78" s="342">
        <f t="shared" si="3"/>
        <v>0</v>
      </c>
      <c r="R78" s="312">
        <f t="shared" si="4"/>
      </c>
      <c r="S78" s="313">
        <f t="shared" si="5"/>
      </c>
      <c r="AL78" s="51"/>
      <c r="AM78" s="51"/>
      <c r="AN78" s="51"/>
    </row>
    <row r="79" spans="2:40" ht="15.75">
      <c r="B79" s="339">
        <v>44</v>
      </c>
      <c r="C79" s="340">
        <f t="shared" si="6"/>
      </c>
      <c r="D79" s="203"/>
      <c r="E79" s="203"/>
      <c r="F79" s="60"/>
      <c r="G79" s="50"/>
      <c r="H79" s="60"/>
      <c r="I79" s="67"/>
      <c r="J79" s="67"/>
      <c r="K79" s="341">
        <f t="shared" si="2"/>
      </c>
      <c r="L79" s="171"/>
      <c r="M79" s="185"/>
      <c r="N79" s="57"/>
      <c r="O79" s="57"/>
      <c r="P79" s="57"/>
      <c r="Q79" s="342">
        <f t="shared" si="3"/>
        <v>0</v>
      </c>
      <c r="R79" s="312">
        <f t="shared" si="4"/>
      </c>
      <c r="S79" s="313">
        <f t="shared" si="5"/>
      </c>
      <c r="AL79" s="51"/>
      <c r="AM79" s="51"/>
      <c r="AN79" s="51"/>
    </row>
    <row r="80" spans="2:40" ht="15.75">
      <c r="B80" s="339">
        <v>45</v>
      </c>
      <c r="C80" s="340">
        <f t="shared" si="6"/>
      </c>
      <c r="D80" s="203"/>
      <c r="E80" s="203"/>
      <c r="F80" s="60"/>
      <c r="G80" s="50"/>
      <c r="H80" s="60"/>
      <c r="I80" s="67"/>
      <c r="J80" s="67"/>
      <c r="K80" s="341">
        <f t="shared" si="2"/>
      </c>
      <c r="L80" s="171"/>
      <c r="M80" s="185"/>
      <c r="N80" s="57"/>
      <c r="O80" s="57"/>
      <c r="P80" s="57"/>
      <c r="Q80" s="342">
        <f t="shared" si="3"/>
        <v>0</v>
      </c>
      <c r="R80" s="312">
        <f t="shared" si="4"/>
      </c>
      <c r="S80" s="313">
        <f t="shared" si="5"/>
      </c>
      <c r="AL80" s="51"/>
      <c r="AM80" s="51"/>
      <c r="AN80" s="51"/>
    </row>
    <row r="81" spans="2:40" ht="15.75">
      <c r="B81" s="339">
        <v>46</v>
      </c>
      <c r="C81" s="340">
        <f t="shared" si="6"/>
      </c>
      <c r="D81" s="203"/>
      <c r="E81" s="203"/>
      <c r="F81" s="60"/>
      <c r="G81" s="50"/>
      <c r="H81" s="60"/>
      <c r="I81" s="67"/>
      <c r="J81" s="67"/>
      <c r="K81" s="341">
        <f t="shared" si="2"/>
      </c>
      <c r="L81" s="171"/>
      <c r="M81" s="185"/>
      <c r="N81" s="57"/>
      <c r="O81" s="57"/>
      <c r="P81" s="57"/>
      <c r="Q81" s="342">
        <f t="shared" si="3"/>
        <v>0</v>
      </c>
      <c r="R81" s="312">
        <f t="shared" si="4"/>
      </c>
      <c r="S81" s="313">
        <f t="shared" si="5"/>
      </c>
      <c r="AL81" s="51"/>
      <c r="AM81" s="51"/>
      <c r="AN81" s="51"/>
    </row>
    <row r="82" spans="2:40" ht="15.75">
      <c r="B82" s="339">
        <v>47</v>
      </c>
      <c r="C82" s="340">
        <f t="shared" si="6"/>
      </c>
      <c r="D82" s="203"/>
      <c r="E82" s="203"/>
      <c r="F82" s="60"/>
      <c r="G82" s="50"/>
      <c r="H82" s="60"/>
      <c r="I82" s="67"/>
      <c r="J82" s="67"/>
      <c r="K82" s="341">
        <f t="shared" si="2"/>
      </c>
      <c r="L82" s="171"/>
      <c r="M82" s="185"/>
      <c r="N82" s="57"/>
      <c r="O82" s="57"/>
      <c r="P82" s="57"/>
      <c r="Q82" s="342">
        <f t="shared" si="3"/>
        <v>0</v>
      </c>
      <c r="R82" s="312">
        <f t="shared" si="4"/>
      </c>
      <c r="S82" s="313">
        <f t="shared" si="5"/>
      </c>
      <c r="AL82" s="51"/>
      <c r="AM82" s="51"/>
      <c r="AN82" s="51"/>
    </row>
    <row r="83" spans="2:40" ht="15.75">
      <c r="B83" s="339">
        <v>48</v>
      </c>
      <c r="C83" s="340">
        <f t="shared" si="6"/>
      </c>
      <c r="D83" s="203"/>
      <c r="E83" s="203"/>
      <c r="F83" s="60"/>
      <c r="G83" s="50"/>
      <c r="H83" s="60"/>
      <c r="I83" s="67"/>
      <c r="J83" s="67"/>
      <c r="K83" s="341">
        <f t="shared" si="2"/>
      </c>
      <c r="L83" s="171"/>
      <c r="M83" s="185"/>
      <c r="N83" s="57"/>
      <c r="O83" s="57"/>
      <c r="P83" s="57"/>
      <c r="Q83" s="342">
        <f t="shared" si="3"/>
        <v>0</v>
      </c>
      <c r="R83" s="312">
        <f t="shared" si="4"/>
      </c>
      <c r="S83" s="313">
        <f t="shared" si="5"/>
      </c>
      <c r="AL83" s="51"/>
      <c r="AM83" s="51"/>
      <c r="AN83" s="51"/>
    </row>
    <row r="84" spans="2:40" ht="15.75">
      <c r="B84" s="339">
        <v>49</v>
      </c>
      <c r="C84" s="340">
        <f t="shared" si="6"/>
      </c>
      <c r="D84" s="203"/>
      <c r="E84" s="203"/>
      <c r="F84" s="60"/>
      <c r="G84" s="50"/>
      <c r="H84" s="60"/>
      <c r="I84" s="67"/>
      <c r="J84" s="67"/>
      <c r="K84" s="341">
        <f t="shared" si="2"/>
      </c>
      <c r="L84" s="171"/>
      <c r="M84" s="185"/>
      <c r="N84" s="57"/>
      <c r="O84" s="57"/>
      <c r="P84" s="57"/>
      <c r="Q84" s="342">
        <f t="shared" si="3"/>
        <v>0</v>
      </c>
      <c r="R84" s="312">
        <f t="shared" si="4"/>
      </c>
      <c r="S84" s="313">
        <f t="shared" si="5"/>
      </c>
      <c r="AL84" s="51"/>
      <c r="AM84" s="51"/>
      <c r="AN84" s="51"/>
    </row>
    <row r="85" spans="2:40" ht="15.75">
      <c r="B85" s="339">
        <v>50</v>
      </c>
      <c r="C85" s="340">
        <f t="shared" si="6"/>
      </c>
      <c r="D85" s="203"/>
      <c r="E85" s="203"/>
      <c r="F85" s="60"/>
      <c r="G85" s="50"/>
      <c r="H85" s="60"/>
      <c r="I85" s="67"/>
      <c r="J85" s="67"/>
      <c r="K85" s="341">
        <f t="shared" si="2"/>
      </c>
      <c r="L85" s="171"/>
      <c r="M85" s="185"/>
      <c r="N85" s="57"/>
      <c r="O85" s="57"/>
      <c r="P85" s="57"/>
      <c r="Q85" s="342">
        <f t="shared" si="3"/>
        <v>0</v>
      </c>
      <c r="R85" s="312">
        <f t="shared" si="4"/>
      </c>
      <c r="S85" s="313">
        <f t="shared" si="5"/>
      </c>
      <c r="AL85" s="51"/>
      <c r="AM85" s="51"/>
      <c r="AN85" s="51"/>
    </row>
    <row r="86" spans="2:40" ht="15.75">
      <c r="B86" s="339">
        <v>51</v>
      </c>
      <c r="C86" s="340">
        <f t="shared" si="6"/>
      </c>
      <c r="D86" s="203"/>
      <c r="E86" s="203"/>
      <c r="F86" s="60"/>
      <c r="G86" s="50"/>
      <c r="H86" s="60"/>
      <c r="I86" s="67"/>
      <c r="J86" s="67"/>
      <c r="K86" s="341">
        <f t="shared" si="2"/>
      </c>
      <c r="L86" s="171"/>
      <c r="M86" s="185"/>
      <c r="N86" s="57"/>
      <c r="O86" s="57"/>
      <c r="P86" s="57"/>
      <c r="Q86" s="342">
        <f t="shared" si="3"/>
        <v>0</v>
      </c>
      <c r="R86" s="312">
        <f t="shared" si="4"/>
      </c>
      <c r="S86" s="313">
        <f t="shared" si="5"/>
      </c>
      <c r="AL86" s="51"/>
      <c r="AM86" s="51"/>
      <c r="AN86" s="51"/>
    </row>
    <row r="87" spans="2:40" ht="15.75">
      <c r="B87" s="339">
        <v>52</v>
      </c>
      <c r="C87" s="340">
        <f t="shared" si="6"/>
      </c>
      <c r="D87" s="203"/>
      <c r="E87" s="203"/>
      <c r="F87" s="60"/>
      <c r="G87" s="50"/>
      <c r="H87" s="60"/>
      <c r="I87" s="67"/>
      <c r="J87" s="67"/>
      <c r="K87" s="341">
        <f t="shared" si="2"/>
      </c>
      <c r="L87" s="171"/>
      <c r="M87" s="185"/>
      <c r="N87" s="57"/>
      <c r="O87" s="57"/>
      <c r="P87" s="57"/>
      <c r="Q87" s="342">
        <f t="shared" si="3"/>
        <v>0</v>
      </c>
      <c r="R87" s="312">
        <f t="shared" si="4"/>
      </c>
      <c r="S87" s="313">
        <f t="shared" si="5"/>
      </c>
      <c r="AL87" s="51"/>
      <c r="AM87" s="51"/>
      <c r="AN87" s="51"/>
    </row>
    <row r="88" spans="2:40" ht="15.75">
      <c r="B88" s="339">
        <v>53</v>
      </c>
      <c r="C88" s="340">
        <f t="shared" si="6"/>
      </c>
      <c r="D88" s="203"/>
      <c r="E88" s="203"/>
      <c r="F88" s="60"/>
      <c r="G88" s="50"/>
      <c r="H88" s="60"/>
      <c r="I88" s="67"/>
      <c r="J88" s="67"/>
      <c r="K88" s="341">
        <f t="shared" si="2"/>
      </c>
      <c r="L88" s="171"/>
      <c r="M88" s="185"/>
      <c r="N88" s="57"/>
      <c r="O88" s="57"/>
      <c r="P88" s="57"/>
      <c r="Q88" s="342">
        <f t="shared" si="3"/>
        <v>0</v>
      </c>
      <c r="R88" s="312">
        <f t="shared" si="4"/>
      </c>
      <c r="S88" s="313">
        <f t="shared" si="5"/>
      </c>
      <c r="AL88" s="51"/>
      <c r="AM88" s="51"/>
      <c r="AN88" s="51"/>
    </row>
    <row r="89" spans="2:40" ht="15.75">
      <c r="B89" s="339">
        <v>54</v>
      </c>
      <c r="C89" s="340">
        <f t="shared" si="6"/>
      </c>
      <c r="D89" s="203"/>
      <c r="E89" s="203"/>
      <c r="F89" s="60"/>
      <c r="G89" s="50"/>
      <c r="H89" s="60"/>
      <c r="I89" s="67"/>
      <c r="J89" s="67"/>
      <c r="K89" s="341">
        <f t="shared" si="2"/>
      </c>
      <c r="L89" s="171"/>
      <c r="M89" s="185"/>
      <c r="N89" s="57"/>
      <c r="O89" s="57"/>
      <c r="P89" s="57"/>
      <c r="Q89" s="342">
        <f t="shared" si="3"/>
        <v>0</v>
      </c>
      <c r="R89" s="312">
        <f t="shared" si="4"/>
      </c>
      <c r="S89" s="313">
        <f t="shared" si="5"/>
      </c>
      <c r="AL89" s="51"/>
      <c r="AM89" s="51"/>
      <c r="AN89" s="51"/>
    </row>
    <row r="90" spans="2:40" ht="15.75">
      <c r="B90" s="339">
        <v>55</v>
      </c>
      <c r="C90" s="340">
        <f t="shared" si="6"/>
      </c>
      <c r="D90" s="203"/>
      <c r="E90" s="203"/>
      <c r="F90" s="60"/>
      <c r="G90" s="50"/>
      <c r="H90" s="60"/>
      <c r="I90" s="67"/>
      <c r="J90" s="67"/>
      <c r="K90" s="341">
        <f t="shared" si="2"/>
      </c>
      <c r="L90" s="171"/>
      <c r="M90" s="185"/>
      <c r="N90" s="57"/>
      <c r="O90" s="57"/>
      <c r="P90" s="57"/>
      <c r="Q90" s="342">
        <f t="shared" si="3"/>
        <v>0</v>
      </c>
      <c r="R90" s="312">
        <f t="shared" si="4"/>
      </c>
      <c r="S90" s="313">
        <f t="shared" si="5"/>
      </c>
      <c r="AL90" s="51"/>
      <c r="AM90" s="51"/>
      <c r="AN90" s="51"/>
    </row>
    <row r="91" spans="2:40" ht="15.75">
      <c r="B91" s="339">
        <v>56</v>
      </c>
      <c r="C91" s="340">
        <f t="shared" si="6"/>
      </c>
      <c r="D91" s="203"/>
      <c r="E91" s="203"/>
      <c r="F91" s="60"/>
      <c r="G91" s="50"/>
      <c r="H91" s="60"/>
      <c r="I91" s="67"/>
      <c r="J91" s="67"/>
      <c r="K91" s="341">
        <f t="shared" si="2"/>
      </c>
      <c r="L91" s="171"/>
      <c r="M91" s="185"/>
      <c r="N91" s="57"/>
      <c r="O91" s="57"/>
      <c r="P91" s="57"/>
      <c r="Q91" s="342">
        <f t="shared" si="3"/>
        <v>0</v>
      </c>
      <c r="R91" s="312">
        <f t="shared" si="4"/>
      </c>
      <c r="S91" s="313">
        <f t="shared" si="5"/>
      </c>
      <c r="AL91" s="51"/>
      <c r="AM91" s="51"/>
      <c r="AN91" s="51"/>
    </row>
    <row r="92" spans="2:40" ht="15.75">
      <c r="B92" s="339">
        <v>57</v>
      </c>
      <c r="C92" s="340">
        <f t="shared" si="6"/>
      </c>
      <c r="D92" s="203"/>
      <c r="E92" s="203"/>
      <c r="F92" s="60"/>
      <c r="G92" s="50"/>
      <c r="H92" s="60"/>
      <c r="I92" s="67"/>
      <c r="J92" s="67"/>
      <c r="K92" s="341">
        <f t="shared" si="2"/>
      </c>
      <c r="L92" s="171"/>
      <c r="M92" s="185"/>
      <c r="N92" s="57"/>
      <c r="O92" s="57"/>
      <c r="P92" s="57"/>
      <c r="Q92" s="342">
        <f t="shared" si="3"/>
        <v>0</v>
      </c>
      <c r="R92" s="312">
        <f t="shared" si="4"/>
      </c>
      <c r="S92" s="313">
        <f t="shared" si="5"/>
      </c>
      <c r="AL92" s="51"/>
      <c r="AM92" s="51"/>
      <c r="AN92" s="51"/>
    </row>
    <row r="93" spans="2:40" ht="15.75">
      <c r="B93" s="339">
        <v>58</v>
      </c>
      <c r="C93" s="340">
        <f t="shared" si="6"/>
      </c>
      <c r="D93" s="203"/>
      <c r="E93" s="203"/>
      <c r="F93" s="60"/>
      <c r="G93" s="50"/>
      <c r="H93" s="60"/>
      <c r="I93" s="67"/>
      <c r="J93" s="67"/>
      <c r="K93" s="341">
        <f t="shared" si="2"/>
      </c>
      <c r="L93" s="171"/>
      <c r="M93" s="185"/>
      <c r="N93" s="57"/>
      <c r="O93" s="57"/>
      <c r="P93" s="57"/>
      <c r="Q93" s="342">
        <f>SUM(L93:P93)</f>
        <v>0</v>
      </c>
      <c r="R93" s="312">
        <f t="shared" si="4"/>
      </c>
      <c r="S93" s="313">
        <f t="shared" si="5"/>
      </c>
      <c r="AL93" s="51"/>
      <c r="AM93" s="51"/>
      <c r="AN93" s="51"/>
    </row>
    <row r="94" spans="2:40" ht="15.75">
      <c r="B94" s="339">
        <v>59</v>
      </c>
      <c r="C94" s="340">
        <f t="shared" si="6"/>
      </c>
      <c r="D94" s="203"/>
      <c r="E94" s="203"/>
      <c r="F94" s="60"/>
      <c r="G94" s="50"/>
      <c r="H94" s="60"/>
      <c r="I94" s="67"/>
      <c r="J94" s="67"/>
      <c r="K94" s="341">
        <f t="shared" si="2"/>
      </c>
      <c r="L94" s="171"/>
      <c r="M94" s="185"/>
      <c r="N94" s="57"/>
      <c r="O94" s="57"/>
      <c r="P94" s="57"/>
      <c r="Q94" s="342">
        <f t="shared" si="3"/>
        <v>0</v>
      </c>
      <c r="R94" s="312">
        <f t="shared" si="4"/>
      </c>
      <c r="S94" s="313">
        <f t="shared" si="5"/>
      </c>
      <c r="AL94" s="51"/>
      <c r="AM94" s="51"/>
      <c r="AN94" s="51"/>
    </row>
    <row r="95" spans="2:40" ht="15.75">
      <c r="B95" s="339">
        <v>60</v>
      </c>
      <c r="C95" s="340">
        <f t="shared" si="6"/>
      </c>
      <c r="D95" s="203"/>
      <c r="E95" s="203"/>
      <c r="F95" s="60"/>
      <c r="G95" s="50"/>
      <c r="H95" s="60"/>
      <c r="I95" s="67"/>
      <c r="J95" s="67"/>
      <c r="K95" s="341">
        <f t="shared" si="2"/>
      </c>
      <c r="L95" s="171"/>
      <c r="M95" s="185"/>
      <c r="N95" s="57"/>
      <c r="O95" s="57"/>
      <c r="P95" s="57"/>
      <c r="Q95" s="342">
        <f t="shared" si="3"/>
        <v>0</v>
      </c>
      <c r="R95" s="312">
        <f t="shared" si="4"/>
      </c>
      <c r="S95" s="313">
        <f t="shared" si="5"/>
      </c>
      <c r="AL95" s="51"/>
      <c r="AM95" s="51"/>
      <c r="AN95" s="51"/>
    </row>
    <row r="96" spans="2:40" ht="15.75">
      <c r="B96" s="339">
        <v>61</v>
      </c>
      <c r="C96" s="340">
        <f t="shared" si="6"/>
      </c>
      <c r="D96" s="203"/>
      <c r="E96" s="203"/>
      <c r="F96" s="60"/>
      <c r="G96" s="50"/>
      <c r="H96" s="60"/>
      <c r="I96" s="67"/>
      <c r="J96" s="67"/>
      <c r="K96" s="341">
        <f t="shared" si="2"/>
      </c>
      <c r="L96" s="171"/>
      <c r="M96" s="185"/>
      <c r="N96" s="57"/>
      <c r="O96" s="57"/>
      <c r="P96" s="57"/>
      <c r="Q96" s="342">
        <f t="shared" si="3"/>
        <v>0</v>
      </c>
      <c r="R96" s="312">
        <f t="shared" si="4"/>
      </c>
      <c r="S96" s="313">
        <f t="shared" si="5"/>
      </c>
      <c r="AL96" s="51"/>
      <c r="AM96" s="51"/>
      <c r="AN96" s="51"/>
    </row>
    <row r="97" spans="2:40" ht="15.75">
      <c r="B97" s="339">
        <v>62</v>
      </c>
      <c r="C97" s="340">
        <f t="shared" si="6"/>
      </c>
      <c r="D97" s="203"/>
      <c r="E97" s="203"/>
      <c r="F97" s="60"/>
      <c r="G97" s="60"/>
      <c r="H97" s="60"/>
      <c r="I97" s="67"/>
      <c r="J97" s="67"/>
      <c r="K97" s="341">
        <f t="shared" si="2"/>
      </c>
      <c r="L97" s="171"/>
      <c r="M97" s="185"/>
      <c r="N97" s="57"/>
      <c r="O97" s="57"/>
      <c r="P97" s="57"/>
      <c r="Q97" s="342">
        <f t="shared" si="3"/>
        <v>0</v>
      </c>
      <c r="R97" s="312">
        <f t="shared" si="4"/>
      </c>
      <c r="S97" s="313">
        <f t="shared" si="5"/>
      </c>
      <c r="AL97" s="51"/>
      <c r="AM97" s="51"/>
      <c r="AN97" s="51"/>
    </row>
    <row r="98" spans="2:40" ht="15.75">
      <c r="B98" s="339">
        <v>63</v>
      </c>
      <c r="C98" s="340">
        <f t="shared" si="6"/>
      </c>
      <c r="D98" s="203"/>
      <c r="E98" s="203"/>
      <c r="F98" s="60"/>
      <c r="G98" s="50"/>
      <c r="H98" s="60"/>
      <c r="I98" s="67"/>
      <c r="J98" s="67"/>
      <c r="K98" s="341">
        <f t="shared" si="2"/>
      </c>
      <c r="L98" s="171"/>
      <c r="M98" s="185"/>
      <c r="N98" s="57"/>
      <c r="O98" s="57"/>
      <c r="P98" s="57"/>
      <c r="Q98" s="342">
        <f t="shared" si="3"/>
        <v>0</v>
      </c>
      <c r="R98" s="312">
        <f t="shared" si="4"/>
      </c>
      <c r="S98" s="313">
        <f t="shared" si="5"/>
      </c>
      <c r="AL98" s="51"/>
      <c r="AM98" s="51"/>
      <c r="AN98" s="51"/>
    </row>
    <row r="99" spans="2:40" ht="15.75">
      <c r="B99" s="339">
        <v>64</v>
      </c>
      <c r="C99" s="340">
        <f t="shared" si="6"/>
      </c>
      <c r="D99" s="203"/>
      <c r="E99" s="203"/>
      <c r="F99" s="60"/>
      <c r="G99" s="50"/>
      <c r="H99" s="50"/>
      <c r="I99" s="67"/>
      <c r="J99" s="67"/>
      <c r="K99" s="341">
        <f t="shared" si="2"/>
      </c>
      <c r="L99" s="171"/>
      <c r="M99" s="185"/>
      <c r="N99" s="57"/>
      <c r="O99" s="57"/>
      <c r="P99" s="57"/>
      <c r="Q99" s="342">
        <f t="shared" si="3"/>
        <v>0</v>
      </c>
      <c r="R99" s="312">
        <f t="shared" si="4"/>
      </c>
      <c r="S99" s="313">
        <f t="shared" si="5"/>
      </c>
      <c r="AL99" s="51"/>
      <c r="AM99" s="51"/>
      <c r="AN99" s="51"/>
    </row>
    <row r="100" spans="2:40" ht="15.75">
      <c r="B100" s="339">
        <v>65</v>
      </c>
      <c r="C100" s="340">
        <f aca="true" t="shared" si="7" ref="C100:C131">IF(AND(NOT(COUNTA(D100:J100)),(NOT(COUNTA(L100:P100)))),"",VLOOKUP($D$7,Info_County_Code,2,FALSE))</f>
      </c>
      <c r="D100" s="203"/>
      <c r="E100" s="203"/>
      <c r="F100" s="60"/>
      <c r="G100" s="50"/>
      <c r="H100" s="50"/>
      <c r="I100" s="67"/>
      <c r="J100" s="67"/>
      <c r="K100" s="341">
        <f t="shared" si="2"/>
      </c>
      <c r="L100" s="171"/>
      <c r="M100" s="185"/>
      <c r="N100" s="57"/>
      <c r="O100" s="57"/>
      <c r="P100" s="57"/>
      <c r="Q100" s="342">
        <f t="shared" si="3"/>
        <v>0</v>
      </c>
      <c r="R100" s="312">
        <f t="shared" si="4"/>
      </c>
      <c r="S100" s="313">
        <f t="shared" si="5"/>
      </c>
      <c r="AL100" s="51"/>
      <c r="AM100" s="51"/>
      <c r="AN100" s="51"/>
    </row>
    <row r="101" spans="2:40" ht="15.75">
      <c r="B101" s="339">
        <v>66</v>
      </c>
      <c r="C101" s="340">
        <f t="shared" si="7"/>
      </c>
      <c r="D101" s="203"/>
      <c r="E101" s="203"/>
      <c r="F101" s="60"/>
      <c r="G101" s="50"/>
      <c r="H101" s="50"/>
      <c r="I101" s="67"/>
      <c r="J101" s="67"/>
      <c r="K101" s="341">
        <f aca="true" t="shared" si="8" ref="K101:K135">IF(OR(G101="Combined Summary",F101="Standalone"),(SUMPRODUCT(--(D$36:D$135=D101),I$36:I$135,J$36:J$135)),"")</f>
      </c>
      <c r="L101" s="171"/>
      <c r="M101" s="185"/>
      <c r="N101" s="57"/>
      <c r="O101" s="57"/>
      <c r="P101" s="57"/>
      <c r="Q101" s="342">
        <f aca="true" t="shared" si="9" ref="Q101:Q106">SUM(L101:P101)</f>
        <v>0</v>
      </c>
      <c r="R101" s="312">
        <f aca="true" t="shared" si="10" ref="R101:R135">IF(OR(G101="Combined Summary",F101="Standalone"),(SUMIF(D$36:D$135,D101,I$36:I$135)),"")</f>
      </c>
      <c r="S101" s="313">
        <f aca="true" t="shared" si="11" ref="S101:S135">IF(AND(F101="Standalone",NOT(R101=1)),"ERROR",IF(AND(G101="Combined Summary",NOT(R101=1)),"ERROR",""))</f>
      </c>
      <c r="AL101" s="51"/>
      <c r="AM101" s="51"/>
      <c r="AN101" s="51"/>
    </row>
    <row r="102" spans="2:40" ht="15.75">
      <c r="B102" s="339">
        <v>67</v>
      </c>
      <c r="C102" s="340">
        <f t="shared" si="7"/>
      </c>
      <c r="D102" s="203"/>
      <c r="E102" s="203"/>
      <c r="F102" s="60"/>
      <c r="G102" s="50"/>
      <c r="H102" s="50"/>
      <c r="I102" s="67"/>
      <c r="J102" s="67"/>
      <c r="K102" s="341">
        <f t="shared" si="8"/>
      </c>
      <c r="L102" s="171"/>
      <c r="M102" s="185"/>
      <c r="N102" s="57"/>
      <c r="O102" s="57"/>
      <c r="P102" s="57"/>
      <c r="Q102" s="342">
        <f t="shared" si="9"/>
        <v>0</v>
      </c>
      <c r="R102" s="312">
        <f t="shared" si="10"/>
      </c>
      <c r="S102" s="313">
        <f t="shared" si="11"/>
      </c>
      <c r="AL102" s="51"/>
      <c r="AM102" s="51"/>
      <c r="AN102" s="51"/>
    </row>
    <row r="103" spans="2:40" ht="15.75">
      <c r="B103" s="339">
        <v>68</v>
      </c>
      <c r="C103" s="340">
        <f t="shared" si="7"/>
      </c>
      <c r="D103" s="203"/>
      <c r="E103" s="203"/>
      <c r="F103" s="60"/>
      <c r="G103" s="50"/>
      <c r="H103" s="50"/>
      <c r="I103" s="67"/>
      <c r="J103" s="67"/>
      <c r="K103" s="341">
        <f t="shared" si="8"/>
      </c>
      <c r="L103" s="171"/>
      <c r="M103" s="185"/>
      <c r="N103" s="57"/>
      <c r="O103" s="57"/>
      <c r="P103" s="57"/>
      <c r="Q103" s="342">
        <f t="shared" si="9"/>
        <v>0</v>
      </c>
      <c r="R103" s="312">
        <f t="shared" si="10"/>
      </c>
      <c r="S103" s="313">
        <f t="shared" si="11"/>
      </c>
      <c r="AL103" s="51"/>
      <c r="AM103" s="51"/>
      <c r="AN103" s="51"/>
    </row>
    <row r="104" spans="2:40" ht="15.75">
      <c r="B104" s="339">
        <v>69</v>
      </c>
      <c r="C104" s="340">
        <f t="shared" si="7"/>
      </c>
      <c r="D104" s="203"/>
      <c r="E104" s="203"/>
      <c r="F104" s="60"/>
      <c r="G104" s="50"/>
      <c r="H104" s="50"/>
      <c r="I104" s="67"/>
      <c r="J104" s="67"/>
      <c r="K104" s="341">
        <f t="shared" si="8"/>
      </c>
      <c r="L104" s="171"/>
      <c r="M104" s="185"/>
      <c r="N104" s="57"/>
      <c r="O104" s="57"/>
      <c r="P104" s="57"/>
      <c r="Q104" s="342">
        <f t="shared" si="9"/>
        <v>0</v>
      </c>
      <c r="R104" s="312">
        <f t="shared" si="10"/>
      </c>
      <c r="S104" s="313">
        <f t="shared" si="11"/>
      </c>
      <c r="AL104" s="51"/>
      <c r="AM104" s="51"/>
      <c r="AN104" s="51"/>
    </row>
    <row r="105" spans="2:40" ht="15.75">
      <c r="B105" s="339">
        <v>70</v>
      </c>
      <c r="C105" s="340">
        <f t="shared" si="7"/>
      </c>
      <c r="D105" s="203"/>
      <c r="E105" s="203"/>
      <c r="F105" s="60"/>
      <c r="G105" s="50"/>
      <c r="H105" s="50"/>
      <c r="I105" s="67"/>
      <c r="J105" s="67"/>
      <c r="K105" s="341">
        <f t="shared" si="8"/>
      </c>
      <c r="L105" s="171"/>
      <c r="M105" s="185"/>
      <c r="N105" s="57"/>
      <c r="O105" s="57"/>
      <c r="P105" s="57"/>
      <c r="Q105" s="342">
        <f t="shared" si="9"/>
        <v>0</v>
      </c>
      <c r="R105" s="312">
        <f t="shared" si="10"/>
      </c>
      <c r="S105" s="313">
        <f t="shared" si="11"/>
      </c>
      <c r="AL105" s="51"/>
      <c r="AM105" s="51"/>
      <c r="AN105" s="51"/>
    </row>
    <row r="106" spans="2:40" ht="15.75">
      <c r="B106" s="339">
        <v>71</v>
      </c>
      <c r="C106" s="340">
        <f t="shared" si="7"/>
      </c>
      <c r="D106" s="203"/>
      <c r="E106" s="203"/>
      <c r="F106" s="60"/>
      <c r="G106" s="50"/>
      <c r="H106" s="50"/>
      <c r="I106" s="67"/>
      <c r="J106" s="67"/>
      <c r="K106" s="341">
        <f t="shared" si="8"/>
      </c>
      <c r="L106" s="171"/>
      <c r="M106" s="185"/>
      <c r="N106" s="57"/>
      <c r="O106" s="57"/>
      <c r="P106" s="57"/>
      <c r="Q106" s="342">
        <f t="shared" si="9"/>
        <v>0</v>
      </c>
      <c r="R106" s="312">
        <f t="shared" si="10"/>
      </c>
      <c r="S106" s="313">
        <f t="shared" si="11"/>
      </c>
      <c r="AL106" s="51"/>
      <c r="AM106" s="51"/>
      <c r="AN106" s="51"/>
    </row>
    <row r="107" spans="2:40" ht="15.75">
      <c r="B107" s="339">
        <v>72</v>
      </c>
      <c r="C107" s="340">
        <f t="shared" si="7"/>
      </c>
      <c r="D107" s="203"/>
      <c r="E107" s="203"/>
      <c r="F107" s="60"/>
      <c r="G107" s="50"/>
      <c r="H107" s="50"/>
      <c r="I107" s="67"/>
      <c r="J107" s="67"/>
      <c r="K107" s="341">
        <f t="shared" si="8"/>
      </c>
      <c r="L107" s="171"/>
      <c r="M107" s="185"/>
      <c r="N107" s="57"/>
      <c r="O107" s="57"/>
      <c r="P107" s="57"/>
      <c r="Q107" s="342">
        <f>SUM(L107:P107)</f>
        <v>0</v>
      </c>
      <c r="R107" s="312">
        <f t="shared" si="10"/>
      </c>
      <c r="S107" s="313">
        <f t="shared" si="11"/>
      </c>
      <c r="AL107" s="51"/>
      <c r="AM107" s="51"/>
      <c r="AN107" s="51"/>
    </row>
    <row r="108" spans="2:40" ht="15.75">
      <c r="B108" s="339">
        <v>73</v>
      </c>
      <c r="C108" s="340">
        <f t="shared" si="7"/>
      </c>
      <c r="D108" s="203"/>
      <c r="E108" s="203"/>
      <c r="F108" s="60"/>
      <c r="G108" s="50"/>
      <c r="H108" s="50"/>
      <c r="I108" s="67"/>
      <c r="J108" s="67"/>
      <c r="K108" s="341">
        <f t="shared" si="8"/>
      </c>
      <c r="L108" s="171"/>
      <c r="M108" s="185"/>
      <c r="N108" s="57"/>
      <c r="O108" s="57"/>
      <c r="P108" s="57"/>
      <c r="Q108" s="342">
        <f aca="true" t="shared" si="12" ref="Q108:Q122">SUM(L108:P108)</f>
        <v>0</v>
      </c>
      <c r="R108" s="312">
        <f t="shared" si="10"/>
      </c>
      <c r="S108" s="313">
        <f t="shared" si="11"/>
      </c>
      <c r="AL108" s="51"/>
      <c r="AM108" s="51"/>
      <c r="AN108" s="51"/>
    </row>
    <row r="109" spans="2:40" ht="15.75">
      <c r="B109" s="339">
        <v>74</v>
      </c>
      <c r="C109" s="340">
        <f t="shared" si="7"/>
      </c>
      <c r="D109" s="203"/>
      <c r="E109" s="203"/>
      <c r="F109" s="60"/>
      <c r="G109" s="50"/>
      <c r="H109" s="50"/>
      <c r="I109" s="67"/>
      <c r="J109" s="67"/>
      <c r="K109" s="341">
        <f t="shared" si="8"/>
      </c>
      <c r="L109" s="171"/>
      <c r="M109" s="185"/>
      <c r="N109" s="57"/>
      <c r="O109" s="57"/>
      <c r="P109" s="57"/>
      <c r="Q109" s="342">
        <f t="shared" si="12"/>
        <v>0</v>
      </c>
      <c r="R109" s="312">
        <f t="shared" si="10"/>
      </c>
      <c r="S109" s="313">
        <f t="shared" si="11"/>
      </c>
      <c r="AL109" s="51"/>
      <c r="AM109" s="51"/>
      <c r="AN109" s="51"/>
    </row>
    <row r="110" spans="2:40" ht="15.75">
      <c r="B110" s="339">
        <v>75</v>
      </c>
      <c r="C110" s="340">
        <f t="shared" si="7"/>
      </c>
      <c r="D110" s="203"/>
      <c r="E110" s="203"/>
      <c r="F110" s="60"/>
      <c r="G110" s="50"/>
      <c r="H110" s="50"/>
      <c r="I110" s="67"/>
      <c r="J110" s="67"/>
      <c r="K110" s="341">
        <f t="shared" si="8"/>
      </c>
      <c r="L110" s="171"/>
      <c r="M110" s="185"/>
      <c r="N110" s="57"/>
      <c r="O110" s="57"/>
      <c r="P110" s="57"/>
      <c r="Q110" s="342">
        <f t="shared" si="12"/>
        <v>0</v>
      </c>
      <c r="R110" s="312">
        <f t="shared" si="10"/>
      </c>
      <c r="S110" s="313">
        <f t="shared" si="11"/>
      </c>
      <c r="AL110" s="51"/>
      <c r="AM110" s="51"/>
      <c r="AN110" s="51"/>
    </row>
    <row r="111" spans="2:40" ht="15.75">
      <c r="B111" s="339">
        <v>76</v>
      </c>
      <c r="C111" s="340">
        <f t="shared" si="7"/>
      </c>
      <c r="D111" s="203"/>
      <c r="E111" s="203"/>
      <c r="F111" s="60"/>
      <c r="G111" s="50"/>
      <c r="H111" s="50"/>
      <c r="I111" s="67"/>
      <c r="J111" s="67"/>
      <c r="K111" s="341">
        <f t="shared" si="8"/>
      </c>
      <c r="L111" s="171"/>
      <c r="M111" s="185"/>
      <c r="N111" s="57"/>
      <c r="O111" s="57"/>
      <c r="P111" s="57"/>
      <c r="Q111" s="342">
        <f t="shared" si="12"/>
        <v>0</v>
      </c>
      <c r="R111" s="312">
        <f t="shared" si="10"/>
      </c>
      <c r="S111" s="313">
        <f t="shared" si="11"/>
      </c>
      <c r="AL111" s="51"/>
      <c r="AM111" s="51"/>
      <c r="AN111" s="51"/>
    </row>
    <row r="112" spans="2:40" ht="15.75">
      <c r="B112" s="339">
        <v>77</v>
      </c>
      <c r="C112" s="340">
        <f t="shared" si="7"/>
      </c>
      <c r="D112" s="203"/>
      <c r="E112" s="203"/>
      <c r="F112" s="60"/>
      <c r="G112" s="50"/>
      <c r="H112" s="50"/>
      <c r="I112" s="67"/>
      <c r="J112" s="67"/>
      <c r="K112" s="341">
        <f t="shared" si="8"/>
      </c>
      <c r="L112" s="171"/>
      <c r="M112" s="185"/>
      <c r="N112" s="57"/>
      <c r="O112" s="57"/>
      <c r="P112" s="57"/>
      <c r="Q112" s="342">
        <f t="shared" si="12"/>
        <v>0</v>
      </c>
      <c r="R112" s="312">
        <f t="shared" si="10"/>
      </c>
      <c r="S112" s="313">
        <f t="shared" si="11"/>
      </c>
      <c r="AL112" s="51"/>
      <c r="AM112" s="51"/>
      <c r="AN112" s="51"/>
    </row>
    <row r="113" spans="2:40" ht="15.75">
      <c r="B113" s="339">
        <v>78</v>
      </c>
      <c r="C113" s="340">
        <f t="shared" si="7"/>
      </c>
      <c r="D113" s="203"/>
      <c r="E113" s="203"/>
      <c r="F113" s="60"/>
      <c r="G113" s="50"/>
      <c r="H113" s="50"/>
      <c r="I113" s="67"/>
      <c r="J113" s="67"/>
      <c r="K113" s="341">
        <f t="shared" si="8"/>
      </c>
      <c r="L113" s="171"/>
      <c r="M113" s="185"/>
      <c r="N113" s="57"/>
      <c r="O113" s="57"/>
      <c r="P113" s="57"/>
      <c r="Q113" s="342">
        <f t="shared" si="12"/>
        <v>0</v>
      </c>
      <c r="R113" s="312">
        <f t="shared" si="10"/>
      </c>
      <c r="S113" s="313">
        <f t="shared" si="11"/>
      </c>
      <c r="AL113" s="51"/>
      <c r="AM113" s="51"/>
      <c r="AN113" s="51"/>
    </row>
    <row r="114" spans="2:40" ht="15.75">
      <c r="B114" s="339">
        <v>79</v>
      </c>
      <c r="C114" s="340">
        <f t="shared" si="7"/>
      </c>
      <c r="D114" s="203"/>
      <c r="E114" s="203"/>
      <c r="F114" s="60"/>
      <c r="G114" s="50"/>
      <c r="H114" s="50"/>
      <c r="I114" s="67"/>
      <c r="J114" s="67"/>
      <c r="K114" s="341">
        <f t="shared" si="8"/>
      </c>
      <c r="L114" s="171"/>
      <c r="M114" s="185"/>
      <c r="N114" s="57"/>
      <c r="O114" s="57"/>
      <c r="P114" s="57"/>
      <c r="Q114" s="342">
        <f t="shared" si="12"/>
        <v>0</v>
      </c>
      <c r="R114" s="312">
        <f t="shared" si="10"/>
      </c>
      <c r="S114" s="313">
        <f t="shared" si="11"/>
      </c>
      <c r="AL114" s="51"/>
      <c r="AM114" s="51"/>
      <c r="AN114" s="51"/>
    </row>
    <row r="115" spans="2:40" ht="15.75">
      <c r="B115" s="339">
        <v>80</v>
      </c>
      <c r="C115" s="340">
        <f t="shared" si="7"/>
      </c>
      <c r="D115" s="203"/>
      <c r="E115" s="203"/>
      <c r="F115" s="60"/>
      <c r="G115" s="50"/>
      <c r="H115" s="50"/>
      <c r="I115" s="67"/>
      <c r="J115" s="67"/>
      <c r="K115" s="341">
        <f t="shared" si="8"/>
      </c>
      <c r="L115" s="171"/>
      <c r="M115" s="185"/>
      <c r="N115" s="57"/>
      <c r="O115" s="57"/>
      <c r="P115" s="57"/>
      <c r="Q115" s="342">
        <f t="shared" si="12"/>
        <v>0</v>
      </c>
      <c r="R115" s="312">
        <f t="shared" si="10"/>
      </c>
      <c r="S115" s="313">
        <f t="shared" si="11"/>
      </c>
      <c r="AL115" s="51"/>
      <c r="AM115" s="51"/>
      <c r="AN115" s="51"/>
    </row>
    <row r="116" spans="2:40" ht="15.75">
      <c r="B116" s="339">
        <v>81</v>
      </c>
      <c r="C116" s="340">
        <f t="shared" si="7"/>
      </c>
      <c r="D116" s="203"/>
      <c r="E116" s="203"/>
      <c r="F116" s="60"/>
      <c r="G116" s="50"/>
      <c r="H116" s="50"/>
      <c r="I116" s="67"/>
      <c r="J116" s="67"/>
      <c r="K116" s="341">
        <f t="shared" si="8"/>
      </c>
      <c r="L116" s="171"/>
      <c r="M116" s="185"/>
      <c r="N116" s="57"/>
      <c r="O116" s="57"/>
      <c r="P116" s="57"/>
      <c r="Q116" s="342">
        <f t="shared" si="12"/>
        <v>0</v>
      </c>
      <c r="R116" s="312">
        <f t="shared" si="10"/>
      </c>
      <c r="S116" s="313">
        <f t="shared" si="11"/>
      </c>
      <c r="AL116" s="51"/>
      <c r="AM116" s="51"/>
      <c r="AN116" s="51"/>
    </row>
    <row r="117" spans="2:40" ht="15.75">
      <c r="B117" s="339">
        <v>82</v>
      </c>
      <c r="C117" s="340">
        <f t="shared" si="7"/>
      </c>
      <c r="D117" s="203"/>
      <c r="E117" s="203"/>
      <c r="F117" s="60"/>
      <c r="G117" s="50"/>
      <c r="H117" s="50"/>
      <c r="I117" s="67"/>
      <c r="J117" s="67"/>
      <c r="K117" s="341">
        <f t="shared" si="8"/>
      </c>
      <c r="L117" s="171"/>
      <c r="M117" s="185"/>
      <c r="N117" s="57"/>
      <c r="O117" s="57"/>
      <c r="P117" s="57"/>
      <c r="Q117" s="342">
        <f t="shared" si="12"/>
        <v>0</v>
      </c>
      <c r="R117" s="312">
        <f t="shared" si="10"/>
      </c>
      <c r="S117" s="313">
        <f t="shared" si="11"/>
      </c>
      <c r="AL117" s="51"/>
      <c r="AM117" s="51"/>
      <c r="AN117" s="51"/>
    </row>
    <row r="118" spans="2:40" ht="15.75">
      <c r="B118" s="339">
        <v>83</v>
      </c>
      <c r="C118" s="340">
        <f t="shared" si="7"/>
      </c>
      <c r="D118" s="203"/>
      <c r="E118" s="203"/>
      <c r="F118" s="60"/>
      <c r="G118" s="50"/>
      <c r="H118" s="50"/>
      <c r="I118" s="67"/>
      <c r="J118" s="67"/>
      <c r="K118" s="341">
        <f t="shared" si="8"/>
      </c>
      <c r="L118" s="171"/>
      <c r="M118" s="185"/>
      <c r="N118" s="57"/>
      <c r="O118" s="57"/>
      <c r="P118" s="57"/>
      <c r="Q118" s="342">
        <f t="shared" si="12"/>
        <v>0</v>
      </c>
      <c r="R118" s="312">
        <f t="shared" si="10"/>
      </c>
      <c r="S118" s="313">
        <f t="shared" si="11"/>
      </c>
      <c r="AL118" s="51"/>
      <c r="AM118" s="51"/>
      <c r="AN118" s="51"/>
    </row>
    <row r="119" spans="2:40" ht="15.75">
      <c r="B119" s="339">
        <v>84</v>
      </c>
      <c r="C119" s="340">
        <f t="shared" si="7"/>
      </c>
      <c r="D119" s="203"/>
      <c r="E119" s="203"/>
      <c r="F119" s="60"/>
      <c r="G119" s="50"/>
      <c r="H119" s="50"/>
      <c r="I119" s="67"/>
      <c r="J119" s="67"/>
      <c r="K119" s="341">
        <f t="shared" si="8"/>
      </c>
      <c r="L119" s="171"/>
      <c r="M119" s="185"/>
      <c r="N119" s="57"/>
      <c r="O119" s="57"/>
      <c r="P119" s="57"/>
      <c r="Q119" s="342">
        <f t="shared" si="12"/>
        <v>0</v>
      </c>
      <c r="R119" s="312">
        <f t="shared" si="10"/>
      </c>
      <c r="S119" s="313">
        <f t="shared" si="11"/>
      </c>
      <c r="AL119" s="51"/>
      <c r="AM119" s="51"/>
      <c r="AN119" s="51"/>
    </row>
    <row r="120" spans="2:40" ht="15.75">
      <c r="B120" s="339">
        <v>85</v>
      </c>
      <c r="C120" s="340">
        <f t="shared" si="7"/>
      </c>
      <c r="D120" s="203"/>
      <c r="E120" s="203"/>
      <c r="F120" s="60"/>
      <c r="G120" s="50"/>
      <c r="H120" s="50"/>
      <c r="I120" s="67"/>
      <c r="J120" s="67"/>
      <c r="K120" s="341">
        <f t="shared" si="8"/>
      </c>
      <c r="L120" s="171"/>
      <c r="M120" s="185"/>
      <c r="N120" s="57"/>
      <c r="O120" s="57"/>
      <c r="P120" s="57"/>
      <c r="Q120" s="342">
        <f t="shared" si="12"/>
        <v>0</v>
      </c>
      <c r="R120" s="312">
        <f t="shared" si="10"/>
      </c>
      <c r="S120" s="313">
        <f t="shared" si="11"/>
      </c>
      <c r="AL120" s="51"/>
      <c r="AM120" s="51"/>
      <c r="AN120" s="51"/>
    </row>
    <row r="121" spans="2:40" ht="15.75">
      <c r="B121" s="339">
        <v>86</v>
      </c>
      <c r="C121" s="340">
        <f t="shared" si="7"/>
      </c>
      <c r="D121" s="203"/>
      <c r="E121" s="203"/>
      <c r="F121" s="60"/>
      <c r="G121" s="50"/>
      <c r="H121" s="50"/>
      <c r="I121" s="67"/>
      <c r="J121" s="67"/>
      <c r="K121" s="341">
        <f t="shared" si="8"/>
      </c>
      <c r="L121" s="171"/>
      <c r="M121" s="185"/>
      <c r="N121" s="57"/>
      <c r="O121" s="57"/>
      <c r="P121" s="57"/>
      <c r="Q121" s="342">
        <f t="shared" si="12"/>
        <v>0</v>
      </c>
      <c r="R121" s="312">
        <f t="shared" si="10"/>
      </c>
      <c r="S121" s="313">
        <f t="shared" si="11"/>
      </c>
      <c r="AL121" s="51"/>
      <c r="AM121" s="51"/>
      <c r="AN121" s="51"/>
    </row>
    <row r="122" spans="2:40" ht="15.75">
      <c r="B122" s="339">
        <v>87</v>
      </c>
      <c r="C122" s="340">
        <f t="shared" si="7"/>
      </c>
      <c r="D122" s="203"/>
      <c r="E122" s="203"/>
      <c r="F122" s="60"/>
      <c r="G122" s="50"/>
      <c r="H122" s="50"/>
      <c r="I122" s="67"/>
      <c r="J122" s="67"/>
      <c r="K122" s="341">
        <f t="shared" si="8"/>
      </c>
      <c r="L122" s="171"/>
      <c r="M122" s="185"/>
      <c r="N122" s="57"/>
      <c r="O122" s="57"/>
      <c r="P122" s="57"/>
      <c r="Q122" s="342">
        <f t="shared" si="12"/>
        <v>0</v>
      </c>
      <c r="R122" s="312">
        <f t="shared" si="10"/>
      </c>
      <c r="S122" s="313">
        <f t="shared" si="11"/>
      </c>
      <c r="AL122" s="51"/>
      <c r="AM122" s="51"/>
      <c r="AN122" s="51"/>
    </row>
    <row r="123" spans="2:40" ht="15.75">
      <c r="B123" s="339">
        <v>88</v>
      </c>
      <c r="C123" s="340">
        <f t="shared" si="7"/>
      </c>
      <c r="D123" s="203"/>
      <c r="E123" s="203"/>
      <c r="F123" s="60"/>
      <c r="G123" s="50"/>
      <c r="H123" s="50"/>
      <c r="I123" s="67"/>
      <c r="J123" s="67"/>
      <c r="K123" s="341">
        <f t="shared" si="8"/>
      </c>
      <c r="L123" s="171"/>
      <c r="M123" s="185"/>
      <c r="N123" s="57"/>
      <c r="O123" s="57"/>
      <c r="P123" s="57"/>
      <c r="Q123" s="342">
        <f>SUM(L123:P123)</f>
        <v>0</v>
      </c>
      <c r="R123" s="312">
        <f t="shared" si="10"/>
      </c>
      <c r="S123" s="313">
        <f t="shared" si="11"/>
      </c>
      <c r="AL123" s="51"/>
      <c r="AM123" s="51"/>
      <c r="AN123" s="51"/>
    </row>
    <row r="124" spans="2:40" ht="15.75">
      <c r="B124" s="339">
        <v>89</v>
      </c>
      <c r="C124" s="340">
        <f t="shared" si="7"/>
      </c>
      <c r="D124" s="203"/>
      <c r="E124" s="203"/>
      <c r="F124" s="60"/>
      <c r="G124" s="50"/>
      <c r="H124" s="50"/>
      <c r="I124" s="67"/>
      <c r="J124" s="67"/>
      <c r="K124" s="341">
        <f t="shared" si="8"/>
      </c>
      <c r="L124" s="171"/>
      <c r="M124" s="185"/>
      <c r="N124" s="57"/>
      <c r="O124" s="57"/>
      <c r="P124" s="57"/>
      <c r="Q124" s="342">
        <f aca="true" t="shared" si="13" ref="Q124:Q135">SUM(L124:P124)</f>
        <v>0</v>
      </c>
      <c r="R124" s="312">
        <f t="shared" si="10"/>
      </c>
      <c r="S124" s="313">
        <f t="shared" si="11"/>
      </c>
      <c r="AL124" s="51"/>
      <c r="AM124" s="51"/>
      <c r="AN124" s="51"/>
    </row>
    <row r="125" spans="2:40" ht="15.75">
      <c r="B125" s="339">
        <v>90</v>
      </c>
      <c r="C125" s="340">
        <f t="shared" si="7"/>
      </c>
      <c r="D125" s="203"/>
      <c r="E125" s="203"/>
      <c r="F125" s="60"/>
      <c r="G125" s="50"/>
      <c r="H125" s="50"/>
      <c r="I125" s="67"/>
      <c r="J125" s="67"/>
      <c r="K125" s="341">
        <f t="shared" si="8"/>
      </c>
      <c r="L125" s="171"/>
      <c r="M125" s="185"/>
      <c r="N125" s="57"/>
      <c r="O125" s="57"/>
      <c r="P125" s="57"/>
      <c r="Q125" s="342">
        <f t="shared" si="13"/>
        <v>0</v>
      </c>
      <c r="R125" s="312">
        <f t="shared" si="10"/>
      </c>
      <c r="S125" s="313">
        <f t="shared" si="11"/>
      </c>
      <c r="AL125" s="51"/>
      <c r="AM125" s="51"/>
      <c r="AN125" s="51"/>
    </row>
    <row r="126" spans="2:40" ht="15.75">
      <c r="B126" s="339">
        <v>91</v>
      </c>
      <c r="C126" s="340">
        <f t="shared" si="7"/>
      </c>
      <c r="D126" s="203"/>
      <c r="E126" s="203"/>
      <c r="F126" s="60"/>
      <c r="G126" s="50"/>
      <c r="H126" s="50"/>
      <c r="I126" s="67"/>
      <c r="J126" s="67"/>
      <c r="K126" s="341">
        <f t="shared" si="8"/>
      </c>
      <c r="L126" s="171"/>
      <c r="M126" s="185"/>
      <c r="N126" s="57"/>
      <c r="O126" s="57"/>
      <c r="P126" s="57"/>
      <c r="Q126" s="342">
        <f t="shared" si="13"/>
        <v>0</v>
      </c>
      <c r="R126" s="312">
        <f t="shared" si="10"/>
      </c>
      <c r="S126" s="313">
        <f t="shared" si="11"/>
      </c>
      <c r="AL126" s="51"/>
      <c r="AM126" s="51"/>
      <c r="AN126" s="51"/>
    </row>
    <row r="127" spans="2:40" ht="15.75">
      <c r="B127" s="339">
        <v>92</v>
      </c>
      <c r="C127" s="340">
        <f t="shared" si="7"/>
      </c>
      <c r="D127" s="203"/>
      <c r="E127" s="203"/>
      <c r="F127" s="60"/>
      <c r="G127" s="50"/>
      <c r="H127" s="50"/>
      <c r="I127" s="67"/>
      <c r="J127" s="67"/>
      <c r="K127" s="341">
        <f t="shared" si="8"/>
      </c>
      <c r="L127" s="171"/>
      <c r="M127" s="185"/>
      <c r="N127" s="57"/>
      <c r="O127" s="57"/>
      <c r="P127" s="57"/>
      <c r="Q127" s="342">
        <f t="shared" si="13"/>
        <v>0</v>
      </c>
      <c r="R127" s="312">
        <f t="shared" si="10"/>
      </c>
      <c r="S127" s="313">
        <f t="shared" si="11"/>
      </c>
      <c r="AL127" s="51"/>
      <c r="AM127" s="51"/>
      <c r="AN127" s="51"/>
    </row>
    <row r="128" spans="2:40" ht="15.75">
      <c r="B128" s="339">
        <v>93</v>
      </c>
      <c r="C128" s="340">
        <f t="shared" si="7"/>
      </c>
      <c r="D128" s="203"/>
      <c r="E128" s="203"/>
      <c r="F128" s="60"/>
      <c r="G128" s="50"/>
      <c r="H128" s="50"/>
      <c r="I128" s="67"/>
      <c r="J128" s="67"/>
      <c r="K128" s="341">
        <f t="shared" si="8"/>
      </c>
      <c r="L128" s="171"/>
      <c r="M128" s="185"/>
      <c r="N128" s="57"/>
      <c r="O128" s="57"/>
      <c r="P128" s="57"/>
      <c r="Q128" s="342">
        <f t="shared" si="13"/>
        <v>0</v>
      </c>
      <c r="R128" s="312">
        <f t="shared" si="10"/>
      </c>
      <c r="S128" s="313">
        <f t="shared" si="11"/>
      </c>
      <c r="AL128" s="51"/>
      <c r="AM128" s="51"/>
      <c r="AN128" s="51"/>
    </row>
    <row r="129" spans="2:40" ht="15.75">
      <c r="B129" s="339">
        <v>94</v>
      </c>
      <c r="C129" s="340">
        <f t="shared" si="7"/>
      </c>
      <c r="D129" s="203"/>
      <c r="E129" s="203"/>
      <c r="F129" s="60"/>
      <c r="G129" s="50"/>
      <c r="H129" s="50"/>
      <c r="I129" s="67"/>
      <c r="J129" s="67"/>
      <c r="K129" s="341">
        <f t="shared" si="8"/>
      </c>
      <c r="L129" s="171"/>
      <c r="M129" s="185"/>
      <c r="N129" s="57"/>
      <c r="O129" s="57"/>
      <c r="P129" s="57"/>
      <c r="Q129" s="342">
        <f t="shared" si="13"/>
        <v>0</v>
      </c>
      <c r="R129" s="312">
        <f t="shared" si="10"/>
      </c>
      <c r="S129" s="313">
        <f t="shared" si="11"/>
      </c>
      <c r="AL129" s="51"/>
      <c r="AM129" s="51"/>
      <c r="AN129" s="51"/>
    </row>
    <row r="130" spans="2:40" ht="15.75">
      <c r="B130" s="339">
        <v>95</v>
      </c>
      <c r="C130" s="340">
        <f t="shared" si="7"/>
      </c>
      <c r="D130" s="203"/>
      <c r="E130" s="203"/>
      <c r="F130" s="60"/>
      <c r="G130" s="50"/>
      <c r="H130" s="50"/>
      <c r="I130" s="67"/>
      <c r="J130" s="67"/>
      <c r="K130" s="341">
        <f t="shared" si="8"/>
      </c>
      <c r="L130" s="171"/>
      <c r="M130" s="185"/>
      <c r="N130" s="57"/>
      <c r="O130" s="57"/>
      <c r="P130" s="57"/>
      <c r="Q130" s="342">
        <f t="shared" si="13"/>
        <v>0</v>
      </c>
      <c r="R130" s="312">
        <f t="shared" si="10"/>
      </c>
      <c r="S130" s="313">
        <f t="shared" si="11"/>
      </c>
      <c r="AL130" s="51"/>
      <c r="AM130" s="51"/>
      <c r="AN130" s="51"/>
    </row>
    <row r="131" spans="2:40" ht="15.75">
      <c r="B131" s="339">
        <v>96</v>
      </c>
      <c r="C131" s="340">
        <f t="shared" si="7"/>
      </c>
      <c r="D131" s="203"/>
      <c r="E131" s="203"/>
      <c r="F131" s="60"/>
      <c r="G131" s="50"/>
      <c r="H131" s="50"/>
      <c r="I131" s="67"/>
      <c r="J131" s="67"/>
      <c r="K131" s="341">
        <f t="shared" si="8"/>
      </c>
      <c r="L131" s="171"/>
      <c r="M131" s="185"/>
      <c r="N131" s="57"/>
      <c r="O131" s="57"/>
      <c r="P131" s="57"/>
      <c r="Q131" s="342">
        <f t="shared" si="13"/>
        <v>0</v>
      </c>
      <c r="R131" s="312">
        <f t="shared" si="10"/>
      </c>
      <c r="S131" s="313">
        <f t="shared" si="11"/>
      </c>
      <c r="AL131" s="51"/>
      <c r="AM131" s="51"/>
      <c r="AN131" s="51"/>
    </row>
    <row r="132" spans="2:40" ht="15.75">
      <c r="B132" s="339">
        <v>97</v>
      </c>
      <c r="C132" s="340">
        <f>IF(AND(NOT(COUNTA(D132:J132)),(NOT(COUNTA(L132:P132)))),"",VLOOKUP($D$7,Info_County_Code,2,FALSE))</f>
      </c>
      <c r="D132" s="203"/>
      <c r="E132" s="203"/>
      <c r="F132" s="60"/>
      <c r="G132" s="50"/>
      <c r="H132" s="50"/>
      <c r="I132" s="67"/>
      <c r="J132" s="67"/>
      <c r="K132" s="341">
        <f t="shared" si="8"/>
      </c>
      <c r="L132" s="171"/>
      <c r="M132" s="185"/>
      <c r="N132" s="57"/>
      <c r="O132" s="57"/>
      <c r="P132" s="57"/>
      <c r="Q132" s="342">
        <f t="shared" si="13"/>
        <v>0</v>
      </c>
      <c r="R132" s="312">
        <f t="shared" si="10"/>
      </c>
      <c r="S132" s="313">
        <f t="shared" si="11"/>
      </c>
      <c r="AL132" s="51"/>
      <c r="AM132" s="51"/>
      <c r="AN132" s="51"/>
    </row>
    <row r="133" spans="2:40" ht="15.75">
      <c r="B133" s="339">
        <v>98</v>
      </c>
      <c r="C133" s="340">
        <f>IF(AND(NOT(COUNTA(D133:J133)),(NOT(COUNTA(L133:P133)))),"",VLOOKUP($D$7,Info_County_Code,2,FALSE))</f>
      </c>
      <c r="D133" s="203"/>
      <c r="E133" s="203"/>
      <c r="F133" s="60"/>
      <c r="G133" s="50"/>
      <c r="H133" s="50"/>
      <c r="I133" s="67"/>
      <c r="J133" s="67"/>
      <c r="K133" s="341">
        <f t="shared" si="8"/>
      </c>
      <c r="L133" s="171"/>
      <c r="M133" s="185"/>
      <c r="N133" s="57"/>
      <c r="O133" s="57"/>
      <c r="P133" s="57"/>
      <c r="Q133" s="342">
        <f t="shared" si="13"/>
        <v>0</v>
      </c>
      <c r="R133" s="312">
        <f t="shared" si="10"/>
      </c>
      <c r="S133" s="313">
        <f t="shared" si="11"/>
      </c>
      <c r="AL133" s="51"/>
      <c r="AM133" s="51"/>
      <c r="AN133" s="51"/>
    </row>
    <row r="134" spans="2:40" ht="15.75">
      <c r="B134" s="339">
        <v>99</v>
      </c>
      <c r="C134" s="340">
        <f>IF(AND(NOT(COUNTA(D134:J134)),(NOT(COUNTA(L134:P134)))),"",VLOOKUP($D$7,Info_County_Code,2,FALSE))</f>
      </c>
      <c r="D134" s="203"/>
      <c r="E134" s="203"/>
      <c r="F134" s="60"/>
      <c r="G134" s="50"/>
      <c r="H134" s="50"/>
      <c r="I134" s="67"/>
      <c r="J134" s="67"/>
      <c r="K134" s="341">
        <f t="shared" si="8"/>
      </c>
      <c r="L134" s="171"/>
      <c r="M134" s="185"/>
      <c r="N134" s="57"/>
      <c r="O134" s="57"/>
      <c r="P134" s="57"/>
      <c r="Q134" s="342">
        <f t="shared" si="13"/>
        <v>0</v>
      </c>
      <c r="R134" s="312">
        <f t="shared" si="10"/>
      </c>
      <c r="S134" s="313">
        <f t="shared" si="11"/>
      </c>
      <c r="AL134" s="51"/>
      <c r="AM134" s="51"/>
      <c r="AN134" s="51"/>
    </row>
    <row r="135" spans="2:40" ht="15.75">
      <c r="B135" s="339">
        <v>100</v>
      </c>
      <c r="C135" s="340">
        <f>IF(AND(NOT(COUNTA(D135:J135)),(NOT(COUNTA(L135:P135)))),"",VLOOKUP($D$7,Info_County_Code,2,FALSE))</f>
      </c>
      <c r="D135" s="203"/>
      <c r="E135" s="203"/>
      <c r="F135" s="60"/>
      <c r="G135" s="50"/>
      <c r="H135" s="50"/>
      <c r="I135" s="67"/>
      <c r="J135" s="67"/>
      <c r="K135" s="341">
        <f t="shared" si="8"/>
      </c>
      <c r="L135" s="171"/>
      <c r="M135" s="185"/>
      <c r="N135" s="57"/>
      <c r="O135" s="57"/>
      <c r="P135" s="57"/>
      <c r="Q135" s="342">
        <f t="shared" si="13"/>
        <v>0</v>
      </c>
      <c r="R135" s="312">
        <f t="shared" si="10"/>
      </c>
      <c r="S135" s="313">
        <f t="shared" si="11"/>
      </c>
      <c r="AL135" s="51"/>
      <c r="AM135" s="51"/>
      <c r="AN135" s="51"/>
    </row>
    <row r="136" spans="2:3" ht="15.75" hidden="1">
      <c r="B136" s="343"/>
      <c r="C136" s="332"/>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A1:Q132"/>
  <sheetViews>
    <sheetView showGridLines="0" zoomScale="60" zoomScaleNormal="60" zoomScaleSheetLayoutView="40" zoomScalePageLayoutView="0" workbookViewId="0" topLeftCell="A1">
      <selection activeCell="B7" sqref="B7:C7"/>
    </sheetView>
  </sheetViews>
  <sheetFormatPr defaultColWidth="0" defaultRowHeight="15" zeroHeight="1"/>
  <cols>
    <col min="1" max="1" width="2.7109375" style="51" customWidth="1"/>
    <col min="2" max="2" width="6.7109375" style="384" customWidth="1"/>
    <col min="3" max="3" width="8.8515625" style="384" customWidth="1"/>
    <col min="4" max="4" width="63.8515625" style="384" bestFit="1" customWidth="1"/>
    <col min="5" max="7" width="17.7109375" style="384" customWidth="1"/>
    <col min="8" max="8" width="31.00390625" style="384" bestFit="1" customWidth="1"/>
    <col min="9" max="9" width="24.8515625" style="384" customWidth="1"/>
    <col min="10" max="10" width="24.421875" style="384" bestFit="1" customWidth="1"/>
    <col min="11" max="11" width="20.8515625" style="384" bestFit="1" customWidth="1"/>
    <col min="12" max="12" width="25.140625" style="384" bestFit="1" customWidth="1"/>
    <col min="13" max="13" width="26.57421875" style="384" customWidth="1"/>
    <col min="14" max="14" width="21.140625" style="384" bestFit="1" customWidth="1"/>
    <col min="15" max="15" width="20.140625" style="384" bestFit="1" customWidth="1"/>
    <col min="16" max="16" width="17.7109375" style="384" customWidth="1"/>
    <col min="17" max="17" width="21.140625" style="332" hidden="1" customWidth="1"/>
    <col min="18" max="18" width="18.00390625" style="332" hidden="1" customWidth="1"/>
    <col min="19" max="16384" width="9.140625" style="332" hidden="1" customWidth="1"/>
  </cols>
  <sheetData>
    <row r="1" spans="1:16" s="51" customFormat="1" ht="15">
      <c r="A1" s="281" t="s">
        <v>368</v>
      </c>
      <c r="B1" s="454"/>
      <c r="C1" s="454"/>
      <c r="D1" s="454"/>
      <c r="E1" s="52"/>
      <c r="F1" s="52"/>
      <c r="G1" s="52"/>
      <c r="H1" s="52"/>
      <c r="I1" s="52"/>
      <c r="J1" s="52"/>
      <c r="K1" s="52"/>
      <c r="L1" s="52"/>
      <c r="M1" s="52"/>
      <c r="N1" s="52"/>
      <c r="O1" s="52"/>
      <c r="P1" s="52"/>
    </row>
    <row r="2" s="163" customFormat="1" ht="18">
      <c r="B2" s="282" t="str">
        <f>'1. Information'!B2</f>
        <v>Version 7/1/2018</v>
      </c>
    </row>
    <row r="3" spans="2:15" s="51" customFormat="1" ht="18">
      <c r="B3" s="345" t="str">
        <f>'1. Information'!B3</f>
        <v>Annual Mental Health Services Act Revenue and Expenditure Report</v>
      </c>
      <c r="C3" s="7"/>
      <c r="D3" s="7"/>
      <c r="E3" s="7"/>
      <c r="F3" s="7"/>
      <c r="G3" s="7"/>
      <c r="H3" s="7"/>
      <c r="I3" s="7"/>
      <c r="J3" s="7"/>
      <c r="K3" s="8"/>
      <c r="L3" s="7"/>
      <c r="M3" s="7"/>
      <c r="N3" s="7"/>
      <c r="O3" s="7"/>
    </row>
    <row r="4" spans="2:15" s="51" customFormat="1" ht="18">
      <c r="B4" s="346" t="str">
        <f>'1. Information'!B4</f>
        <v>Fiscal Year 2017-18</v>
      </c>
      <c r="C4" s="9"/>
      <c r="D4" s="9"/>
      <c r="E4" s="9"/>
      <c r="F4" s="9"/>
      <c r="G4" s="9"/>
      <c r="H4" s="9"/>
      <c r="I4" s="9"/>
      <c r="J4" s="9"/>
      <c r="K4" s="10"/>
      <c r="L4" s="9"/>
      <c r="M4" s="9"/>
      <c r="N4" s="9"/>
      <c r="O4" s="9"/>
    </row>
    <row r="5" spans="2:15" s="51" customFormat="1" ht="18">
      <c r="B5" s="345" t="s">
        <v>258</v>
      </c>
      <c r="C5" s="7"/>
      <c r="D5" s="7"/>
      <c r="E5" s="7"/>
      <c r="F5" s="7"/>
      <c r="G5" s="7"/>
      <c r="H5" s="7"/>
      <c r="I5" s="7"/>
      <c r="J5" s="7"/>
      <c r="K5" s="8"/>
      <c r="L5" s="7"/>
      <c r="M5" s="7"/>
      <c r="N5" s="7"/>
      <c r="O5" s="7"/>
    </row>
    <row r="6" spans="2:16" s="51" customFormat="1" ht="15.75">
      <c r="B6" s="52"/>
      <c r="C6" s="8"/>
      <c r="D6" s="8"/>
      <c r="E6" s="8"/>
      <c r="F6" s="8"/>
      <c r="G6" s="8"/>
      <c r="H6" s="8"/>
      <c r="I6" s="8"/>
      <c r="J6" s="8"/>
      <c r="K6" s="8"/>
      <c r="L6" s="8"/>
      <c r="M6" s="7"/>
      <c r="N6" s="7"/>
      <c r="O6" s="7"/>
      <c r="P6" s="7"/>
    </row>
    <row r="7" spans="2:16" s="51" customFormat="1" ht="15.75">
      <c r="B7" s="442" t="s">
        <v>1</v>
      </c>
      <c r="C7" s="442"/>
      <c r="D7" s="283" t="str">
        <f>IF(ISBLANK('1. Information'!D8),"",'1. Information'!D8)</f>
        <v>San Bernardino</v>
      </c>
      <c r="E7" s="52"/>
      <c r="F7" s="244" t="s">
        <v>2</v>
      </c>
      <c r="G7" s="315">
        <f>IF(ISBLANK('1. Information'!D7),"",'1. Information'!D7)</f>
        <v>43462</v>
      </c>
      <c r="H7" s="53"/>
      <c r="I7" s="53"/>
      <c r="J7" s="8"/>
      <c r="K7" s="8"/>
      <c r="L7" s="8"/>
      <c r="M7" s="8"/>
      <c r="N7" s="8"/>
      <c r="O7" s="8"/>
      <c r="P7" s="8"/>
    </row>
    <row r="8" spans="2:16" s="51" customFormat="1" ht="15.75">
      <c r="B8" s="6"/>
      <c r="C8" s="6"/>
      <c r="D8" s="6"/>
      <c r="E8" s="52"/>
      <c r="F8" s="6"/>
      <c r="G8" s="53"/>
      <c r="H8" s="53"/>
      <c r="I8" s="53"/>
      <c r="J8" s="8"/>
      <c r="K8" s="8"/>
      <c r="L8" s="8"/>
      <c r="M8" s="8"/>
      <c r="N8" s="8"/>
      <c r="O8" s="8"/>
      <c r="P8" s="8"/>
    </row>
    <row r="9" spans="2:16" s="51" customFormat="1" ht="18.75" thickBot="1">
      <c r="B9" s="347" t="s">
        <v>260</v>
      </c>
      <c r="C9" s="17"/>
      <c r="D9" s="17"/>
      <c r="E9" s="56"/>
      <c r="F9" s="54"/>
      <c r="G9" s="54"/>
      <c r="H9" s="55"/>
      <c r="I9" s="55"/>
      <c r="J9" s="18"/>
      <c r="K9" s="18"/>
      <c r="L9" s="8"/>
      <c r="M9" s="8"/>
      <c r="N9" s="8"/>
      <c r="O9" s="182"/>
      <c r="P9" s="8"/>
    </row>
    <row r="10" spans="2:16" s="51" customFormat="1" ht="16.5" thickTop="1">
      <c r="B10" s="11"/>
      <c r="C10" s="6"/>
      <c r="D10" s="6"/>
      <c r="E10" s="52"/>
      <c r="H10" s="53"/>
      <c r="I10" s="53"/>
      <c r="J10" s="8"/>
      <c r="K10" s="8"/>
      <c r="L10" s="8"/>
      <c r="M10" s="8"/>
      <c r="N10" s="8"/>
      <c r="O10" s="182"/>
      <c r="P10" s="8"/>
    </row>
    <row r="11" spans="2:14" s="51" customFormat="1" ht="15.75">
      <c r="B11" s="6"/>
      <c r="C11" s="6"/>
      <c r="D11" s="6"/>
      <c r="E11" s="52"/>
      <c r="F11" s="296" t="s">
        <v>27</v>
      </c>
      <c r="G11" s="287" t="s">
        <v>29</v>
      </c>
      <c r="H11" s="317" t="s">
        <v>32</v>
      </c>
      <c r="I11" s="317" t="s">
        <v>246</v>
      </c>
      <c r="J11" s="328" t="s">
        <v>247</v>
      </c>
      <c r="K11" s="296" t="s">
        <v>248</v>
      </c>
      <c r="L11" s="344"/>
      <c r="M11" s="182"/>
      <c r="N11" s="182"/>
    </row>
    <row r="12" spans="3:14" s="51" customFormat="1" ht="15.75">
      <c r="C12" s="3"/>
      <c r="D12" s="12"/>
      <c r="E12" s="12"/>
      <c r="F12" s="244" t="s">
        <v>28</v>
      </c>
      <c r="G12" s="432" t="s">
        <v>30</v>
      </c>
      <c r="H12" s="432"/>
      <c r="I12" s="432"/>
      <c r="J12" s="435"/>
      <c r="K12" s="302"/>
      <c r="L12" s="182"/>
      <c r="M12" s="182"/>
      <c r="N12" s="182"/>
    </row>
    <row r="13" spans="3:14" s="51" customFormat="1" ht="65.25" customHeight="1">
      <c r="C13" s="456"/>
      <c r="D13" s="456"/>
      <c r="E13" s="456"/>
      <c r="F13" s="289" t="s">
        <v>300</v>
      </c>
      <c r="G13" s="291" t="s">
        <v>5</v>
      </c>
      <c r="H13" s="290" t="s">
        <v>6</v>
      </c>
      <c r="I13" s="290" t="s">
        <v>31</v>
      </c>
      <c r="J13" s="290" t="s">
        <v>15</v>
      </c>
      <c r="K13" s="338" t="s">
        <v>278</v>
      </c>
      <c r="L13" s="182"/>
      <c r="M13" s="182"/>
      <c r="N13" s="182"/>
    </row>
    <row r="14" spans="2:14" s="51" customFormat="1" ht="15.75">
      <c r="B14" s="339">
        <v>1</v>
      </c>
      <c r="C14" s="440" t="s">
        <v>160</v>
      </c>
      <c r="D14" s="440"/>
      <c r="E14" s="440"/>
      <c r="F14" s="170">
        <v>438962</v>
      </c>
      <c r="G14" s="19"/>
      <c r="H14" s="14"/>
      <c r="I14" s="14"/>
      <c r="J14" s="174"/>
      <c r="K14" s="295">
        <f>SUM(F14:J14)</f>
        <v>438962</v>
      </c>
      <c r="L14" s="182"/>
      <c r="M14" s="182"/>
      <c r="N14" s="182"/>
    </row>
    <row r="15" spans="2:14" s="51" customFormat="1" ht="15.75">
      <c r="B15" s="339">
        <v>2</v>
      </c>
      <c r="C15" s="440" t="s">
        <v>161</v>
      </c>
      <c r="D15" s="440"/>
      <c r="E15" s="440"/>
      <c r="F15" s="14">
        <f>384442+1</f>
        <v>384443</v>
      </c>
      <c r="G15" s="210"/>
      <c r="H15" s="211"/>
      <c r="I15" s="211"/>
      <c r="J15" s="212"/>
      <c r="K15" s="295">
        <f>SUM(F15:J15)</f>
        <v>384443</v>
      </c>
      <c r="L15" s="182"/>
      <c r="M15" s="182"/>
      <c r="N15" s="182"/>
    </row>
    <row r="16" spans="2:14" s="51" customFormat="1" ht="15.75">
      <c r="B16" s="339">
        <v>3</v>
      </c>
      <c r="C16" s="436" t="s">
        <v>314</v>
      </c>
      <c r="D16" s="437"/>
      <c r="E16" s="438"/>
      <c r="F16" s="190"/>
      <c r="G16" s="348"/>
      <c r="H16" s="348"/>
      <c r="I16" s="348"/>
      <c r="J16" s="348"/>
      <c r="K16" s="295">
        <f>SUM(F16:J16)</f>
        <v>0</v>
      </c>
      <c r="L16" s="182"/>
      <c r="M16" s="182"/>
      <c r="N16" s="182"/>
    </row>
    <row r="17" spans="2:14" s="51" customFormat="1" ht="15.75">
      <c r="B17" s="339">
        <v>4</v>
      </c>
      <c r="C17" s="436" t="s">
        <v>315</v>
      </c>
      <c r="D17" s="437"/>
      <c r="E17" s="438"/>
      <c r="F17" s="209"/>
      <c r="G17" s="348"/>
      <c r="H17" s="348"/>
      <c r="I17" s="348"/>
      <c r="J17" s="348"/>
      <c r="K17" s="295">
        <f>SUM(F17:J17)</f>
        <v>0</v>
      </c>
      <c r="L17" s="182"/>
      <c r="M17" s="182"/>
      <c r="N17" s="182"/>
    </row>
    <row r="18" spans="2:14" s="51" customFormat="1" ht="15.75">
      <c r="B18" s="339">
        <v>5</v>
      </c>
      <c r="C18" s="440" t="s">
        <v>162</v>
      </c>
      <c r="D18" s="440"/>
      <c r="E18" s="440"/>
      <c r="F18" s="349">
        <f>SUMIF($J$29:$J$132,"Project Administration",K$29:K$132)</f>
        <v>0</v>
      </c>
      <c r="G18" s="350">
        <f>SUMIF($J$29:$J$132,"Project Administration",L$29:L$132)</f>
        <v>0</v>
      </c>
      <c r="H18" s="349">
        <f>SUMIF($J$29:$J$132,"Project Administration",M$29:M$132)</f>
        <v>0</v>
      </c>
      <c r="I18" s="349">
        <f>SUMIF($J$29:$J$132,"Project Administration",N$29:N$132)</f>
        <v>0</v>
      </c>
      <c r="J18" s="349">
        <f>SUMIF($J$29:$J$132,"Project Administration",O$29:O$132)</f>
        <v>0</v>
      </c>
      <c r="K18" s="295">
        <f>SUM(F18:J18)</f>
        <v>0</v>
      </c>
      <c r="L18" s="182"/>
      <c r="M18" s="182"/>
      <c r="N18" s="182"/>
    </row>
    <row r="19" spans="2:14" s="51" customFormat="1" ht="15.75">
      <c r="B19" s="339">
        <v>6</v>
      </c>
      <c r="C19" s="440" t="s">
        <v>163</v>
      </c>
      <c r="D19" s="440"/>
      <c r="E19" s="440"/>
      <c r="F19" s="348">
        <f>SUMIF($J$29:$J$132,"Project Evaluation",K$29:K$132)</f>
        <v>0</v>
      </c>
      <c r="G19" s="351">
        <f>SUMIF($J$29:$J$132,"Project Evaluation",L$29:L$132)</f>
        <v>0</v>
      </c>
      <c r="H19" s="348">
        <f>SUMIF($J$29:$J$132,"Project Evaluation",M$29:M$132)</f>
        <v>0</v>
      </c>
      <c r="I19" s="348">
        <f>SUMIF($J$29:$J$132,"Project Evaluation",N$29:N$132)</f>
        <v>0</v>
      </c>
      <c r="J19" s="348">
        <f>SUMIF($J$29:$J$132,"Project Evaluation",O$29:O$132)</f>
        <v>0</v>
      </c>
      <c r="K19" s="295">
        <f>SUM(F19:J19)</f>
        <v>0</v>
      </c>
      <c r="L19" s="182"/>
      <c r="M19" s="182"/>
      <c r="N19" s="182"/>
    </row>
    <row r="20" spans="2:14" s="51" customFormat="1" ht="15.75">
      <c r="B20" s="339">
        <v>7</v>
      </c>
      <c r="C20" s="440" t="s">
        <v>236</v>
      </c>
      <c r="D20" s="440"/>
      <c r="E20" s="440"/>
      <c r="F20" s="348">
        <f>SUMIF($J$29:$J$132,"Project Direct",K$29:K$132)</f>
        <v>1261103</v>
      </c>
      <c r="G20" s="351">
        <f>SUMIF($J$29:$J$132,"Project Direct",L$29:L$132)</f>
        <v>0</v>
      </c>
      <c r="H20" s="348">
        <f>SUMIF($J$29:$J$132,"Project Direct",M$29:M$132)</f>
        <v>0</v>
      </c>
      <c r="I20" s="348">
        <f>SUMIF($J$29:$J$132,"Project Direct",N$29:N$132)</f>
        <v>0</v>
      </c>
      <c r="J20" s="348">
        <f>SUMIF($J$29:$J$132,"Project Direct",O$29:O$132)</f>
        <v>0</v>
      </c>
      <c r="K20" s="295">
        <f>SUM(F20:J20)</f>
        <v>1261103</v>
      </c>
      <c r="L20" s="182"/>
      <c r="M20" s="182"/>
      <c r="N20" s="182"/>
    </row>
    <row r="21" spans="2:14" s="51" customFormat="1" ht="15.75">
      <c r="B21" s="339">
        <v>8</v>
      </c>
      <c r="C21" s="455" t="s">
        <v>164</v>
      </c>
      <c r="D21" s="455"/>
      <c r="E21" s="455"/>
      <c r="F21" s="352">
        <f>SUM(F18:F20)</f>
        <v>1261103</v>
      </c>
      <c r="G21" s="353">
        <f>SUM(G18:G20)</f>
        <v>0</v>
      </c>
      <c r="H21" s="352">
        <f>SUM(H18:H20)</f>
        <v>0</v>
      </c>
      <c r="I21" s="352">
        <f>SUM(I18:I20)</f>
        <v>0</v>
      </c>
      <c r="J21" s="352">
        <f>SUM(J18:J20)</f>
        <v>0</v>
      </c>
      <c r="K21" s="352">
        <f>SUM(K18:K20)</f>
        <v>1261103</v>
      </c>
      <c r="L21" s="182"/>
      <c r="M21" s="182"/>
      <c r="N21" s="182"/>
    </row>
    <row r="22" spans="2:14" s="51" customFormat="1" ht="30.75" customHeight="1">
      <c r="B22" s="339">
        <v>9</v>
      </c>
      <c r="C22" s="452" t="s">
        <v>316</v>
      </c>
      <c r="D22" s="452"/>
      <c r="E22" s="452"/>
      <c r="F22" s="354">
        <f aca="true" t="shared" si="0" ref="F22:K22">SUM(F14:F15,F17,F18:F20)</f>
        <v>2084508</v>
      </c>
      <c r="G22" s="354">
        <f t="shared" si="0"/>
        <v>0</v>
      </c>
      <c r="H22" s="354">
        <f t="shared" si="0"/>
        <v>0</v>
      </c>
      <c r="I22" s="354">
        <f t="shared" si="0"/>
        <v>0</v>
      </c>
      <c r="J22" s="354">
        <f t="shared" si="0"/>
        <v>0</v>
      </c>
      <c r="K22" s="354">
        <f t="shared" si="0"/>
        <v>2084508</v>
      </c>
      <c r="L22" s="182"/>
      <c r="M22" s="182"/>
      <c r="N22" s="182"/>
    </row>
    <row r="23" s="51" customFormat="1" ht="15"/>
    <row r="24" spans="2:17" s="51" customFormat="1" ht="18.75" thickBot="1">
      <c r="B24" s="300" t="s">
        <v>261</v>
      </c>
      <c r="C24" s="54"/>
      <c r="D24" s="54"/>
      <c r="E24" s="54"/>
      <c r="F24" s="54"/>
      <c r="G24" s="54"/>
      <c r="H24" s="54"/>
      <c r="I24" s="54"/>
      <c r="J24" s="54"/>
      <c r="K24" s="54"/>
      <c r="L24" s="54"/>
      <c r="M24" s="54"/>
      <c r="N24" s="54"/>
      <c r="O24" s="54"/>
      <c r="P24" s="54"/>
      <c r="Q24" s="54"/>
    </row>
    <row r="25" s="51" customFormat="1" ht="15.75" thickTop="1"/>
    <row r="26" spans="3:16" s="51" customFormat="1" ht="15">
      <c r="C26" s="339" t="s">
        <v>27</v>
      </c>
      <c r="D26" s="339" t="s">
        <v>29</v>
      </c>
      <c r="E26" s="339" t="s">
        <v>32</v>
      </c>
      <c r="F26" s="339" t="s">
        <v>246</v>
      </c>
      <c r="G26" s="339" t="s">
        <v>247</v>
      </c>
      <c r="H26" s="339" t="s">
        <v>248</v>
      </c>
      <c r="I26" s="339" t="s">
        <v>257</v>
      </c>
      <c r="J26" s="339" t="s">
        <v>249</v>
      </c>
      <c r="K26" s="296" t="s">
        <v>250</v>
      </c>
      <c r="L26" s="286" t="s">
        <v>251</v>
      </c>
      <c r="M26" s="286" t="s">
        <v>252</v>
      </c>
      <c r="N26" s="355" t="s">
        <v>253</v>
      </c>
      <c r="O26" s="296" t="s">
        <v>254</v>
      </c>
      <c r="P26" s="296" t="s">
        <v>255</v>
      </c>
    </row>
    <row r="27" spans="2:16" s="51" customFormat="1" ht="15.75">
      <c r="B27" s="13"/>
      <c r="C27" s="356"/>
      <c r="D27" s="453" t="s">
        <v>167</v>
      </c>
      <c r="E27" s="453"/>
      <c r="F27" s="453"/>
      <c r="G27" s="453"/>
      <c r="H27" s="453"/>
      <c r="I27" s="453"/>
      <c r="J27" s="453"/>
      <c r="K27" s="244" t="s">
        <v>28</v>
      </c>
      <c r="L27" s="453" t="s">
        <v>30</v>
      </c>
      <c r="M27" s="453"/>
      <c r="N27" s="453"/>
      <c r="O27" s="453"/>
      <c r="P27" s="357"/>
    </row>
    <row r="28" spans="2:16" ht="47.25">
      <c r="B28" s="358" t="s">
        <v>134</v>
      </c>
      <c r="C28" s="359" t="s">
        <v>11</v>
      </c>
      <c r="D28" s="360" t="s">
        <v>12</v>
      </c>
      <c r="E28" s="290" t="s">
        <v>18</v>
      </c>
      <c r="F28" s="290" t="s">
        <v>154</v>
      </c>
      <c r="G28" s="290" t="s">
        <v>13</v>
      </c>
      <c r="H28" s="290" t="s">
        <v>151</v>
      </c>
      <c r="I28" s="290" t="s">
        <v>152</v>
      </c>
      <c r="J28" s="361" t="s">
        <v>153</v>
      </c>
      <c r="K28" s="289" t="s">
        <v>300</v>
      </c>
      <c r="L28" s="337" t="s">
        <v>5</v>
      </c>
      <c r="M28" s="335" t="s">
        <v>6</v>
      </c>
      <c r="N28" s="335" t="s">
        <v>14</v>
      </c>
      <c r="O28" s="362" t="s">
        <v>15</v>
      </c>
      <c r="P28" s="338" t="s">
        <v>278</v>
      </c>
    </row>
    <row r="29" spans="2:16" ht="15">
      <c r="B29" s="324">
        <v>1</v>
      </c>
      <c r="C29" s="363">
        <f>IF(P32&lt;&gt;0,VLOOKUP($D$7,Info_County_Code,2,FALSE),"")</f>
        <v>36</v>
      </c>
      <c r="D29" s="203" t="s">
        <v>348</v>
      </c>
      <c r="E29" s="68"/>
      <c r="F29" s="219">
        <v>41699</v>
      </c>
      <c r="G29" s="219">
        <v>41883</v>
      </c>
      <c r="H29" s="170">
        <v>6700207</v>
      </c>
      <c r="I29" s="57"/>
      <c r="J29" s="364" t="s">
        <v>158</v>
      </c>
      <c r="K29" s="59"/>
      <c r="L29" s="59"/>
      <c r="M29" s="57"/>
      <c r="N29" s="57"/>
      <c r="O29" s="64"/>
      <c r="P29" s="295">
        <f aca="true" t="shared" si="1" ref="P29:P64">SUM(K29:O29)</f>
        <v>0</v>
      </c>
    </row>
    <row r="30" spans="2:16" ht="15">
      <c r="B30" s="324">
        <v>1</v>
      </c>
      <c r="C30" s="365">
        <f aca="true" t="shared" si="2" ref="C30:I31">IF(ISBLANK(C29),"",C29)</f>
        <v>36</v>
      </c>
      <c r="D30" s="366" t="str">
        <f t="shared" si="2"/>
        <v>Recovery Based Engagement Supp Team</v>
      </c>
      <c r="E30" s="367">
        <f t="shared" si="2"/>
      </c>
      <c r="F30" s="367">
        <f t="shared" si="2"/>
        <v>41699</v>
      </c>
      <c r="G30" s="367">
        <f t="shared" si="2"/>
        <v>41883</v>
      </c>
      <c r="H30" s="368">
        <f t="shared" si="2"/>
        <v>6700207</v>
      </c>
      <c r="I30" s="368">
        <f t="shared" si="2"/>
      </c>
      <c r="J30" s="323" t="s">
        <v>159</v>
      </c>
      <c r="K30" s="59"/>
      <c r="L30" s="59"/>
      <c r="M30" s="57"/>
      <c r="N30" s="57"/>
      <c r="O30" s="64"/>
      <c r="P30" s="295">
        <f t="shared" si="1"/>
        <v>0</v>
      </c>
    </row>
    <row r="31" spans="2:16" ht="15">
      <c r="B31" s="324">
        <v>1</v>
      </c>
      <c r="C31" s="365">
        <f aca="true" t="shared" si="3" ref="C31:H31">IF(ISBLANK(C29),"",C29)</f>
        <v>36</v>
      </c>
      <c r="D31" s="369" t="str">
        <f t="shared" si="3"/>
        <v>Recovery Based Engagement Supp Team</v>
      </c>
      <c r="E31" s="370">
        <f t="shared" si="3"/>
      </c>
      <c r="F31" s="370">
        <f t="shared" si="3"/>
        <v>41699</v>
      </c>
      <c r="G31" s="370">
        <f t="shared" si="3"/>
        <v>41883</v>
      </c>
      <c r="H31" s="323">
        <f t="shared" si="3"/>
        <v>6700207</v>
      </c>
      <c r="I31" s="323">
        <f t="shared" si="2"/>
      </c>
      <c r="J31" s="323" t="s">
        <v>237</v>
      </c>
      <c r="K31" s="220">
        <f>1261103</f>
        <v>1261103</v>
      </c>
      <c r="L31" s="59"/>
      <c r="M31" s="57"/>
      <c r="N31" s="57"/>
      <c r="O31" s="64"/>
      <c r="P31" s="295">
        <f t="shared" si="1"/>
        <v>1261103</v>
      </c>
    </row>
    <row r="32" spans="2:16" ht="15.75">
      <c r="B32" s="371">
        <v>1</v>
      </c>
      <c r="C32" s="372">
        <f aca="true" t="shared" si="4" ref="C32:I32">IF(ISBLANK(C29),"",C29)</f>
        <v>36</v>
      </c>
      <c r="D32" s="373" t="str">
        <f t="shared" si="4"/>
        <v>Recovery Based Engagement Supp Team</v>
      </c>
      <c r="E32" s="374">
        <f t="shared" si="4"/>
      </c>
      <c r="F32" s="374">
        <f t="shared" si="4"/>
        <v>41699</v>
      </c>
      <c r="G32" s="374">
        <f t="shared" si="4"/>
        <v>41883</v>
      </c>
      <c r="H32" s="375">
        <f t="shared" si="4"/>
        <v>6700207</v>
      </c>
      <c r="I32" s="375">
        <f t="shared" si="4"/>
      </c>
      <c r="J32" s="325" t="s">
        <v>263</v>
      </c>
      <c r="K32" s="376">
        <f>SUM(K29:K31)</f>
        <v>1261103</v>
      </c>
      <c r="L32" s="376">
        <f>SUM(L29:L31)</f>
        <v>0</v>
      </c>
      <c r="M32" s="377">
        <f>SUM(M29:M31)</f>
        <v>0</v>
      </c>
      <c r="N32" s="377">
        <f>SUM(N29:N31)</f>
        <v>0</v>
      </c>
      <c r="O32" s="378">
        <f>SUM(O29:O31)</f>
        <v>0</v>
      </c>
      <c r="P32" s="325">
        <f t="shared" si="1"/>
        <v>1261103</v>
      </c>
    </row>
    <row r="33" spans="2:16" ht="15">
      <c r="B33" s="324">
        <v>2</v>
      </c>
      <c r="C33" s="363">
        <f>IF(P36&lt;&gt;0,VLOOKUP($D$7,Info_County_Code,2,FALSE),"")</f>
      </c>
      <c r="D33" s="204"/>
      <c r="E33" s="68"/>
      <c r="F33" s="68"/>
      <c r="G33" s="68"/>
      <c r="H33" s="57"/>
      <c r="I33" s="57"/>
      <c r="J33" s="364">
        <f>IF(NOT(ISBLANK(D33)),$J$29,"")</f>
      </c>
      <c r="K33" s="59"/>
      <c r="L33" s="59"/>
      <c r="M33" s="57"/>
      <c r="N33" s="57"/>
      <c r="O33" s="64"/>
      <c r="P33" s="295">
        <f>SUM(K33:O33)</f>
        <v>0</v>
      </c>
    </row>
    <row r="34" spans="2:16" ht="15">
      <c r="B34" s="324">
        <v>2</v>
      </c>
      <c r="C34" s="365">
        <f aca="true" t="shared" si="5" ref="C34:I34">IF(ISBLANK(C33),"",C33)</f>
      </c>
      <c r="D34" s="366">
        <f t="shared" si="5"/>
      </c>
      <c r="E34" s="367">
        <f t="shared" si="5"/>
      </c>
      <c r="F34" s="367">
        <f t="shared" si="5"/>
      </c>
      <c r="G34" s="367">
        <f t="shared" si="5"/>
      </c>
      <c r="H34" s="368">
        <f t="shared" si="5"/>
      </c>
      <c r="I34" s="368">
        <f t="shared" si="5"/>
      </c>
      <c r="J34" s="323">
        <f>IF(NOT(ISBLANK(D33)),$J$30,"")</f>
      </c>
      <c r="K34" s="59"/>
      <c r="L34" s="59"/>
      <c r="M34" s="57"/>
      <c r="N34" s="57"/>
      <c r="O34" s="64"/>
      <c r="P34" s="295">
        <f>SUM(K34:O34)</f>
        <v>0</v>
      </c>
    </row>
    <row r="35" spans="2:16" ht="15">
      <c r="B35" s="324">
        <v>2</v>
      </c>
      <c r="C35" s="365">
        <f aca="true" t="shared" si="6" ref="C35:I35">IF(ISBLANK(C33),"",C33)</f>
      </c>
      <c r="D35" s="369">
        <f t="shared" si="6"/>
      </c>
      <c r="E35" s="370">
        <f t="shared" si="6"/>
      </c>
      <c r="F35" s="370">
        <f t="shared" si="6"/>
      </c>
      <c r="G35" s="370">
        <f t="shared" si="6"/>
      </c>
      <c r="H35" s="323">
        <f t="shared" si="6"/>
      </c>
      <c r="I35" s="323">
        <f t="shared" si="6"/>
      </c>
      <c r="J35" s="323">
        <f>IF(NOT(ISBLANK(D33)),$J$31,"")</f>
      </c>
      <c r="K35" s="59"/>
      <c r="L35" s="59"/>
      <c r="M35" s="57"/>
      <c r="N35" s="57"/>
      <c r="O35" s="64"/>
      <c r="P35" s="295">
        <f>SUM(K35:O35)</f>
        <v>0</v>
      </c>
    </row>
    <row r="36" spans="2:16" ht="15.75">
      <c r="B36" s="371">
        <v>2</v>
      </c>
      <c r="C36" s="372">
        <f aca="true" t="shared" si="7" ref="C36:I36">IF(ISBLANK(C33),"",C33)</f>
      </c>
      <c r="D36" s="373">
        <f t="shared" si="7"/>
      </c>
      <c r="E36" s="374">
        <f t="shared" si="7"/>
      </c>
      <c r="F36" s="374">
        <f t="shared" si="7"/>
      </c>
      <c r="G36" s="374">
        <f t="shared" si="7"/>
      </c>
      <c r="H36" s="375">
        <f t="shared" si="7"/>
      </c>
      <c r="I36" s="375">
        <f t="shared" si="7"/>
      </c>
      <c r="J36" s="325">
        <f>IF(NOT(ISBLANK(D33)),$J$32,"")</f>
      </c>
      <c r="K36" s="376">
        <f>SUM(K33:K35)</f>
        <v>0</v>
      </c>
      <c r="L36" s="376">
        <f>SUM(L33:L35)</f>
        <v>0</v>
      </c>
      <c r="M36" s="377">
        <f>SUM(M33:M35)</f>
        <v>0</v>
      </c>
      <c r="N36" s="377">
        <f>SUM(N33:N35)</f>
        <v>0</v>
      </c>
      <c r="O36" s="378">
        <f>SUM(O33:O35)</f>
        <v>0</v>
      </c>
      <c r="P36" s="325">
        <f>SUM(K36:O36)</f>
        <v>0</v>
      </c>
    </row>
    <row r="37" spans="2:16" ht="15">
      <c r="B37" s="324">
        <v>2</v>
      </c>
      <c r="C37" s="363">
        <f>IF(P40&lt;&gt;0,VLOOKUP($D$7,Info_County_Code,2,FALSE),"")</f>
      </c>
      <c r="D37" s="204"/>
      <c r="E37" s="68"/>
      <c r="F37" s="68"/>
      <c r="G37" s="68"/>
      <c r="H37" s="57"/>
      <c r="I37" s="57"/>
      <c r="J37" s="364">
        <f>IF(NOT(ISBLANK(D37)),$J$29,"")</f>
      </c>
      <c r="K37" s="59"/>
      <c r="L37" s="59"/>
      <c r="M37" s="57"/>
      <c r="N37" s="57"/>
      <c r="O37" s="64"/>
      <c r="P37" s="295">
        <f t="shared" si="1"/>
        <v>0</v>
      </c>
    </row>
    <row r="38" spans="2:16" ht="15">
      <c r="B38" s="324">
        <v>2</v>
      </c>
      <c r="C38" s="365">
        <f aca="true" t="shared" si="8" ref="C38:I38">IF(ISBLANK(C37),"",C37)</f>
      </c>
      <c r="D38" s="366">
        <f t="shared" si="8"/>
      </c>
      <c r="E38" s="367">
        <f t="shared" si="8"/>
      </c>
      <c r="F38" s="367">
        <f t="shared" si="8"/>
      </c>
      <c r="G38" s="367">
        <f t="shared" si="8"/>
      </c>
      <c r="H38" s="368">
        <f t="shared" si="8"/>
      </c>
      <c r="I38" s="368">
        <f t="shared" si="8"/>
      </c>
      <c r="J38" s="323">
        <f>IF(NOT(ISBLANK(D37)),$J$30,"")</f>
      </c>
      <c r="K38" s="59"/>
      <c r="L38" s="59"/>
      <c r="M38" s="57"/>
      <c r="N38" s="57"/>
      <c r="O38" s="64"/>
      <c r="P38" s="295">
        <f t="shared" si="1"/>
        <v>0</v>
      </c>
    </row>
    <row r="39" spans="2:16" ht="15">
      <c r="B39" s="324">
        <v>2</v>
      </c>
      <c r="C39" s="365">
        <f aca="true" t="shared" si="9" ref="C39:I39">IF(ISBLANK(C37),"",C37)</f>
      </c>
      <c r="D39" s="369">
        <f t="shared" si="9"/>
      </c>
      <c r="E39" s="370">
        <f t="shared" si="9"/>
      </c>
      <c r="F39" s="370">
        <f t="shared" si="9"/>
      </c>
      <c r="G39" s="370">
        <f t="shared" si="9"/>
      </c>
      <c r="H39" s="323">
        <f t="shared" si="9"/>
      </c>
      <c r="I39" s="323">
        <f t="shared" si="9"/>
      </c>
      <c r="J39" s="323">
        <f>IF(NOT(ISBLANK(D37)),$J$31,"")</f>
      </c>
      <c r="K39" s="59"/>
      <c r="L39" s="59"/>
      <c r="M39" s="57"/>
      <c r="N39" s="57"/>
      <c r="O39" s="64"/>
      <c r="P39" s="295">
        <f t="shared" si="1"/>
        <v>0</v>
      </c>
    </row>
    <row r="40" spans="2:16" ht="15.75">
      <c r="B40" s="371">
        <v>2</v>
      </c>
      <c r="C40" s="372">
        <f aca="true" t="shared" si="10" ref="C40:I40">IF(ISBLANK(C37),"",C37)</f>
      </c>
      <c r="D40" s="373">
        <f t="shared" si="10"/>
      </c>
      <c r="E40" s="374">
        <f t="shared" si="10"/>
      </c>
      <c r="F40" s="374">
        <f t="shared" si="10"/>
      </c>
      <c r="G40" s="374">
        <f t="shared" si="10"/>
      </c>
      <c r="H40" s="375">
        <f t="shared" si="10"/>
      </c>
      <c r="I40" s="375">
        <f t="shared" si="10"/>
      </c>
      <c r="J40" s="325">
        <f>IF(NOT(ISBLANK(D37)),$J$32,"")</f>
      </c>
      <c r="K40" s="376">
        <f>SUM(K37:K39)</f>
        <v>0</v>
      </c>
      <c r="L40" s="376">
        <f>SUM(L37:L39)</f>
        <v>0</v>
      </c>
      <c r="M40" s="377">
        <f>SUM(M37:M39)</f>
        <v>0</v>
      </c>
      <c r="N40" s="377">
        <f>SUM(N37:N39)</f>
        <v>0</v>
      </c>
      <c r="O40" s="378">
        <f>SUM(O37:O39)</f>
        <v>0</v>
      </c>
      <c r="P40" s="325">
        <f t="shared" si="1"/>
        <v>0</v>
      </c>
    </row>
    <row r="41" spans="2:16" ht="15">
      <c r="B41" s="324">
        <v>3</v>
      </c>
      <c r="C41" s="363">
        <f>IF(P44&lt;&gt;0,VLOOKUP($D$7,Info_County_Code,2,FALSE),"")</f>
      </c>
      <c r="D41" s="204"/>
      <c r="E41" s="68"/>
      <c r="F41" s="68"/>
      <c r="G41" s="68"/>
      <c r="H41" s="57"/>
      <c r="I41" s="57"/>
      <c r="J41" s="364">
        <f>IF(NOT(ISBLANK(D41)),$J$29,"")</f>
      </c>
      <c r="K41" s="59"/>
      <c r="L41" s="59"/>
      <c r="M41" s="57"/>
      <c r="N41" s="57"/>
      <c r="O41" s="64"/>
      <c r="P41" s="295">
        <f t="shared" si="1"/>
        <v>0</v>
      </c>
    </row>
    <row r="42" spans="2:16" ht="15">
      <c r="B42" s="324">
        <v>3</v>
      </c>
      <c r="C42" s="365">
        <f aca="true" t="shared" si="11" ref="C42:I42">IF(ISBLANK(C41),"",C41)</f>
      </c>
      <c r="D42" s="366">
        <f t="shared" si="11"/>
      </c>
      <c r="E42" s="367">
        <f t="shared" si="11"/>
      </c>
      <c r="F42" s="367">
        <f t="shared" si="11"/>
      </c>
      <c r="G42" s="367">
        <f t="shared" si="11"/>
      </c>
      <c r="H42" s="368">
        <f t="shared" si="11"/>
      </c>
      <c r="I42" s="368">
        <f t="shared" si="11"/>
      </c>
      <c r="J42" s="323">
        <f>IF(NOT(ISBLANK(D41)),$J$30,"")</f>
      </c>
      <c r="K42" s="59"/>
      <c r="L42" s="59"/>
      <c r="M42" s="57"/>
      <c r="N42" s="57"/>
      <c r="O42" s="64"/>
      <c r="P42" s="295">
        <f t="shared" si="1"/>
        <v>0</v>
      </c>
    </row>
    <row r="43" spans="2:16" ht="15">
      <c r="B43" s="324">
        <v>3</v>
      </c>
      <c r="C43" s="365">
        <f aca="true" t="shared" si="12" ref="C43:I43">IF(ISBLANK(C41),"",C41)</f>
      </c>
      <c r="D43" s="369">
        <f t="shared" si="12"/>
      </c>
      <c r="E43" s="370">
        <f t="shared" si="12"/>
      </c>
      <c r="F43" s="370">
        <f t="shared" si="12"/>
      </c>
      <c r="G43" s="370">
        <f t="shared" si="12"/>
      </c>
      <c r="H43" s="323">
        <f t="shared" si="12"/>
      </c>
      <c r="I43" s="323">
        <f t="shared" si="12"/>
      </c>
      <c r="J43" s="323">
        <f>IF(NOT(ISBLANK(D41)),$J$31,"")</f>
      </c>
      <c r="K43" s="59"/>
      <c r="L43" s="59"/>
      <c r="M43" s="57"/>
      <c r="N43" s="57"/>
      <c r="O43" s="64"/>
      <c r="P43" s="295">
        <f t="shared" si="1"/>
        <v>0</v>
      </c>
    </row>
    <row r="44" spans="2:16" ht="15.75">
      <c r="B44" s="371">
        <v>3</v>
      </c>
      <c r="C44" s="372">
        <f aca="true" t="shared" si="13" ref="C44:I44">IF(ISBLANK(C41),"",C41)</f>
      </c>
      <c r="D44" s="373">
        <f t="shared" si="13"/>
      </c>
      <c r="E44" s="374">
        <f t="shared" si="13"/>
      </c>
      <c r="F44" s="374">
        <f t="shared" si="13"/>
      </c>
      <c r="G44" s="374">
        <f t="shared" si="13"/>
      </c>
      <c r="H44" s="375">
        <f t="shared" si="13"/>
      </c>
      <c r="I44" s="375">
        <f t="shared" si="13"/>
      </c>
      <c r="J44" s="325">
        <f>IF(NOT(ISBLANK(D41)),$J$32,"")</f>
      </c>
      <c r="K44" s="376">
        <f>SUM(K41:K43)</f>
        <v>0</v>
      </c>
      <c r="L44" s="376">
        <f>SUM(L41:L43)</f>
        <v>0</v>
      </c>
      <c r="M44" s="377">
        <f>SUM(M41:M43)</f>
        <v>0</v>
      </c>
      <c r="N44" s="377">
        <f>SUM(N41:N43)</f>
        <v>0</v>
      </c>
      <c r="O44" s="378">
        <f>SUM(O41:O43)</f>
        <v>0</v>
      </c>
      <c r="P44" s="325">
        <f t="shared" si="1"/>
        <v>0</v>
      </c>
    </row>
    <row r="45" spans="2:16" ht="15">
      <c r="B45" s="324">
        <v>4</v>
      </c>
      <c r="C45" s="363">
        <f>IF(P48&lt;&gt;0,VLOOKUP($D$7,Info_County_Code,2,FALSE),"")</f>
      </c>
      <c r="D45" s="204"/>
      <c r="E45" s="68"/>
      <c r="F45" s="68"/>
      <c r="G45" s="68"/>
      <c r="H45" s="57"/>
      <c r="I45" s="57"/>
      <c r="J45" s="364">
        <f>IF(NOT(ISBLANK(D45)),$J$29,"")</f>
      </c>
      <c r="K45" s="59"/>
      <c r="L45" s="59"/>
      <c r="M45" s="57"/>
      <c r="N45" s="57"/>
      <c r="O45" s="64"/>
      <c r="P45" s="295">
        <f t="shared" si="1"/>
        <v>0</v>
      </c>
    </row>
    <row r="46" spans="2:16" ht="15">
      <c r="B46" s="324">
        <v>4</v>
      </c>
      <c r="C46" s="365">
        <f aca="true" t="shared" si="14" ref="C46:I46">IF(ISBLANK(C45),"",C45)</f>
      </c>
      <c r="D46" s="366">
        <f t="shared" si="14"/>
      </c>
      <c r="E46" s="367">
        <f t="shared" si="14"/>
      </c>
      <c r="F46" s="367">
        <f t="shared" si="14"/>
      </c>
      <c r="G46" s="367">
        <f t="shared" si="14"/>
      </c>
      <c r="H46" s="368">
        <f t="shared" si="14"/>
      </c>
      <c r="I46" s="368">
        <f t="shared" si="14"/>
      </c>
      <c r="J46" s="323">
        <f>IF(NOT(ISBLANK(D45)),$J$30,"")</f>
      </c>
      <c r="K46" s="59"/>
      <c r="L46" s="59"/>
      <c r="M46" s="57"/>
      <c r="N46" s="57"/>
      <c r="O46" s="64"/>
      <c r="P46" s="295">
        <f t="shared" si="1"/>
        <v>0</v>
      </c>
    </row>
    <row r="47" spans="2:16" ht="15">
      <c r="B47" s="324">
        <v>4</v>
      </c>
      <c r="C47" s="365">
        <f aca="true" t="shared" si="15" ref="C47:I47">IF(ISBLANK(C45),"",C45)</f>
      </c>
      <c r="D47" s="369">
        <f t="shared" si="15"/>
      </c>
      <c r="E47" s="370">
        <f t="shared" si="15"/>
      </c>
      <c r="F47" s="370">
        <f t="shared" si="15"/>
      </c>
      <c r="G47" s="370">
        <f t="shared" si="15"/>
      </c>
      <c r="H47" s="323">
        <f t="shared" si="15"/>
      </c>
      <c r="I47" s="323">
        <f t="shared" si="15"/>
      </c>
      <c r="J47" s="323">
        <f>IF(NOT(ISBLANK(D45)),$J$31,"")</f>
      </c>
      <c r="K47" s="59"/>
      <c r="L47" s="59"/>
      <c r="M47" s="57"/>
      <c r="N47" s="57"/>
      <c r="O47" s="64"/>
      <c r="P47" s="295">
        <f t="shared" si="1"/>
        <v>0</v>
      </c>
    </row>
    <row r="48" spans="2:16" ht="15.75">
      <c r="B48" s="371">
        <v>4</v>
      </c>
      <c r="C48" s="372">
        <f aca="true" t="shared" si="16" ref="C48:I48">IF(ISBLANK(C45),"",C45)</f>
      </c>
      <c r="D48" s="373">
        <f t="shared" si="16"/>
      </c>
      <c r="E48" s="374">
        <f t="shared" si="16"/>
      </c>
      <c r="F48" s="374">
        <f t="shared" si="16"/>
      </c>
      <c r="G48" s="374">
        <f t="shared" si="16"/>
      </c>
      <c r="H48" s="375">
        <f t="shared" si="16"/>
      </c>
      <c r="I48" s="375">
        <f t="shared" si="16"/>
      </c>
      <c r="J48" s="325">
        <f>IF(NOT(ISBLANK(D45)),$J$32,"")</f>
      </c>
      <c r="K48" s="376">
        <f>SUM(K45:K47)</f>
        <v>0</v>
      </c>
      <c r="L48" s="376">
        <f>SUM(L45:L47)</f>
        <v>0</v>
      </c>
      <c r="M48" s="377">
        <f>SUM(M45:M47)</f>
        <v>0</v>
      </c>
      <c r="N48" s="377">
        <f>SUM(N45:N47)</f>
        <v>0</v>
      </c>
      <c r="O48" s="378">
        <f>SUM(O45:O47)</f>
        <v>0</v>
      </c>
      <c r="P48" s="325">
        <f t="shared" si="1"/>
        <v>0</v>
      </c>
    </row>
    <row r="49" spans="2:16" ht="15">
      <c r="B49" s="324">
        <v>5</v>
      </c>
      <c r="C49" s="363">
        <f>IF(P52&lt;&gt;0,VLOOKUP($D$7,Info_County_Code,2,FALSE),"")</f>
      </c>
      <c r="D49" s="204"/>
      <c r="E49" s="68"/>
      <c r="F49" s="68"/>
      <c r="G49" s="68"/>
      <c r="H49" s="57"/>
      <c r="I49" s="57"/>
      <c r="J49" s="364">
        <f>IF(NOT(ISBLANK(D49)),$J$29,"")</f>
      </c>
      <c r="K49" s="59"/>
      <c r="L49" s="59"/>
      <c r="M49" s="57"/>
      <c r="N49" s="57"/>
      <c r="O49" s="64"/>
      <c r="P49" s="295">
        <f t="shared" si="1"/>
        <v>0</v>
      </c>
    </row>
    <row r="50" spans="2:16" ht="15">
      <c r="B50" s="324">
        <v>5</v>
      </c>
      <c r="C50" s="365">
        <f aca="true" t="shared" si="17" ref="C50:I50">IF(ISBLANK(C49),"",C49)</f>
      </c>
      <c r="D50" s="366">
        <f t="shared" si="17"/>
      </c>
      <c r="E50" s="367">
        <f t="shared" si="17"/>
      </c>
      <c r="F50" s="367">
        <f t="shared" si="17"/>
      </c>
      <c r="G50" s="367">
        <f t="shared" si="17"/>
      </c>
      <c r="H50" s="368">
        <f t="shared" si="17"/>
      </c>
      <c r="I50" s="368">
        <f t="shared" si="17"/>
      </c>
      <c r="J50" s="323">
        <f>IF(NOT(ISBLANK(D49)),$J$30,"")</f>
      </c>
      <c r="K50" s="59"/>
      <c r="L50" s="59"/>
      <c r="M50" s="57"/>
      <c r="N50" s="57"/>
      <c r="O50" s="64"/>
      <c r="P50" s="295">
        <f t="shared" si="1"/>
        <v>0</v>
      </c>
    </row>
    <row r="51" spans="2:16" ht="15">
      <c r="B51" s="324">
        <v>5</v>
      </c>
      <c r="C51" s="365">
        <f aca="true" t="shared" si="18" ref="C51:I51">IF(ISBLANK(C49),"",C49)</f>
      </c>
      <c r="D51" s="369">
        <f t="shared" si="18"/>
      </c>
      <c r="E51" s="370">
        <f t="shared" si="18"/>
      </c>
      <c r="F51" s="370">
        <f t="shared" si="18"/>
      </c>
      <c r="G51" s="370">
        <f t="shared" si="18"/>
      </c>
      <c r="H51" s="323">
        <f t="shared" si="18"/>
      </c>
      <c r="I51" s="323">
        <f t="shared" si="18"/>
      </c>
      <c r="J51" s="323">
        <f>IF(NOT(ISBLANK(D49)),$J$31,"")</f>
      </c>
      <c r="K51" s="59"/>
      <c r="L51" s="59"/>
      <c r="M51" s="57"/>
      <c r="N51" s="57"/>
      <c r="O51" s="64"/>
      <c r="P51" s="295">
        <f t="shared" si="1"/>
        <v>0</v>
      </c>
    </row>
    <row r="52" spans="2:16" ht="15.75">
      <c r="B52" s="371">
        <v>5</v>
      </c>
      <c r="C52" s="372">
        <f aca="true" t="shared" si="19" ref="C52:I52">IF(ISBLANK(C49),"",C49)</f>
      </c>
      <c r="D52" s="373">
        <f t="shared" si="19"/>
      </c>
      <c r="E52" s="374">
        <f t="shared" si="19"/>
      </c>
      <c r="F52" s="374">
        <f t="shared" si="19"/>
      </c>
      <c r="G52" s="374">
        <f t="shared" si="19"/>
      </c>
      <c r="H52" s="375">
        <f t="shared" si="19"/>
      </c>
      <c r="I52" s="375">
        <f t="shared" si="19"/>
      </c>
      <c r="J52" s="325">
        <f>IF(NOT(ISBLANK(D49)),$J$32,"")</f>
      </c>
      <c r="K52" s="376">
        <f>SUM(K49:K51)</f>
        <v>0</v>
      </c>
      <c r="L52" s="376">
        <f>SUM(L49:L51)</f>
        <v>0</v>
      </c>
      <c r="M52" s="377">
        <f>SUM(M49:M51)</f>
        <v>0</v>
      </c>
      <c r="N52" s="377">
        <f>SUM(N49:N51)</f>
        <v>0</v>
      </c>
      <c r="O52" s="378">
        <f>SUM(O49:O51)</f>
        <v>0</v>
      </c>
      <c r="P52" s="325">
        <f t="shared" si="1"/>
        <v>0</v>
      </c>
    </row>
    <row r="53" spans="2:16" ht="15">
      <c r="B53" s="324">
        <v>6</v>
      </c>
      <c r="C53" s="363">
        <f>IF(P56&lt;&gt;0,VLOOKUP($D$7,Info_County_Code,2,FALSE),"")</f>
      </c>
      <c r="D53" s="204"/>
      <c r="E53" s="68"/>
      <c r="F53" s="68"/>
      <c r="G53" s="68"/>
      <c r="H53" s="57"/>
      <c r="I53" s="57"/>
      <c r="J53" s="364">
        <f>IF(NOT(ISBLANK(D53)),$J$29,"")</f>
      </c>
      <c r="K53" s="59"/>
      <c r="L53" s="59"/>
      <c r="M53" s="57"/>
      <c r="N53" s="57"/>
      <c r="O53" s="64"/>
      <c r="P53" s="295">
        <f t="shared" si="1"/>
        <v>0</v>
      </c>
    </row>
    <row r="54" spans="2:16" ht="15">
      <c r="B54" s="324">
        <v>6</v>
      </c>
      <c r="C54" s="365">
        <f aca="true" t="shared" si="20" ref="C54:I54">IF(ISBLANK(C53),"",C53)</f>
      </c>
      <c r="D54" s="366">
        <f t="shared" si="20"/>
      </c>
      <c r="E54" s="367">
        <f t="shared" si="20"/>
      </c>
      <c r="F54" s="367">
        <f t="shared" si="20"/>
      </c>
      <c r="G54" s="367">
        <f t="shared" si="20"/>
      </c>
      <c r="H54" s="368">
        <f t="shared" si="20"/>
      </c>
      <c r="I54" s="368">
        <f t="shared" si="20"/>
      </c>
      <c r="J54" s="323">
        <f>IF(NOT(ISBLANK(D53)),$J$30,"")</f>
      </c>
      <c r="K54" s="59"/>
      <c r="L54" s="59"/>
      <c r="M54" s="57"/>
      <c r="N54" s="57"/>
      <c r="O54" s="64"/>
      <c r="P54" s="295">
        <f t="shared" si="1"/>
        <v>0</v>
      </c>
    </row>
    <row r="55" spans="2:16" ht="15">
      <c r="B55" s="324">
        <v>6</v>
      </c>
      <c r="C55" s="365">
        <f aca="true" t="shared" si="21" ref="C55:I55">IF(ISBLANK(C53),"",C53)</f>
      </c>
      <c r="D55" s="369">
        <f t="shared" si="21"/>
      </c>
      <c r="E55" s="370">
        <f t="shared" si="21"/>
      </c>
      <c r="F55" s="370">
        <f t="shared" si="21"/>
      </c>
      <c r="G55" s="370">
        <f t="shared" si="21"/>
      </c>
      <c r="H55" s="323">
        <f t="shared" si="21"/>
      </c>
      <c r="I55" s="323">
        <f t="shared" si="21"/>
      </c>
      <c r="J55" s="323">
        <f>IF(NOT(ISBLANK(D53)),$J$31,"")</f>
      </c>
      <c r="K55" s="59"/>
      <c r="L55" s="59"/>
      <c r="M55" s="57"/>
      <c r="N55" s="57"/>
      <c r="O55" s="64"/>
      <c r="P55" s="295">
        <f t="shared" si="1"/>
        <v>0</v>
      </c>
    </row>
    <row r="56" spans="2:16" ht="15.75">
      <c r="B56" s="371">
        <v>6</v>
      </c>
      <c r="C56" s="372">
        <f aca="true" t="shared" si="22" ref="C56:I56">IF(ISBLANK(C53),"",C53)</f>
      </c>
      <c r="D56" s="373">
        <f t="shared" si="22"/>
      </c>
      <c r="E56" s="374">
        <f t="shared" si="22"/>
      </c>
      <c r="F56" s="374">
        <f t="shared" si="22"/>
      </c>
      <c r="G56" s="374">
        <f t="shared" si="22"/>
      </c>
      <c r="H56" s="375">
        <f t="shared" si="22"/>
      </c>
      <c r="I56" s="375">
        <f t="shared" si="22"/>
      </c>
      <c r="J56" s="325">
        <f>IF(NOT(ISBLANK(D53)),$J$32,"")</f>
      </c>
      <c r="K56" s="376">
        <f>SUM(K53:K55)</f>
        <v>0</v>
      </c>
      <c r="L56" s="376">
        <f>SUM(L53:L55)</f>
        <v>0</v>
      </c>
      <c r="M56" s="377">
        <f>SUM(M53:M55)</f>
        <v>0</v>
      </c>
      <c r="N56" s="377">
        <f>SUM(N53:N55)</f>
        <v>0</v>
      </c>
      <c r="O56" s="378">
        <f>SUM(O53:O55)</f>
        <v>0</v>
      </c>
      <c r="P56" s="325">
        <f t="shared" si="1"/>
        <v>0</v>
      </c>
    </row>
    <row r="57" spans="2:16" ht="15">
      <c r="B57" s="324">
        <v>7</v>
      </c>
      <c r="C57" s="363">
        <f>IF(P60&lt;&gt;0,VLOOKUP($D$7,Info_County_Code,2,FALSE),"")</f>
      </c>
      <c r="D57" s="204"/>
      <c r="E57" s="68"/>
      <c r="F57" s="68"/>
      <c r="G57" s="68"/>
      <c r="H57" s="57"/>
      <c r="I57" s="57"/>
      <c r="J57" s="364">
        <f>IF(NOT(ISBLANK(D57)),$J$29,"")</f>
      </c>
      <c r="K57" s="59"/>
      <c r="L57" s="59"/>
      <c r="M57" s="57"/>
      <c r="N57" s="57"/>
      <c r="O57" s="64"/>
      <c r="P57" s="295">
        <f t="shared" si="1"/>
        <v>0</v>
      </c>
    </row>
    <row r="58" spans="2:16" ht="15">
      <c r="B58" s="324">
        <v>7</v>
      </c>
      <c r="C58" s="365">
        <f aca="true" t="shared" si="23" ref="C58:I58">IF(ISBLANK(C57),"",C57)</f>
      </c>
      <c r="D58" s="366">
        <f t="shared" si="23"/>
      </c>
      <c r="E58" s="367">
        <f t="shared" si="23"/>
      </c>
      <c r="F58" s="367">
        <f t="shared" si="23"/>
      </c>
      <c r="G58" s="367">
        <f t="shared" si="23"/>
      </c>
      <c r="H58" s="368">
        <f t="shared" si="23"/>
      </c>
      <c r="I58" s="368">
        <f t="shared" si="23"/>
      </c>
      <c r="J58" s="323">
        <f>IF(NOT(ISBLANK(D57)),$J$30,"")</f>
      </c>
      <c r="K58" s="59"/>
      <c r="L58" s="59"/>
      <c r="M58" s="57"/>
      <c r="N58" s="57"/>
      <c r="O58" s="64"/>
      <c r="P58" s="295">
        <f t="shared" si="1"/>
        <v>0</v>
      </c>
    </row>
    <row r="59" spans="2:16" ht="15">
      <c r="B59" s="324">
        <v>7</v>
      </c>
      <c r="C59" s="365">
        <f aca="true" t="shared" si="24" ref="C59:I59">IF(ISBLANK(C57),"",C57)</f>
      </c>
      <c r="D59" s="369">
        <f t="shared" si="24"/>
      </c>
      <c r="E59" s="370">
        <f t="shared" si="24"/>
      </c>
      <c r="F59" s="370">
        <f t="shared" si="24"/>
      </c>
      <c r="G59" s="370">
        <f t="shared" si="24"/>
      </c>
      <c r="H59" s="323">
        <f t="shared" si="24"/>
      </c>
      <c r="I59" s="323">
        <f t="shared" si="24"/>
      </c>
      <c r="J59" s="323">
        <f>IF(NOT(ISBLANK(D57)),$J$31,"")</f>
      </c>
      <c r="K59" s="59"/>
      <c r="L59" s="59"/>
      <c r="M59" s="57"/>
      <c r="N59" s="57"/>
      <c r="O59" s="64"/>
      <c r="P59" s="295">
        <f t="shared" si="1"/>
        <v>0</v>
      </c>
    </row>
    <row r="60" spans="2:16" ht="15.75">
      <c r="B60" s="371">
        <v>7</v>
      </c>
      <c r="C60" s="372">
        <f aca="true" t="shared" si="25" ref="C60:I60">IF(ISBLANK(C57),"",C57)</f>
      </c>
      <c r="D60" s="373">
        <f t="shared" si="25"/>
      </c>
      <c r="E60" s="374">
        <f t="shared" si="25"/>
      </c>
      <c r="F60" s="374">
        <f t="shared" si="25"/>
      </c>
      <c r="G60" s="374">
        <f t="shared" si="25"/>
      </c>
      <c r="H60" s="375">
        <f t="shared" si="25"/>
      </c>
      <c r="I60" s="375">
        <f t="shared" si="25"/>
      </c>
      <c r="J60" s="325">
        <f>IF(NOT(ISBLANK(D57)),$J$32,"")</f>
      </c>
      <c r="K60" s="376">
        <f>SUM(K57:K59)</f>
        <v>0</v>
      </c>
      <c r="L60" s="376">
        <f>SUM(L57:L59)</f>
        <v>0</v>
      </c>
      <c r="M60" s="377">
        <f>SUM(M57:M59)</f>
        <v>0</v>
      </c>
      <c r="N60" s="377">
        <f>SUM(N57:N59)</f>
        <v>0</v>
      </c>
      <c r="O60" s="378">
        <f>SUM(O57:O59)</f>
        <v>0</v>
      </c>
      <c r="P60" s="325">
        <f t="shared" si="1"/>
        <v>0</v>
      </c>
    </row>
    <row r="61" spans="2:16" ht="15">
      <c r="B61" s="324">
        <v>8</v>
      </c>
      <c r="C61" s="363">
        <f>IF(P64&lt;&gt;0,VLOOKUP($D$7,Info_County_Code,2,FALSE),"")</f>
      </c>
      <c r="D61" s="204"/>
      <c r="E61" s="68"/>
      <c r="F61" s="68"/>
      <c r="G61" s="68"/>
      <c r="H61" s="57"/>
      <c r="I61" s="57"/>
      <c r="J61" s="364">
        <f>IF(NOT(ISBLANK(D61)),$J$29,"")</f>
      </c>
      <c r="K61" s="59"/>
      <c r="L61" s="59"/>
      <c r="M61" s="57"/>
      <c r="N61" s="57"/>
      <c r="O61" s="64"/>
      <c r="P61" s="295">
        <f t="shared" si="1"/>
        <v>0</v>
      </c>
    </row>
    <row r="62" spans="2:16" ht="15">
      <c r="B62" s="324">
        <v>8</v>
      </c>
      <c r="C62" s="365">
        <f aca="true" t="shared" si="26" ref="C62:I62">IF(ISBLANK(C61),"",C61)</f>
      </c>
      <c r="D62" s="366">
        <f t="shared" si="26"/>
      </c>
      <c r="E62" s="367">
        <f t="shared" si="26"/>
      </c>
      <c r="F62" s="367">
        <f t="shared" si="26"/>
      </c>
      <c r="G62" s="367">
        <f t="shared" si="26"/>
      </c>
      <c r="H62" s="368">
        <f t="shared" si="26"/>
      </c>
      <c r="I62" s="368">
        <f t="shared" si="26"/>
      </c>
      <c r="J62" s="323">
        <f>IF(NOT(ISBLANK(D61)),$J$30,"")</f>
      </c>
      <c r="K62" s="59"/>
      <c r="L62" s="59"/>
      <c r="M62" s="57"/>
      <c r="N62" s="57"/>
      <c r="O62" s="64"/>
      <c r="P62" s="295">
        <f t="shared" si="1"/>
        <v>0</v>
      </c>
    </row>
    <row r="63" spans="2:16" ht="15">
      <c r="B63" s="324">
        <v>8</v>
      </c>
      <c r="C63" s="365">
        <f aca="true" t="shared" si="27" ref="C63:I63">IF(ISBLANK(C61),"",C61)</f>
      </c>
      <c r="D63" s="369">
        <f t="shared" si="27"/>
      </c>
      <c r="E63" s="370">
        <f t="shared" si="27"/>
      </c>
      <c r="F63" s="370">
        <f t="shared" si="27"/>
      </c>
      <c r="G63" s="370">
        <f t="shared" si="27"/>
      </c>
      <c r="H63" s="323">
        <f t="shared" si="27"/>
      </c>
      <c r="I63" s="323">
        <f t="shared" si="27"/>
      </c>
      <c r="J63" s="323">
        <f>IF(NOT(ISBLANK(D61)),$J$31,"")</f>
      </c>
      <c r="K63" s="59"/>
      <c r="L63" s="59"/>
      <c r="M63" s="57"/>
      <c r="N63" s="57"/>
      <c r="O63" s="64"/>
      <c r="P63" s="295">
        <f t="shared" si="1"/>
        <v>0</v>
      </c>
    </row>
    <row r="64" spans="2:16" ht="15.75">
      <c r="B64" s="371">
        <v>8</v>
      </c>
      <c r="C64" s="372">
        <f aca="true" t="shared" si="28" ref="C64:I64">IF(ISBLANK(C61),"",C61)</f>
      </c>
      <c r="D64" s="373">
        <f t="shared" si="28"/>
      </c>
      <c r="E64" s="374">
        <f t="shared" si="28"/>
      </c>
      <c r="F64" s="374">
        <f t="shared" si="28"/>
      </c>
      <c r="G64" s="374">
        <f t="shared" si="28"/>
      </c>
      <c r="H64" s="375">
        <f t="shared" si="28"/>
      </c>
      <c r="I64" s="375">
        <f t="shared" si="28"/>
      </c>
      <c r="J64" s="325">
        <f>IF(NOT(ISBLANK(D61)),$J$32,"")</f>
      </c>
      <c r="K64" s="376">
        <f>SUM(K61:K63)</f>
        <v>0</v>
      </c>
      <c r="L64" s="376">
        <f>SUM(L61:L63)</f>
        <v>0</v>
      </c>
      <c r="M64" s="377">
        <f>SUM(M61:M63)</f>
        <v>0</v>
      </c>
      <c r="N64" s="377">
        <f>SUM(N61:N63)</f>
        <v>0</v>
      </c>
      <c r="O64" s="378">
        <f>SUM(O61:O63)</f>
        <v>0</v>
      </c>
      <c r="P64" s="325">
        <f t="shared" si="1"/>
        <v>0</v>
      </c>
    </row>
    <row r="65" spans="2:16" ht="15">
      <c r="B65" s="324">
        <v>9</v>
      </c>
      <c r="C65" s="363">
        <f>IF(P68&lt;&gt;0,VLOOKUP($D$7,Info_County_Code,2,FALSE),"")</f>
      </c>
      <c r="D65" s="204"/>
      <c r="E65" s="68"/>
      <c r="F65" s="68"/>
      <c r="G65" s="68"/>
      <c r="H65" s="57"/>
      <c r="I65" s="57"/>
      <c r="J65" s="364">
        <f>IF(NOT(ISBLANK(D65)),$J$29,"")</f>
      </c>
      <c r="K65" s="59"/>
      <c r="L65" s="59"/>
      <c r="M65" s="57"/>
      <c r="N65" s="57"/>
      <c r="O65" s="64"/>
      <c r="P65" s="295">
        <f aca="true" t="shared" si="29" ref="P65:P88">SUM(K65:O65)</f>
        <v>0</v>
      </c>
    </row>
    <row r="66" spans="2:16" ht="15">
      <c r="B66" s="324">
        <v>9</v>
      </c>
      <c r="C66" s="365">
        <f aca="true" t="shared" si="30" ref="C66:I66">IF(ISBLANK(C65),"",C65)</f>
      </c>
      <c r="D66" s="366">
        <f t="shared" si="30"/>
      </c>
      <c r="E66" s="367">
        <f t="shared" si="30"/>
      </c>
      <c r="F66" s="367">
        <f t="shared" si="30"/>
      </c>
      <c r="G66" s="367">
        <f t="shared" si="30"/>
      </c>
      <c r="H66" s="368">
        <f t="shared" si="30"/>
      </c>
      <c r="I66" s="368">
        <f t="shared" si="30"/>
      </c>
      <c r="J66" s="323">
        <f>IF(NOT(ISBLANK(D65)),$J$30,"")</f>
      </c>
      <c r="K66" s="59"/>
      <c r="L66" s="59"/>
      <c r="M66" s="57"/>
      <c r="N66" s="57"/>
      <c r="O66" s="64"/>
      <c r="P66" s="295">
        <f t="shared" si="29"/>
        <v>0</v>
      </c>
    </row>
    <row r="67" spans="2:16" ht="15">
      <c r="B67" s="324">
        <v>9</v>
      </c>
      <c r="C67" s="365">
        <f aca="true" t="shared" si="31" ref="C67:I67">IF(ISBLANK(C65),"",C65)</f>
      </c>
      <c r="D67" s="369">
        <f t="shared" si="31"/>
      </c>
      <c r="E67" s="370">
        <f t="shared" si="31"/>
      </c>
      <c r="F67" s="370">
        <f t="shared" si="31"/>
      </c>
      <c r="G67" s="370">
        <f t="shared" si="31"/>
      </c>
      <c r="H67" s="323">
        <f t="shared" si="31"/>
      </c>
      <c r="I67" s="323">
        <f t="shared" si="31"/>
      </c>
      <c r="J67" s="323">
        <f>IF(NOT(ISBLANK(D65)),$J$31,"")</f>
      </c>
      <c r="K67" s="59"/>
      <c r="L67" s="59"/>
      <c r="M67" s="57"/>
      <c r="N67" s="57"/>
      <c r="O67" s="64"/>
      <c r="P67" s="295">
        <f t="shared" si="29"/>
        <v>0</v>
      </c>
    </row>
    <row r="68" spans="2:16" ht="15.75">
      <c r="B68" s="371">
        <v>9</v>
      </c>
      <c r="C68" s="372">
        <f aca="true" t="shared" si="32" ref="C68:I68">IF(ISBLANK(C65),"",C65)</f>
      </c>
      <c r="D68" s="373">
        <f t="shared" si="32"/>
      </c>
      <c r="E68" s="374">
        <f t="shared" si="32"/>
      </c>
      <c r="F68" s="374">
        <f t="shared" si="32"/>
      </c>
      <c r="G68" s="374">
        <f t="shared" si="32"/>
      </c>
      <c r="H68" s="375">
        <f t="shared" si="32"/>
      </c>
      <c r="I68" s="375">
        <f t="shared" si="32"/>
      </c>
      <c r="J68" s="325">
        <f>IF(NOT(ISBLANK(D65)),$J$32,"")</f>
      </c>
      <c r="K68" s="376">
        <f>SUM(K65:K67)</f>
        <v>0</v>
      </c>
      <c r="L68" s="376">
        <f>SUM(L65:L67)</f>
        <v>0</v>
      </c>
      <c r="M68" s="377">
        <f>SUM(M65:M67)</f>
        <v>0</v>
      </c>
      <c r="N68" s="377">
        <f>SUM(N65:N67)</f>
        <v>0</v>
      </c>
      <c r="O68" s="378">
        <f>SUM(O65:O67)</f>
        <v>0</v>
      </c>
      <c r="P68" s="325">
        <f t="shared" si="29"/>
        <v>0</v>
      </c>
    </row>
    <row r="69" spans="2:16" ht="15">
      <c r="B69" s="324">
        <v>10</v>
      </c>
      <c r="C69" s="363">
        <f>IF(P72&lt;&gt;0,VLOOKUP($D$7,Info_County_Code,2,FALSE),"")</f>
      </c>
      <c r="D69" s="204"/>
      <c r="E69" s="68"/>
      <c r="F69" s="68"/>
      <c r="G69" s="68"/>
      <c r="H69" s="57"/>
      <c r="I69" s="57"/>
      <c r="J69" s="364">
        <f>IF(NOT(ISBLANK(D69)),$J$29,"")</f>
      </c>
      <c r="K69" s="59"/>
      <c r="L69" s="59"/>
      <c r="M69" s="57"/>
      <c r="N69" s="57"/>
      <c r="O69" s="64"/>
      <c r="P69" s="295">
        <f t="shared" si="29"/>
        <v>0</v>
      </c>
    </row>
    <row r="70" spans="2:16" ht="15">
      <c r="B70" s="324">
        <v>10</v>
      </c>
      <c r="C70" s="365">
        <f aca="true" t="shared" si="33" ref="C70:I70">IF(ISBLANK(C69),"",C69)</f>
      </c>
      <c r="D70" s="366">
        <f t="shared" si="33"/>
      </c>
      <c r="E70" s="367">
        <f t="shared" si="33"/>
      </c>
      <c r="F70" s="367">
        <f t="shared" si="33"/>
      </c>
      <c r="G70" s="367">
        <f t="shared" si="33"/>
      </c>
      <c r="H70" s="368">
        <f t="shared" si="33"/>
      </c>
      <c r="I70" s="368">
        <f t="shared" si="33"/>
      </c>
      <c r="J70" s="323">
        <f>IF(NOT(ISBLANK(D69)),$J$30,"")</f>
      </c>
      <c r="K70" s="59"/>
      <c r="L70" s="59"/>
      <c r="M70" s="57"/>
      <c r="N70" s="57"/>
      <c r="O70" s="64"/>
      <c r="P70" s="295">
        <f t="shared" si="29"/>
        <v>0</v>
      </c>
    </row>
    <row r="71" spans="2:16" ht="15">
      <c r="B71" s="324">
        <v>10</v>
      </c>
      <c r="C71" s="365">
        <f aca="true" t="shared" si="34" ref="C71:I71">IF(ISBLANK(C69),"",C69)</f>
      </c>
      <c r="D71" s="369">
        <f t="shared" si="34"/>
      </c>
      <c r="E71" s="370">
        <f t="shared" si="34"/>
      </c>
      <c r="F71" s="370">
        <f t="shared" si="34"/>
      </c>
      <c r="G71" s="370">
        <f t="shared" si="34"/>
      </c>
      <c r="H71" s="323">
        <f t="shared" si="34"/>
      </c>
      <c r="I71" s="323">
        <f t="shared" si="34"/>
      </c>
      <c r="J71" s="323">
        <f>IF(NOT(ISBLANK(D69)),$J$31,"")</f>
      </c>
      <c r="K71" s="59"/>
      <c r="L71" s="59"/>
      <c r="M71" s="57"/>
      <c r="N71" s="57"/>
      <c r="O71" s="64"/>
      <c r="P71" s="295">
        <f t="shared" si="29"/>
        <v>0</v>
      </c>
    </row>
    <row r="72" spans="2:16" ht="15.75">
      <c r="B72" s="371">
        <v>10</v>
      </c>
      <c r="C72" s="372">
        <f aca="true" t="shared" si="35" ref="C72:I72">IF(ISBLANK(C69),"",C69)</f>
      </c>
      <c r="D72" s="373">
        <f t="shared" si="35"/>
      </c>
      <c r="E72" s="374">
        <f t="shared" si="35"/>
      </c>
      <c r="F72" s="374">
        <f t="shared" si="35"/>
      </c>
      <c r="G72" s="374">
        <f t="shared" si="35"/>
      </c>
      <c r="H72" s="375">
        <f t="shared" si="35"/>
      </c>
      <c r="I72" s="375">
        <f t="shared" si="35"/>
      </c>
      <c r="J72" s="325">
        <f>IF(NOT(ISBLANK(D69)),$J$32,"")</f>
      </c>
      <c r="K72" s="376">
        <f>SUM(K69:K71)</f>
        <v>0</v>
      </c>
      <c r="L72" s="376">
        <f>SUM(L69:L71)</f>
        <v>0</v>
      </c>
      <c r="M72" s="377">
        <f>SUM(M69:M71)</f>
        <v>0</v>
      </c>
      <c r="N72" s="377">
        <f>SUM(N69:N71)</f>
        <v>0</v>
      </c>
      <c r="O72" s="378">
        <f>SUM(O69:O71)</f>
        <v>0</v>
      </c>
      <c r="P72" s="325">
        <f t="shared" si="29"/>
        <v>0</v>
      </c>
    </row>
    <row r="73" spans="2:16" ht="15">
      <c r="B73" s="324">
        <v>11</v>
      </c>
      <c r="C73" s="363">
        <f>IF(P76&lt;&gt;0,VLOOKUP($D$7,Info_County_Code,2,FALSE),"")</f>
      </c>
      <c r="D73" s="204"/>
      <c r="E73" s="68"/>
      <c r="F73" s="68"/>
      <c r="G73" s="68"/>
      <c r="H73" s="57"/>
      <c r="I73" s="57"/>
      <c r="J73" s="364">
        <f>IF(NOT(ISBLANK(D73)),$J$29,"")</f>
      </c>
      <c r="K73" s="59"/>
      <c r="L73" s="59"/>
      <c r="M73" s="57"/>
      <c r="N73" s="57"/>
      <c r="O73" s="64"/>
      <c r="P73" s="295">
        <f t="shared" si="29"/>
        <v>0</v>
      </c>
    </row>
    <row r="74" spans="2:16" ht="15">
      <c r="B74" s="324">
        <v>11</v>
      </c>
      <c r="C74" s="365">
        <f aca="true" t="shared" si="36" ref="C74:I74">IF(ISBLANK(C73),"",C73)</f>
      </c>
      <c r="D74" s="366">
        <f t="shared" si="36"/>
      </c>
      <c r="E74" s="367">
        <f t="shared" si="36"/>
      </c>
      <c r="F74" s="367">
        <f t="shared" si="36"/>
      </c>
      <c r="G74" s="367">
        <f t="shared" si="36"/>
      </c>
      <c r="H74" s="368">
        <f t="shared" si="36"/>
      </c>
      <c r="I74" s="368">
        <f t="shared" si="36"/>
      </c>
      <c r="J74" s="323">
        <f>IF(NOT(ISBLANK(D73)),$J$30,"")</f>
      </c>
      <c r="K74" s="59"/>
      <c r="L74" s="59"/>
      <c r="M74" s="57"/>
      <c r="N74" s="57"/>
      <c r="O74" s="64"/>
      <c r="P74" s="295">
        <f t="shared" si="29"/>
        <v>0</v>
      </c>
    </row>
    <row r="75" spans="2:16" ht="15">
      <c r="B75" s="324">
        <v>11</v>
      </c>
      <c r="C75" s="365">
        <f aca="true" t="shared" si="37" ref="C75:I75">IF(ISBLANK(C73),"",C73)</f>
      </c>
      <c r="D75" s="369">
        <f t="shared" si="37"/>
      </c>
      <c r="E75" s="370">
        <f t="shared" si="37"/>
      </c>
      <c r="F75" s="370">
        <f t="shared" si="37"/>
      </c>
      <c r="G75" s="370">
        <f t="shared" si="37"/>
      </c>
      <c r="H75" s="323">
        <f t="shared" si="37"/>
      </c>
      <c r="I75" s="323">
        <f t="shared" si="37"/>
      </c>
      <c r="J75" s="323">
        <f>IF(NOT(ISBLANK(D73)),$J$31,"")</f>
      </c>
      <c r="K75" s="59"/>
      <c r="L75" s="59"/>
      <c r="M75" s="57"/>
      <c r="N75" s="57"/>
      <c r="O75" s="64"/>
      <c r="P75" s="295">
        <f t="shared" si="29"/>
        <v>0</v>
      </c>
    </row>
    <row r="76" spans="2:16" ht="15.75">
      <c r="B76" s="371">
        <v>11</v>
      </c>
      <c r="C76" s="372">
        <f aca="true" t="shared" si="38" ref="C76:I76">IF(ISBLANK(C73),"",C73)</f>
      </c>
      <c r="D76" s="373">
        <f t="shared" si="38"/>
      </c>
      <c r="E76" s="374">
        <f t="shared" si="38"/>
      </c>
      <c r="F76" s="374">
        <f t="shared" si="38"/>
      </c>
      <c r="G76" s="374">
        <f t="shared" si="38"/>
      </c>
      <c r="H76" s="375">
        <f t="shared" si="38"/>
      </c>
      <c r="I76" s="375">
        <f t="shared" si="38"/>
      </c>
      <c r="J76" s="325">
        <f>IF(NOT(ISBLANK(D73)),$J$32,"")</f>
      </c>
      <c r="K76" s="376">
        <f>SUM(K73:K75)</f>
        <v>0</v>
      </c>
      <c r="L76" s="376">
        <f>SUM(L73:L75)</f>
        <v>0</v>
      </c>
      <c r="M76" s="377">
        <f>SUM(M73:M75)</f>
        <v>0</v>
      </c>
      <c r="N76" s="377">
        <f>SUM(N73:N75)</f>
        <v>0</v>
      </c>
      <c r="O76" s="378">
        <f>SUM(O73:O75)</f>
        <v>0</v>
      </c>
      <c r="P76" s="325">
        <f t="shared" si="29"/>
        <v>0</v>
      </c>
    </row>
    <row r="77" spans="2:16" ht="15">
      <c r="B77" s="324">
        <v>12</v>
      </c>
      <c r="C77" s="363">
        <f>IF(P80&lt;&gt;0,VLOOKUP($D$7,Info_County_Code,2,FALSE),"")</f>
      </c>
      <c r="D77" s="204"/>
      <c r="E77" s="68"/>
      <c r="F77" s="68"/>
      <c r="G77" s="68"/>
      <c r="H77" s="57"/>
      <c r="I77" s="57"/>
      <c r="J77" s="364">
        <f>IF(NOT(ISBLANK(D77)),$J$29,"")</f>
      </c>
      <c r="K77" s="59"/>
      <c r="L77" s="59"/>
      <c r="M77" s="57"/>
      <c r="N77" s="57"/>
      <c r="O77" s="64"/>
      <c r="P77" s="295">
        <f t="shared" si="29"/>
        <v>0</v>
      </c>
    </row>
    <row r="78" spans="2:16" ht="15">
      <c r="B78" s="324">
        <v>12</v>
      </c>
      <c r="C78" s="365">
        <f aca="true" t="shared" si="39" ref="C78:I78">IF(ISBLANK(C77),"",C77)</f>
      </c>
      <c r="D78" s="366">
        <f t="shared" si="39"/>
      </c>
      <c r="E78" s="367">
        <f t="shared" si="39"/>
      </c>
      <c r="F78" s="367">
        <f t="shared" si="39"/>
      </c>
      <c r="G78" s="367">
        <f t="shared" si="39"/>
      </c>
      <c r="H78" s="368">
        <f t="shared" si="39"/>
      </c>
      <c r="I78" s="368">
        <f t="shared" si="39"/>
      </c>
      <c r="J78" s="323">
        <f>IF(NOT(ISBLANK(D77)),$J$30,"")</f>
      </c>
      <c r="K78" s="59"/>
      <c r="L78" s="59"/>
      <c r="M78" s="57"/>
      <c r="N78" s="57"/>
      <c r="O78" s="64"/>
      <c r="P78" s="295">
        <f t="shared" si="29"/>
        <v>0</v>
      </c>
    </row>
    <row r="79" spans="2:16" ht="15">
      <c r="B79" s="324">
        <v>12</v>
      </c>
      <c r="C79" s="365">
        <f aca="true" t="shared" si="40" ref="C79:I79">IF(ISBLANK(C77),"",C77)</f>
      </c>
      <c r="D79" s="369">
        <f t="shared" si="40"/>
      </c>
      <c r="E79" s="370">
        <f t="shared" si="40"/>
      </c>
      <c r="F79" s="370">
        <f t="shared" si="40"/>
      </c>
      <c r="G79" s="370">
        <f t="shared" si="40"/>
      </c>
      <c r="H79" s="323">
        <f t="shared" si="40"/>
      </c>
      <c r="I79" s="323">
        <f t="shared" si="40"/>
      </c>
      <c r="J79" s="323">
        <f>IF(NOT(ISBLANK(D77)),$J$31,"")</f>
      </c>
      <c r="K79" s="59"/>
      <c r="L79" s="59"/>
      <c r="M79" s="57"/>
      <c r="N79" s="57"/>
      <c r="O79" s="64"/>
      <c r="P79" s="295">
        <f t="shared" si="29"/>
        <v>0</v>
      </c>
    </row>
    <row r="80" spans="2:16" ht="15.75">
      <c r="B80" s="371">
        <v>12</v>
      </c>
      <c r="C80" s="372">
        <f aca="true" t="shared" si="41" ref="C80:I80">IF(ISBLANK(C77),"",C77)</f>
      </c>
      <c r="D80" s="373">
        <f t="shared" si="41"/>
      </c>
      <c r="E80" s="374">
        <f t="shared" si="41"/>
      </c>
      <c r="F80" s="374">
        <f t="shared" si="41"/>
      </c>
      <c r="G80" s="374">
        <f t="shared" si="41"/>
      </c>
      <c r="H80" s="375">
        <f t="shared" si="41"/>
      </c>
      <c r="I80" s="375">
        <f t="shared" si="41"/>
      </c>
      <c r="J80" s="325">
        <f>IF(NOT(ISBLANK(D77)),$J$32,"")</f>
      </c>
      <c r="K80" s="376">
        <f>SUM(K77:K79)</f>
        <v>0</v>
      </c>
      <c r="L80" s="376">
        <f>SUM(L77:L79)</f>
        <v>0</v>
      </c>
      <c r="M80" s="377">
        <f>SUM(M77:M79)</f>
        <v>0</v>
      </c>
      <c r="N80" s="377">
        <f>SUM(N77:N79)</f>
        <v>0</v>
      </c>
      <c r="O80" s="378">
        <f>SUM(O77:O79)</f>
        <v>0</v>
      </c>
      <c r="P80" s="325">
        <f t="shared" si="29"/>
        <v>0</v>
      </c>
    </row>
    <row r="81" spans="2:16" ht="15">
      <c r="B81" s="324">
        <v>13</v>
      </c>
      <c r="C81" s="363">
        <f>IF(P84&lt;&gt;0,VLOOKUP($D$7,Info_County_Code,2,FALSE),"")</f>
      </c>
      <c r="D81" s="204"/>
      <c r="E81" s="68"/>
      <c r="F81" s="68"/>
      <c r="G81" s="68"/>
      <c r="H81" s="57"/>
      <c r="I81" s="57"/>
      <c r="J81" s="364">
        <f>IF(NOT(ISBLANK(D81)),$J$29,"")</f>
      </c>
      <c r="K81" s="59"/>
      <c r="L81" s="59"/>
      <c r="M81" s="57"/>
      <c r="N81" s="57"/>
      <c r="O81" s="64"/>
      <c r="P81" s="295">
        <f t="shared" si="29"/>
        <v>0</v>
      </c>
    </row>
    <row r="82" spans="2:16" ht="15">
      <c r="B82" s="324">
        <v>13</v>
      </c>
      <c r="C82" s="365">
        <f aca="true" t="shared" si="42" ref="C82:I82">IF(ISBLANK(C81),"",C81)</f>
      </c>
      <c r="D82" s="366">
        <f t="shared" si="42"/>
      </c>
      <c r="E82" s="367">
        <f t="shared" si="42"/>
      </c>
      <c r="F82" s="367">
        <f t="shared" si="42"/>
      </c>
      <c r="G82" s="367">
        <f t="shared" si="42"/>
      </c>
      <c r="H82" s="368">
        <f t="shared" si="42"/>
      </c>
      <c r="I82" s="368">
        <f t="shared" si="42"/>
      </c>
      <c r="J82" s="323">
        <f>IF(NOT(ISBLANK(D81)),$J$30,"")</f>
      </c>
      <c r="K82" s="59"/>
      <c r="L82" s="59"/>
      <c r="M82" s="57"/>
      <c r="N82" s="57"/>
      <c r="O82" s="64"/>
      <c r="P82" s="295">
        <f t="shared" si="29"/>
        <v>0</v>
      </c>
    </row>
    <row r="83" spans="2:16" ht="15">
      <c r="B83" s="324">
        <v>13</v>
      </c>
      <c r="C83" s="365">
        <f aca="true" t="shared" si="43" ref="C83:I83">IF(ISBLANK(C81),"",C81)</f>
      </c>
      <c r="D83" s="369">
        <f t="shared" si="43"/>
      </c>
      <c r="E83" s="370">
        <f t="shared" si="43"/>
      </c>
      <c r="F83" s="370">
        <f t="shared" si="43"/>
      </c>
      <c r="G83" s="370">
        <f t="shared" si="43"/>
      </c>
      <c r="H83" s="323">
        <f t="shared" si="43"/>
      </c>
      <c r="I83" s="323">
        <f t="shared" si="43"/>
      </c>
      <c r="J83" s="323">
        <f>IF(NOT(ISBLANK(D81)),$J$31,"")</f>
      </c>
      <c r="K83" s="59"/>
      <c r="L83" s="59"/>
      <c r="M83" s="57"/>
      <c r="N83" s="57"/>
      <c r="O83" s="64"/>
      <c r="P83" s="295">
        <f t="shared" si="29"/>
        <v>0</v>
      </c>
    </row>
    <row r="84" spans="2:16" ht="15.75">
      <c r="B84" s="371">
        <v>13</v>
      </c>
      <c r="C84" s="372">
        <f aca="true" t="shared" si="44" ref="C84:I84">IF(ISBLANK(C81),"",C81)</f>
      </c>
      <c r="D84" s="373">
        <f t="shared" si="44"/>
      </c>
      <c r="E84" s="374">
        <f t="shared" si="44"/>
      </c>
      <c r="F84" s="374">
        <f t="shared" si="44"/>
      </c>
      <c r="G84" s="374">
        <f t="shared" si="44"/>
      </c>
      <c r="H84" s="375">
        <f t="shared" si="44"/>
      </c>
      <c r="I84" s="375">
        <f t="shared" si="44"/>
      </c>
      <c r="J84" s="325">
        <f>IF(NOT(ISBLANK(D81)),$J$32,"")</f>
      </c>
      <c r="K84" s="376">
        <f>SUM(K81:K83)</f>
        <v>0</v>
      </c>
      <c r="L84" s="376">
        <f>SUM(L81:L83)</f>
        <v>0</v>
      </c>
      <c r="M84" s="377">
        <f>SUM(M81:M83)</f>
        <v>0</v>
      </c>
      <c r="N84" s="377">
        <f>SUM(N81:N83)</f>
        <v>0</v>
      </c>
      <c r="O84" s="378">
        <f>SUM(O81:O83)</f>
        <v>0</v>
      </c>
      <c r="P84" s="325">
        <f t="shared" si="29"/>
        <v>0</v>
      </c>
    </row>
    <row r="85" spans="2:16" ht="15">
      <c r="B85" s="324">
        <v>14</v>
      </c>
      <c r="C85" s="363">
        <f>IF(P88&lt;&gt;0,VLOOKUP($D$7,Info_County_Code,2,FALSE),"")</f>
      </c>
      <c r="D85" s="204"/>
      <c r="E85" s="68"/>
      <c r="F85" s="68"/>
      <c r="G85" s="68"/>
      <c r="H85" s="57"/>
      <c r="I85" s="57"/>
      <c r="J85" s="364">
        <f>IF(NOT(ISBLANK(D85)),$J$29,"")</f>
      </c>
      <c r="K85" s="59"/>
      <c r="L85" s="59"/>
      <c r="M85" s="57"/>
      <c r="N85" s="57"/>
      <c r="O85" s="64"/>
      <c r="P85" s="295">
        <f t="shared" si="29"/>
        <v>0</v>
      </c>
    </row>
    <row r="86" spans="2:16" ht="15">
      <c r="B86" s="324">
        <v>14</v>
      </c>
      <c r="C86" s="365">
        <f aca="true" t="shared" si="45" ref="C86:I86">IF(ISBLANK(C85),"",C85)</f>
      </c>
      <c r="D86" s="366">
        <f t="shared" si="45"/>
      </c>
      <c r="E86" s="367">
        <f t="shared" si="45"/>
      </c>
      <c r="F86" s="367">
        <f t="shared" si="45"/>
      </c>
      <c r="G86" s="367">
        <f t="shared" si="45"/>
      </c>
      <c r="H86" s="368">
        <f t="shared" si="45"/>
      </c>
      <c r="I86" s="368">
        <f t="shared" si="45"/>
      </c>
      <c r="J86" s="323">
        <f>IF(NOT(ISBLANK(D85)),$J$30,"")</f>
      </c>
      <c r="K86" s="59"/>
      <c r="L86" s="59"/>
      <c r="M86" s="57"/>
      <c r="N86" s="57"/>
      <c r="O86" s="64"/>
      <c r="P86" s="295">
        <f t="shared" si="29"/>
        <v>0</v>
      </c>
    </row>
    <row r="87" spans="2:16" ht="15">
      <c r="B87" s="324">
        <v>14</v>
      </c>
      <c r="C87" s="365">
        <f aca="true" t="shared" si="46" ref="C87:I87">IF(ISBLANK(C85),"",C85)</f>
      </c>
      <c r="D87" s="369">
        <f t="shared" si="46"/>
      </c>
      <c r="E87" s="370">
        <f t="shared" si="46"/>
      </c>
      <c r="F87" s="370">
        <f t="shared" si="46"/>
      </c>
      <c r="G87" s="370">
        <f t="shared" si="46"/>
      </c>
      <c r="H87" s="323">
        <f t="shared" si="46"/>
      </c>
      <c r="I87" s="323">
        <f t="shared" si="46"/>
      </c>
      <c r="J87" s="323">
        <f>IF(NOT(ISBLANK(D85)),$J$31,"")</f>
      </c>
      <c r="K87" s="59"/>
      <c r="L87" s="59"/>
      <c r="M87" s="57"/>
      <c r="N87" s="57"/>
      <c r="O87" s="64"/>
      <c r="P87" s="295">
        <f t="shared" si="29"/>
        <v>0</v>
      </c>
    </row>
    <row r="88" spans="2:16" ht="15.75">
      <c r="B88" s="371">
        <v>14</v>
      </c>
      <c r="C88" s="372">
        <f aca="true" t="shared" si="47" ref="C88:I88">IF(ISBLANK(C85),"",C85)</f>
      </c>
      <c r="D88" s="373">
        <f t="shared" si="47"/>
      </c>
      <c r="E88" s="374">
        <f t="shared" si="47"/>
      </c>
      <c r="F88" s="374">
        <f t="shared" si="47"/>
      </c>
      <c r="G88" s="374">
        <f t="shared" si="47"/>
      </c>
      <c r="H88" s="375">
        <f t="shared" si="47"/>
      </c>
      <c r="I88" s="375">
        <f t="shared" si="47"/>
      </c>
      <c r="J88" s="325">
        <f>IF(NOT(ISBLANK(D85)),$J$32,"")</f>
      </c>
      <c r="K88" s="376">
        <f>SUM(K85:K87)</f>
        <v>0</v>
      </c>
      <c r="L88" s="376">
        <f>SUM(L85:L87)</f>
        <v>0</v>
      </c>
      <c r="M88" s="377">
        <f>SUM(M85:M87)</f>
        <v>0</v>
      </c>
      <c r="N88" s="377">
        <f>SUM(N85:N87)</f>
        <v>0</v>
      </c>
      <c r="O88" s="378">
        <f>SUM(O85:O87)</f>
        <v>0</v>
      </c>
      <c r="P88" s="325">
        <f t="shared" si="29"/>
        <v>0</v>
      </c>
    </row>
    <row r="89" spans="2:16" ht="15">
      <c r="B89" s="324">
        <v>15</v>
      </c>
      <c r="C89" s="363">
        <f>IF(P92&lt;&gt;0,VLOOKUP($D$7,Info_County_Code,2,FALSE),"")</f>
      </c>
      <c r="D89" s="204"/>
      <c r="E89" s="68"/>
      <c r="F89" s="68"/>
      <c r="G89" s="68"/>
      <c r="H89" s="57"/>
      <c r="I89" s="57"/>
      <c r="J89" s="364">
        <f>IF(NOT(ISBLANK(D89)),$J$29,"")</f>
      </c>
      <c r="K89" s="59"/>
      <c r="L89" s="59"/>
      <c r="M89" s="57"/>
      <c r="N89" s="57"/>
      <c r="O89" s="64"/>
      <c r="P89" s="295">
        <f aca="true" t="shared" si="48" ref="P89:P132">SUM(K89:O89)</f>
        <v>0</v>
      </c>
    </row>
    <row r="90" spans="2:16" ht="15">
      <c r="B90" s="324">
        <v>15</v>
      </c>
      <c r="C90" s="365">
        <f aca="true" t="shared" si="49" ref="C90:I90">IF(ISBLANK(C89),"",C89)</f>
      </c>
      <c r="D90" s="366">
        <f t="shared" si="49"/>
      </c>
      <c r="E90" s="367">
        <f t="shared" si="49"/>
      </c>
      <c r="F90" s="367">
        <f t="shared" si="49"/>
      </c>
      <c r="G90" s="367">
        <f t="shared" si="49"/>
      </c>
      <c r="H90" s="368">
        <f t="shared" si="49"/>
      </c>
      <c r="I90" s="368">
        <f t="shared" si="49"/>
      </c>
      <c r="J90" s="323">
        <f>IF(NOT(ISBLANK(D89)),$J$30,"")</f>
      </c>
      <c r="K90" s="59"/>
      <c r="L90" s="59"/>
      <c r="M90" s="57"/>
      <c r="N90" s="57"/>
      <c r="O90" s="64"/>
      <c r="P90" s="295">
        <f t="shared" si="48"/>
        <v>0</v>
      </c>
    </row>
    <row r="91" spans="2:16" ht="15">
      <c r="B91" s="324">
        <v>15</v>
      </c>
      <c r="C91" s="365">
        <f aca="true" t="shared" si="50" ref="C91:I91">IF(ISBLANK(C89),"",C89)</f>
      </c>
      <c r="D91" s="369">
        <f t="shared" si="50"/>
      </c>
      <c r="E91" s="370">
        <f t="shared" si="50"/>
      </c>
      <c r="F91" s="370">
        <f t="shared" si="50"/>
      </c>
      <c r="G91" s="370">
        <f t="shared" si="50"/>
      </c>
      <c r="H91" s="323">
        <f t="shared" si="50"/>
      </c>
      <c r="I91" s="323">
        <f t="shared" si="50"/>
      </c>
      <c r="J91" s="323">
        <f>IF(NOT(ISBLANK(D89)),$J$31,"")</f>
      </c>
      <c r="K91" s="59"/>
      <c r="L91" s="59"/>
      <c r="M91" s="57"/>
      <c r="N91" s="57"/>
      <c r="O91" s="64"/>
      <c r="P91" s="295">
        <f t="shared" si="48"/>
        <v>0</v>
      </c>
    </row>
    <row r="92" spans="2:16" ht="15.75">
      <c r="B92" s="371">
        <v>15</v>
      </c>
      <c r="C92" s="372">
        <f aca="true" t="shared" si="51" ref="C92:I92">IF(ISBLANK(C89),"",C89)</f>
      </c>
      <c r="D92" s="379">
        <f t="shared" si="51"/>
      </c>
      <c r="E92" s="380">
        <f t="shared" si="51"/>
      </c>
      <c r="F92" s="380">
        <f t="shared" si="51"/>
      </c>
      <c r="G92" s="380">
        <f t="shared" si="51"/>
      </c>
      <c r="H92" s="325">
        <f t="shared" si="51"/>
      </c>
      <c r="I92" s="325">
        <f t="shared" si="51"/>
      </c>
      <c r="J92" s="325">
        <f>IF(NOT(ISBLANK(D89)),$J$32,"")</f>
      </c>
      <c r="K92" s="381">
        <f>SUM(K89:K91)</f>
        <v>0</v>
      </c>
      <c r="L92" s="381">
        <f>SUM(L89:L91)</f>
        <v>0</v>
      </c>
      <c r="M92" s="382">
        <f>SUM(M89:M91)</f>
        <v>0</v>
      </c>
      <c r="N92" s="382">
        <f>SUM(N89:N91)</f>
        <v>0</v>
      </c>
      <c r="O92" s="383">
        <f>SUM(O89:O91)</f>
        <v>0</v>
      </c>
      <c r="P92" s="325">
        <f t="shared" si="48"/>
        <v>0</v>
      </c>
    </row>
    <row r="93" spans="2:16" ht="15">
      <c r="B93" s="324">
        <v>16</v>
      </c>
      <c r="C93" s="363">
        <f>IF(P96&lt;&gt;0,VLOOKUP($D$7,Info_County_Code,2,FALSE),"")</f>
      </c>
      <c r="D93" s="204"/>
      <c r="E93" s="68"/>
      <c r="F93" s="68"/>
      <c r="G93" s="68"/>
      <c r="H93" s="57"/>
      <c r="I93" s="57"/>
      <c r="J93" s="364">
        <f>IF(NOT(ISBLANK(D93)),$J$29,"")</f>
      </c>
      <c r="K93" s="59"/>
      <c r="L93" s="59"/>
      <c r="M93" s="57"/>
      <c r="N93" s="57"/>
      <c r="O93" s="64"/>
      <c r="P93" s="295">
        <f t="shared" si="48"/>
        <v>0</v>
      </c>
    </row>
    <row r="94" spans="2:16" ht="15">
      <c r="B94" s="324">
        <v>16</v>
      </c>
      <c r="C94" s="365">
        <f aca="true" t="shared" si="52" ref="C94:I94">IF(ISBLANK(C93),"",C93)</f>
      </c>
      <c r="D94" s="366">
        <f t="shared" si="52"/>
      </c>
      <c r="E94" s="367">
        <f t="shared" si="52"/>
      </c>
      <c r="F94" s="367">
        <f t="shared" si="52"/>
      </c>
      <c r="G94" s="367">
        <f t="shared" si="52"/>
      </c>
      <c r="H94" s="368">
        <f t="shared" si="52"/>
      </c>
      <c r="I94" s="368">
        <f t="shared" si="52"/>
      </c>
      <c r="J94" s="323">
        <f>IF(NOT(ISBLANK(D93)),$J$30,"")</f>
      </c>
      <c r="K94" s="59"/>
      <c r="L94" s="59"/>
      <c r="M94" s="57"/>
      <c r="N94" s="57"/>
      <c r="O94" s="64"/>
      <c r="P94" s="295">
        <f t="shared" si="48"/>
        <v>0</v>
      </c>
    </row>
    <row r="95" spans="2:16" ht="15">
      <c r="B95" s="324">
        <v>16</v>
      </c>
      <c r="C95" s="365">
        <f aca="true" t="shared" si="53" ref="C95:I95">IF(ISBLANK(C93),"",C93)</f>
      </c>
      <c r="D95" s="369">
        <f t="shared" si="53"/>
      </c>
      <c r="E95" s="370">
        <f t="shared" si="53"/>
      </c>
      <c r="F95" s="370">
        <f t="shared" si="53"/>
      </c>
      <c r="G95" s="370">
        <f t="shared" si="53"/>
      </c>
      <c r="H95" s="323">
        <f t="shared" si="53"/>
      </c>
      <c r="I95" s="323">
        <f t="shared" si="53"/>
      </c>
      <c r="J95" s="323">
        <f>IF(NOT(ISBLANK(D93)),$J$31,"")</f>
      </c>
      <c r="K95" s="59"/>
      <c r="L95" s="59"/>
      <c r="M95" s="57"/>
      <c r="N95" s="57"/>
      <c r="O95" s="64"/>
      <c r="P95" s="295">
        <f t="shared" si="48"/>
        <v>0</v>
      </c>
    </row>
    <row r="96" spans="2:16" ht="15.75">
      <c r="B96" s="371">
        <v>16</v>
      </c>
      <c r="C96" s="372">
        <f aca="true" t="shared" si="54" ref="C96:I96">IF(ISBLANK(C93),"",C93)</f>
      </c>
      <c r="D96" s="379">
        <f t="shared" si="54"/>
      </c>
      <c r="E96" s="380">
        <f t="shared" si="54"/>
      </c>
      <c r="F96" s="380">
        <f t="shared" si="54"/>
      </c>
      <c r="G96" s="380">
        <f t="shared" si="54"/>
      </c>
      <c r="H96" s="325">
        <f t="shared" si="54"/>
      </c>
      <c r="I96" s="325">
        <f t="shared" si="54"/>
      </c>
      <c r="J96" s="325">
        <f>IF(NOT(ISBLANK(D93)),$J$32,"")</f>
      </c>
      <c r="K96" s="381">
        <f>SUM(K93:K95)</f>
        <v>0</v>
      </c>
      <c r="L96" s="381">
        <f>SUM(L93:L95)</f>
        <v>0</v>
      </c>
      <c r="M96" s="382">
        <f>SUM(M93:M95)</f>
        <v>0</v>
      </c>
      <c r="N96" s="382">
        <f>SUM(N93:N95)</f>
        <v>0</v>
      </c>
      <c r="O96" s="383">
        <f>SUM(O93:O95)</f>
        <v>0</v>
      </c>
      <c r="P96" s="325">
        <f t="shared" si="48"/>
        <v>0</v>
      </c>
    </row>
    <row r="97" spans="2:16" ht="15">
      <c r="B97" s="324">
        <v>17</v>
      </c>
      <c r="C97" s="363">
        <f>IF(P100&lt;&gt;0,VLOOKUP($D$7,Info_County_Code,2,FALSE),"")</f>
      </c>
      <c r="D97" s="204"/>
      <c r="E97" s="68"/>
      <c r="F97" s="68"/>
      <c r="G97" s="68"/>
      <c r="H97" s="57"/>
      <c r="I97" s="57"/>
      <c r="J97" s="364">
        <f>IF(NOT(ISBLANK(D97)),$J$29,"")</f>
      </c>
      <c r="K97" s="59"/>
      <c r="L97" s="59"/>
      <c r="M97" s="57"/>
      <c r="N97" s="57"/>
      <c r="O97" s="64"/>
      <c r="P97" s="295">
        <f t="shared" si="48"/>
        <v>0</v>
      </c>
    </row>
    <row r="98" spans="2:16" ht="15">
      <c r="B98" s="324">
        <v>17</v>
      </c>
      <c r="C98" s="365">
        <f aca="true" t="shared" si="55" ref="C98:I98">IF(ISBLANK(C97),"",C97)</f>
      </c>
      <c r="D98" s="366">
        <f t="shared" si="55"/>
      </c>
      <c r="E98" s="367">
        <f t="shared" si="55"/>
      </c>
      <c r="F98" s="367">
        <f t="shared" si="55"/>
      </c>
      <c r="G98" s="367">
        <f t="shared" si="55"/>
      </c>
      <c r="H98" s="368">
        <f t="shared" si="55"/>
      </c>
      <c r="I98" s="368">
        <f t="shared" si="55"/>
      </c>
      <c r="J98" s="323">
        <f>IF(NOT(ISBLANK(D97)),$J$30,"")</f>
      </c>
      <c r="K98" s="59"/>
      <c r="L98" s="59"/>
      <c r="M98" s="57"/>
      <c r="N98" s="57"/>
      <c r="O98" s="64"/>
      <c r="P98" s="295">
        <f t="shared" si="48"/>
        <v>0</v>
      </c>
    </row>
    <row r="99" spans="2:16" ht="15">
      <c r="B99" s="324">
        <v>17</v>
      </c>
      <c r="C99" s="365">
        <f aca="true" t="shared" si="56" ref="C99:I99">IF(ISBLANK(C97),"",C97)</f>
      </c>
      <c r="D99" s="369">
        <f t="shared" si="56"/>
      </c>
      <c r="E99" s="370">
        <f t="shared" si="56"/>
      </c>
      <c r="F99" s="370">
        <f t="shared" si="56"/>
      </c>
      <c r="G99" s="370">
        <f t="shared" si="56"/>
      </c>
      <c r="H99" s="323">
        <f t="shared" si="56"/>
      </c>
      <c r="I99" s="323">
        <f t="shared" si="56"/>
      </c>
      <c r="J99" s="323">
        <f>IF(NOT(ISBLANK(D97)),$J$31,"")</f>
      </c>
      <c r="K99" s="59"/>
      <c r="L99" s="59"/>
      <c r="M99" s="57"/>
      <c r="N99" s="57"/>
      <c r="O99" s="64"/>
      <c r="P99" s="295">
        <f t="shared" si="48"/>
        <v>0</v>
      </c>
    </row>
    <row r="100" spans="2:16" ht="15.75">
      <c r="B100" s="371">
        <v>17</v>
      </c>
      <c r="C100" s="372">
        <f aca="true" t="shared" si="57" ref="C100:I100">IF(ISBLANK(C97),"",C97)</f>
      </c>
      <c r="D100" s="379">
        <f t="shared" si="57"/>
      </c>
      <c r="E100" s="380">
        <f t="shared" si="57"/>
      </c>
      <c r="F100" s="380">
        <f t="shared" si="57"/>
      </c>
      <c r="G100" s="380">
        <f t="shared" si="57"/>
      </c>
      <c r="H100" s="325">
        <f t="shared" si="57"/>
      </c>
      <c r="I100" s="325">
        <f t="shared" si="57"/>
      </c>
      <c r="J100" s="325">
        <f>IF(NOT(ISBLANK(D97)),$J$32,"")</f>
      </c>
      <c r="K100" s="381">
        <f>SUM(K97:K99)</f>
        <v>0</v>
      </c>
      <c r="L100" s="381">
        <f>SUM(L97:L99)</f>
        <v>0</v>
      </c>
      <c r="M100" s="382">
        <f>SUM(M97:M99)</f>
        <v>0</v>
      </c>
      <c r="N100" s="382">
        <f>SUM(N97:N99)</f>
        <v>0</v>
      </c>
      <c r="O100" s="383">
        <f>SUM(O97:O99)</f>
        <v>0</v>
      </c>
      <c r="P100" s="325">
        <f t="shared" si="48"/>
        <v>0</v>
      </c>
    </row>
    <row r="101" spans="2:16" ht="15">
      <c r="B101" s="324">
        <v>18</v>
      </c>
      <c r="C101" s="363">
        <f>IF(P104&lt;&gt;0,VLOOKUP($D$7,Info_County_Code,2,FALSE),"")</f>
      </c>
      <c r="D101" s="204"/>
      <c r="E101" s="68"/>
      <c r="F101" s="68"/>
      <c r="G101" s="68"/>
      <c r="H101" s="57"/>
      <c r="I101" s="57"/>
      <c r="J101" s="364">
        <f>IF(NOT(ISBLANK(D101)),$J$29,"")</f>
      </c>
      <c r="K101" s="59"/>
      <c r="L101" s="59"/>
      <c r="M101" s="57"/>
      <c r="N101" s="57"/>
      <c r="O101" s="64"/>
      <c r="P101" s="295">
        <f>SUM(K101:O101)</f>
        <v>0</v>
      </c>
    </row>
    <row r="102" spans="2:16" ht="15">
      <c r="B102" s="324">
        <v>18</v>
      </c>
      <c r="C102" s="365">
        <f aca="true" t="shared" si="58" ref="C102:I102">IF(ISBLANK(C101),"",C101)</f>
      </c>
      <c r="D102" s="366">
        <f t="shared" si="58"/>
      </c>
      <c r="E102" s="367">
        <f t="shared" si="58"/>
      </c>
      <c r="F102" s="367">
        <f t="shared" si="58"/>
      </c>
      <c r="G102" s="367">
        <f t="shared" si="58"/>
      </c>
      <c r="H102" s="368">
        <f t="shared" si="58"/>
      </c>
      <c r="I102" s="368">
        <f t="shared" si="58"/>
      </c>
      <c r="J102" s="323">
        <f>IF(NOT(ISBLANK(D101)),$J$30,"")</f>
      </c>
      <c r="K102" s="59"/>
      <c r="L102" s="59"/>
      <c r="M102" s="57"/>
      <c r="N102" s="57"/>
      <c r="O102" s="64"/>
      <c r="P102" s="295">
        <f>SUM(K102:O102)</f>
        <v>0</v>
      </c>
    </row>
    <row r="103" spans="2:16" ht="15">
      <c r="B103" s="324">
        <v>18</v>
      </c>
      <c r="C103" s="365">
        <f aca="true" t="shared" si="59" ref="C103:I103">IF(ISBLANK(C101),"",C101)</f>
      </c>
      <c r="D103" s="369">
        <f t="shared" si="59"/>
      </c>
      <c r="E103" s="370">
        <f t="shared" si="59"/>
      </c>
      <c r="F103" s="370">
        <f t="shared" si="59"/>
      </c>
      <c r="G103" s="370">
        <f t="shared" si="59"/>
      </c>
      <c r="H103" s="323">
        <f t="shared" si="59"/>
      </c>
      <c r="I103" s="323">
        <f t="shared" si="59"/>
      </c>
      <c r="J103" s="323">
        <f>IF(NOT(ISBLANK(D101)),$J$31,"")</f>
      </c>
      <c r="K103" s="59"/>
      <c r="L103" s="59"/>
      <c r="M103" s="57"/>
      <c r="N103" s="57"/>
      <c r="O103" s="64"/>
      <c r="P103" s="295">
        <f>SUM(K103:O103)</f>
        <v>0</v>
      </c>
    </row>
    <row r="104" spans="2:16" ht="15.75">
      <c r="B104" s="371">
        <v>18</v>
      </c>
      <c r="C104" s="372">
        <f aca="true" t="shared" si="60" ref="C104:I104">IF(ISBLANK(C101),"",C101)</f>
      </c>
      <c r="D104" s="379">
        <f t="shared" si="60"/>
      </c>
      <c r="E104" s="380">
        <f t="shared" si="60"/>
      </c>
      <c r="F104" s="380">
        <f t="shared" si="60"/>
      </c>
      <c r="G104" s="380">
        <f t="shared" si="60"/>
      </c>
      <c r="H104" s="325">
        <f t="shared" si="60"/>
      </c>
      <c r="I104" s="325">
        <f t="shared" si="60"/>
      </c>
      <c r="J104" s="325">
        <f>IF(NOT(ISBLANK(D101)),$J$32,"")</f>
      </c>
      <c r="K104" s="381">
        <f>SUM(K101:K103)</f>
        <v>0</v>
      </c>
      <c r="L104" s="381">
        <f>SUM(L101:L103)</f>
        <v>0</v>
      </c>
      <c r="M104" s="382">
        <f>SUM(M101:M103)</f>
        <v>0</v>
      </c>
      <c r="N104" s="382">
        <f>SUM(N101:N103)</f>
        <v>0</v>
      </c>
      <c r="O104" s="383">
        <f>SUM(O101:O103)</f>
        <v>0</v>
      </c>
      <c r="P104" s="325">
        <f>SUM(K104:O104)</f>
        <v>0</v>
      </c>
    </row>
    <row r="105" spans="2:16" ht="15">
      <c r="B105" s="324">
        <v>19</v>
      </c>
      <c r="C105" s="363">
        <f>IF(P108&lt;&gt;0,VLOOKUP($D$7,Info_County_Code,2,FALSE),"")</f>
      </c>
      <c r="D105" s="204"/>
      <c r="E105" s="68"/>
      <c r="F105" s="68"/>
      <c r="G105" s="68"/>
      <c r="H105" s="57"/>
      <c r="I105" s="57"/>
      <c r="J105" s="364">
        <f>IF(NOT(ISBLANK(D105)),$J$29,"")</f>
      </c>
      <c r="K105" s="59"/>
      <c r="L105" s="59"/>
      <c r="M105" s="57"/>
      <c r="N105" s="57"/>
      <c r="O105" s="64"/>
      <c r="P105" s="295">
        <f t="shared" si="48"/>
        <v>0</v>
      </c>
    </row>
    <row r="106" spans="2:16" ht="15">
      <c r="B106" s="324">
        <v>19</v>
      </c>
      <c r="C106" s="365">
        <f aca="true" t="shared" si="61" ref="C106:I106">IF(ISBLANK(C105),"",C105)</f>
      </c>
      <c r="D106" s="366">
        <f t="shared" si="61"/>
      </c>
      <c r="E106" s="367">
        <f t="shared" si="61"/>
      </c>
      <c r="F106" s="367">
        <f t="shared" si="61"/>
      </c>
      <c r="G106" s="367">
        <f t="shared" si="61"/>
      </c>
      <c r="H106" s="368">
        <f t="shared" si="61"/>
      </c>
      <c r="I106" s="368">
        <f t="shared" si="61"/>
      </c>
      <c r="J106" s="323">
        <f>IF(NOT(ISBLANK(D105)),$J$30,"")</f>
      </c>
      <c r="K106" s="59"/>
      <c r="L106" s="59"/>
      <c r="M106" s="57"/>
      <c r="N106" s="57"/>
      <c r="O106" s="64"/>
      <c r="P106" s="295">
        <f t="shared" si="48"/>
        <v>0</v>
      </c>
    </row>
    <row r="107" spans="2:16" ht="15">
      <c r="B107" s="324">
        <v>19</v>
      </c>
      <c r="C107" s="365">
        <f aca="true" t="shared" si="62" ref="C107:I107">IF(ISBLANK(C105),"",C105)</f>
      </c>
      <c r="D107" s="369">
        <f t="shared" si="62"/>
      </c>
      <c r="E107" s="370">
        <f t="shared" si="62"/>
      </c>
      <c r="F107" s="370">
        <f t="shared" si="62"/>
      </c>
      <c r="G107" s="370">
        <f t="shared" si="62"/>
      </c>
      <c r="H107" s="323">
        <f t="shared" si="62"/>
      </c>
      <c r="I107" s="323">
        <f t="shared" si="62"/>
      </c>
      <c r="J107" s="323">
        <f>IF(NOT(ISBLANK(D105)),$J$31,"")</f>
      </c>
      <c r="K107" s="59"/>
      <c r="L107" s="59"/>
      <c r="M107" s="57"/>
      <c r="N107" s="57"/>
      <c r="O107" s="64"/>
      <c r="P107" s="295">
        <f t="shared" si="48"/>
        <v>0</v>
      </c>
    </row>
    <row r="108" spans="2:16" ht="15.75">
      <c r="B108" s="371">
        <v>19</v>
      </c>
      <c r="C108" s="372">
        <f aca="true" t="shared" si="63" ref="C108:I108">IF(ISBLANK(C105),"",C105)</f>
      </c>
      <c r="D108" s="379">
        <f t="shared" si="63"/>
      </c>
      <c r="E108" s="380">
        <f t="shared" si="63"/>
      </c>
      <c r="F108" s="380">
        <f t="shared" si="63"/>
      </c>
      <c r="G108" s="380">
        <f t="shared" si="63"/>
      </c>
      <c r="H108" s="325">
        <f t="shared" si="63"/>
      </c>
      <c r="I108" s="325">
        <f t="shared" si="63"/>
      </c>
      <c r="J108" s="325">
        <f>IF(NOT(ISBLANK(D105)),$J$32,"")</f>
      </c>
      <c r="K108" s="381">
        <f>SUM(K105:K107)</f>
        <v>0</v>
      </c>
      <c r="L108" s="381">
        <f>SUM(L105:L107)</f>
        <v>0</v>
      </c>
      <c r="M108" s="382">
        <f>SUM(M105:M107)</f>
        <v>0</v>
      </c>
      <c r="N108" s="382">
        <f>SUM(N105:N107)</f>
        <v>0</v>
      </c>
      <c r="O108" s="383">
        <f>SUM(O105:O107)</f>
        <v>0</v>
      </c>
      <c r="P108" s="325">
        <f t="shared" si="48"/>
        <v>0</v>
      </c>
    </row>
    <row r="109" spans="2:16" ht="15">
      <c r="B109" s="324">
        <v>20</v>
      </c>
      <c r="C109" s="363">
        <f>IF(P112&lt;&gt;0,VLOOKUP($D$7,Info_County_Code,2,FALSE),"")</f>
      </c>
      <c r="D109" s="204"/>
      <c r="E109" s="68"/>
      <c r="F109" s="68"/>
      <c r="G109" s="68"/>
      <c r="H109" s="57"/>
      <c r="I109" s="57"/>
      <c r="J109" s="364">
        <f>IF(NOT(ISBLANK(D109)),$J$29,"")</f>
      </c>
      <c r="K109" s="59"/>
      <c r="L109" s="59"/>
      <c r="M109" s="57"/>
      <c r="N109" s="57"/>
      <c r="O109" s="64"/>
      <c r="P109" s="295">
        <f>SUM(K109:O109)</f>
        <v>0</v>
      </c>
    </row>
    <row r="110" spans="2:16" ht="15">
      <c r="B110" s="324">
        <v>20</v>
      </c>
      <c r="C110" s="365">
        <f aca="true" t="shared" si="64" ref="C110:I110">IF(ISBLANK(C109),"",C109)</f>
      </c>
      <c r="D110" s="366">
        <f t="shared" si="64"/>
      </c>
      <c r="E110" s="367">
        <f t="shared" si="64"/>
      </c>
      <c r="F110" s="367">
        <f t="shared" si="64"/>
      </c>
      <c r="G110" s="367">
        <f t="shared" si="64"/>
      </c>
      <c r="H110" s="368">
        <f t="shared" si="64"/>
      </c>
      <c r="I110" s="368">
        <f t="shared" si="64"/>
      </c>
      <c r="J110" s="323">
        <f>IF(NOT(ISBLANK(D109)),$J$30,"")</f>
      </c>
      <c r="K110" s="59"/>
      <c r="L110" s="59"/>
      <c r="M110" s="57"/>
      <c r="N110" s="57"/>
      <c r="O110" s="64"/>
      <c r="P110" s="295">
        <f>SUM(K110:O110)</f>
        <v>0</v>
      </c>
    </row>
    <row r="111" spans="2:16" ht="15">
      <c r="B111" s="324">
        <v>20</v>
      </c>
      <c r="C111" s="365">
        <f aca="true" t="shared" si="65" ref="C111:I111">IF(ISBLANK(C109),"",C109)</f>
      </c>
      <c r="D111" s="369">
        <f t="shared" si="65"/>
      </c>
      <c r="E111" s="370">
        <f t="shared" si="65"/>
      </c>
      <c r="F111" s="370">
        <f t="shared" si="65"/>
      </c>
      <c r="G111" s="370">
        <f t="shared" si="65"/>
      </c>
      <c r="H111" s="323">
        <f t="shared" si="65"/>
      </c>
      <c r="I111" s="323">
        <f t="shared" si="65"/>
      </c>
      <c r="J111" s="323">
        <f>IF(NOT(ISBLANK(D109)),$J$31,"")</f>
      </c>
      <c r="K111" s="59"/>
      <c r="L111" s="59"/>
      <c r="M111" s="57"/>
      <c r="N111" s="57"/>
      <c r="O111" s="64"/>
      <c r="P111" s="295">
        <f>SUM(K111:O111)</f>
        <v>0</v>
      </c>
    </row>
    <row r="112" spans="2:16" ht="15.75">
      <c r="B112" s="371">
        <v>20</v>
      </c>
      <c r="C112" s="372">
        <f aca="true" t="shared" si="66" ref="C112:I112">IF(ISBLANK(C109),"",C109)</f>
      </c>
      <c r="D112" s="379">
        <f t="shared" si="66"/>
      </c>
      <c r="E112" s="380">
        <f t="shared" si="66"/>
      </c>
      <c r="F112" s="380">
        <f t="shared" si="66"/>
      </c>
      <c r="G112" s="380">
        <f t="shared" si="66"/>
      </c>
      <c r="H112" s="325">
        <f t="shared" si="66"/>
      </c>
      <c r="I112" s="325">
        <f t="shared" si="66"/>
      </c>
      <c r="J112" s="325">
        <f>IF(NOT(ISBLANK(D109)),$J$32,"")</f>
      </c>
      <c r="K112" s="381">
        <f>SUM(K109:K111)</f>
        <v>0</v>
      </c>
      <c r="L112" s="381">
        <f>SUM(L109:L111)</f>
        <v>0</v>
      </c>
      <c r="M112" s="382">
        <f>SUM(M109:M111)</f>
        <v>0</v>
      </c>
      <c r="N112" s="382">
        <f>SUM(N109:N111)</f>
        <v>0</v>
      </c>
      <c r="O112" s="383">
        <f>SUM(O109:O111)</f>
        <v>0</v>
      </c>
      <c r="P112" s="325">
        <f>SUM(K112:O112)</f>
        <v>0</v>
      </c>
    </row>
    <row r="113" spans="2:16" ht="15">
      <c r="B113" s="324">
        <v>21</v>
      </c>
      <c r="C113" s="363">
        <f>IF(P116&lt;&gt;0,VLOOKUP($D$7,Info_County_Code,2,FALSE),"")</f>
      </c>
      <c r="D113" s="204"/>
      <c r="E113" s="68"/>
      <c r="F113" s="68"/>
      <c r="G113" s="68"/>
      <c r="H113" s="57"/>
      <c r="I113" s="57"/>
      <c r="J113" s="364">
        <f>IF(NOT(ISBLANK(D113)),$J$29,"")</f>
      </c>
      <c r="K113" s="59"/>
      <c r="L113" s="59"/>
      <c r="M113" s="57"/>
      <c r="N113" s="57"/>
      <c r="O113" s="64"/>
      <c r="P113" s="295">
        <f t="shared" si="48"/>
        <v>0</v>
      </c>
    </row>
    <row r="114" spans="2:16" ht="15">
      <c r="B114" s="324">
        <v>21</v>
      </c>
      <c r="C114" s="365">
        <f aca="true" t="shared" si="67" ref="C114:I114">IF(ISBLANK(C113),"",C113)</f>
      </c>
      <c r="D114" s="366">
        <f t="shared" si="67"/>
      </c>
      <c r="E114" s="367">
        <f t="shared" si="67"/>
      </c>
      <c r="F114" s="367">
        <f t="shared" si="67"/>
      </c>
      <c r="G114" s="367">
        <f t="shared" si="67"/>
      </c>
      <c r="H114" s="368">
        <f t="shared" si="67"/>
      </c>
      <c r="I114" s="368">
        <f t="shared" si="67"/>
      </c>
      <c r="J114" s="323">
        <f>IF(NOT(ISBLANK(D113)),$J$30,"")</f>
      </c>
      <c r="K114" s="59"/>
      <c r="L114" s="59"/>
      <c r="M114" s="57"/>
      <c r="N114" s="57"/>
      <c r="O114" s="64"/>
      <c r="P114" s="295">
        <f t="shared" si="48"/>
        <v>0</v>
      </c>
    </row>
    <row r="115" spans="2:16" ht="15">
      <c r="B115" s="324">
        <v>21</v>
      </c>
      <c r="C115" s="365">
        <f aca="true" t="shared" si="68" ref="C115:I115">IF(ISBLANK(C113),"",C113)</f>
      </c>
      <c r="D115" s="369">
        <f t="shared" si="68"/>
      </c>
      <c r="E115" s="370">
        <f t="shared" si="68"/>
      </c>
      <c r="F115" s="370">
        <f t="shared" si="68"/>
      </c>
      <c r="G115" s="370">
        <f t="shared" si="68"/>
      </c>
      <c r="H115" s="323">
        <f t="shared" si="68"/>
      </c>
      <c r="I115" s="323">
        <f t="shared" si="68"/>
      </c>
      <c r="J115" s="323">
        <f>IF(NOT(ISBLANK(D113)),$J$31,"")</f>
      </c>
      <c r="K115" s="59"/>
      <c r="L115" s="59"/>
      <c r="M115" s="57"/>
      <c r="N115" s="57"/>
      <c r="O115" s="64"/>
      <c r="P115" s="295">
        <f t="shared" si="48"/>
        <v>0</v>
      </c>
    </row>
    <row r="116" spans="2:16" ht="15.75">
      <c r="B116" s="371">
        <v>21</v>
      </c>
      <c r="C116" s="372">
        <f aca="true" t="shared" si="69" ref="C116:I116">IF(ISBLANK(C113),"",C113)</f>
      </c>
      <c r="D116" s="379">
        <f t="shared" si="69"/>
      </c>
      <c r="E116" s="380">
        <f t="shared" si="69"/>
      </c>
      <c r="F116" s="380">
        <f t="shared" si="69"/>
      </c>
      <c r="G116" s="380">
        <f t="shared" si="69"/>
      </c>
      <c r="H116" s="325">
        <f t="shared" si="69"/>
      </c>
      <c r="I116" s="325">
        <f t="shared" si="69"/>
      </c>
      <c r="J116" s="325">
        <f>IF(NOT(ISBLANK(D113)),$J$32,"")</f>
      </c>
      <c r="K116" s="381">
        <f>SUM(K113:K115)</f>
        <v>0</v>
      </c>
      <c r="L116" s="381">
        <f>SUM(L113:L115)</f>
        <v>0</v>
      </c>
      <c r="M116" s="382">
        <f>SUM(M113:M115)</f>
        <v>0</v>
      </c>
      <c r="N116" s="382">
        <f>SUM(N113:N115)</f>
        <v>0</v>
      </c>
      <c r="O116" s="383">
        <f>SUM(O113:O115)</f>
        <v>0</v>
      </c>
      <c r="P116" s="325">
        <f t="shared" si="48"/>
        <v>0</v>
      </c>
    </row>
    <row r="117" spans="2:16" ht="15">
      <c r="B117" s="324">
        <v>22</v>
      </c>
      <c r="C117" s="363">
        <f>IF(P120&lt;&gt;0,VLOOKUP($D$7,Info_County_Code,2,FALSE),"")</f>
      </c>
      <c r="D117" s="204"/>
      <c r="E117" s="68"/>
      <c r="F117" s="68"/>
      <c r="G117" s="68"/>
      <c r="H117" s="57"/>
      <c r="I117" s="57"/>
      <c r="J117" s="364">
        <f>IF(NOT(ISBLANK(D117)),$J$29,"")</f>
      </c>
      <c r="K117" s="59"/>
      <c r="L117" s="59"/>
      <c r="M117" s="57"/>
      <c r="N117" s="57"/>
      <c r="O117" s="64"/>
      <c r="P117" s="295">
        <f>SUM(K117:O117)</f>
        <v>0</v>
      </c>
    </row>
    <row r="118" spans="2:16" ht="15">
      <c r="B118" s="324">
        <v>22</v>
      </c>
      <c r="C118" s="365">
        <f aca="true" t="shared" si="70" ref="C118:I118">IF(ISBLANK(C117),"",C117)</f>
      </c>
      <c r="D118" s="366">
        <f t="shared" si="70"/>
      </c>
      <c r="E118" s="367">
        <f t="shared" si="70"/>
      </c>
      <c r="F118" s="367">
        <f t="shared" si="70"/>
      </c>
      <c r="G118" s="367">
        <f t="shared" si="70"/>
      </c>
      <c r="H118" s="368">
        <f t="shared" si="70"/>
      </c>
      <c r="I118" s="368">
        <f t="shared" si="70"/>
      </c>
      <c r="J118" s="323">
        <f>IF(NOT(ISBLANK(D117)),$J$30,"")</f>
      </c>
      <c r="K118" s="59"/>
      <c r="L118" s="59"/>
      <c r="M118" s="57"/>
      <c r="N118" s="57"/>
      <c r="O118" s="64"/>
      <c r="P118" s="295">
        <f>SUM(K118:O118)</f>
        <v>0</v>
      </c>
    </row>
    <row r="119" spans="2:16" ht="15">
      <c r="B119" s="324">
        <v>22</v>
      </c>
      <c r="C119" s="365">
        <f aca="true" t="shared" si="71" ref="C119:I119">IF(ISBLANK(C117),"",C117)</f>
      </c>
      <c r="D119" s="369">
        <f t="shared" si="71"/>
      </c>
      <c r="E119" s="370">
        <f t="shared" si="71"/>
      </c>
      <c r="F119" s="370">
        <f t="shared" si="71"/>
      </c>
      <c r="G119" s="370">
        <f t="shared" si="71"/>
      </c>
      <c r="H119" s="323">
        <f t="shared" si="71"/>
      </c>
      <c r="I119" s="323">
        <f t="shared" si="71"/>
      </c>
      <c r="J119" s="323">
        <f>IF(NOT(ISBLANK(D117)),$J$31,"")</f>
      </c>
      <c r="K119" s="59"/>
      <c r="L119" s="59"/>
      <c r="M119" s="57"/>
      <c r="N119" s="57"/>
      <c r="O119" s="64"/>
      <c r="P119" s="295">
        <f>SUM(K119:O119)</f>
        <v>0</v>
      </c>
    </row>
    <row r="120" spans="2:16" ht="15.75">
      <c r="B120" s="371">
        <v>22</v>
      </c>
      <c r="C120" s="372">
        <f aca="true" t="shared" si="72" ref="C120:I120">IF(ISBLANK(C117),"",C117)</f>
      </c>
      <c r="D120" s="379">
        <f t="shared" si="72"/>
      </c>
      <c r="E120" s="380">
        <f t="shared" si="72"/>
      </c>
      <c r="F120" s="380">
        <f t="shared" si="72"/>
      </c>
      <c r="G120" s="380">
        <f t="shared" si="72"/>
      </c>
      <c r="H120" s="325">
        <f t="shared" si="72"/>
      </c>
      <c r="I120" s="325">
        <f t="shared" si="72"/>
      </c>
      <c r="J120" s="325">
        <f>IF(NOT(ISBLANK(D117)),$J$32,"")</f>
      </c>
      <c r="K120" s="381">
        <f>SUM(K117:K119)</f>
        <v>0</v>
      </c>
      <c r="L120" s="381">
        <f>SUM(L117:L119)</f>
        <v>0</v>
      </c>
      <c r="M120" s="382">
        <f>SUM(M117:M119)</f>
        <v>0</v>
      </c>
      <c r="N120" s="382">
        <f>SUM(N117:N119)</f>
        <v>0</v>
      </c>
      <c r="O120" s="383">
        <f>SUM(O117:O119)</f>
        <v>0</v>
      </c>
      <c r="P120" s="325">
        <f>SUM(K120:O120)</f>
        <v>0</v>
      </c>
    </row>
    <row r="121" spans="2:16" ht="15">
      <c r="B121" s="324">
        <v>23</v>
      </c>
      <c r="C121" s="363">
        <f>IF(P124&lt;&gt;0,VLOOKUP($D$7,Info_County_Code,2,FALSE),"")</f>
      </c>
      <c r="D121" s="204"/>
      <c r="E121" s="68"/>
      <c r="F121" s="68"/>
      <c r="G121" s="68"/>
      <c r="H121" s="57"/>
      <c r="I121" s="57"/>
      <c r="J121" s="364">
        <f>IF(NOT(ISBLANK(D121)),$J$29,"")</f>
      </c>
      <c r="K121" s="59"/>
      <c r="L121" s="59"/>
      <c r="M121" s="57"/>
      <c r="N121" s="57"/>
      <c r="O121" s="64"/>
      <c r="P121" s="295">
        <f t="shared" si="48"/>
        <v>0</v>
      </c>
    </row>
    <row r="122" spans="2:16" ht="15">
      <c r="B122" s="324">
        <v>23</v>
      </c>
      <c r="C122" s="365">
        <f aca="true" t="shared" si="73" ref="C122:I122">IF(ISBLANK(C121),"",C121)</f>
      </c>
      <c r="D122" s="366">
        <f t="shared" si="73"/>
      </c>
      <c r="E122" s="367">
        <f t="shared" si="73"/>
      </c>
      <c r="F122" s="367">
        <f t="shared" si="73"/>
      </c>
      <c r="G122" s="367">
        <f t="shared" si="73"/>
      </c>
      <c r="H122" s="368">
        <f t="shared" si="73"/>
      </c>
      <c r="I122" s="368">
        <f t="shared" si="73"/>
      </c>
      <c r="J122" s="323">
        <f>IF(NOT(ISBLANK(D121)),$J$30,"")</f>
      </c>
      <c r="K122" s="59"/>
      <c r="L122" s="59"/>
      <c r="M122" s="57"/>
      <c r="N122" s="57"/>
      <c r="O122" s="64"/>
      <c r="P122" s="295">
        <f t="shared" si="48"/>
        <v>0</v>
      </c>
    </row>
    <row r="123" spans="2:16" ht="15">
      <c r="B123" s="324">
        <v>23</v>
      </c>
      <c r="C123" s="365">
        <f aca="true" t="shared" si="74" ref="C123:I123">IF(ISBLANK(C121),"",C121)</f>
      </c>
      <c r="D123" s="369">
        <f t="shared" si="74"/>
      </c>
      <c r="E123" s="370">
        <f t="shared" si="74"/>
      </c>
      <c r="F123" s="370">
        <f t="shared" si="74"/>
      </c>
      <c r="G123" s="370">
        <f t="shared" si="74"/>
      </c>
      <c r="H123" s="323">
        <f t="shared" si="74"/>
      </c>
      <c r="I123" s="323">
        <f t="shared" si="74"/>
      </c>
      <c r="J123" s="323">
        <f>IF(NOT(ISBLANK(D121)),$J$31,"")</f>
      </c>
      <c r="K123" s="59"/>
      <c r="L123" s="59"/>
      <c r="M123" s="57"/>
      <c r="N123" s="57"/>
      <c r="O123" s="64"/>
      <c r="P123" s="295">
        <f t="shared" si="48"/>
        <v>0</v>
      </c>
    </row>
    <row r="124" spans="2:16" ht="15.75">
      <c r="B124" s="371">
        <v>23</v>
      </c>
      <c r="C124" s="372">
        <f aca="true" t="shared" si="75" ref="C124:I124">IF(ISBLANK(C121),"",C121)</f>
      </c>
      <c r="D124" s="379">
        <f t="shared" si="75"/>
      </c>
      <c r="E124" s="380">
        <f t="shared" si="75"/>
      </c>
      <c r="F124" s="380">
        <f t="shared" si="75"/>
      </c>
      <c r="G124" s="380">
        <f t="shared" si="75"/>
      </c>
      <c r="H124" s="325">
        <f t="shared" si="75"/>
      </c>
      <c r="I124" s="325">
        <f t="shared" si="75"/>
      </c>
      <c r="J124" s="325">
        <f>IF(NOT(ISBLANK(D121)),$J$32,"")</f>
      </c>
      <c r="K124" s="381">
        <f>SUM(K121:K123)</f>
        <v>0</v>
      </c>
      <c r="L124" s="381">
        <f>SUM(L121:L123)</f>
        <v>0</v>
      </c>
      <c r="M124" s="382">
        <f>SUM(M121:M123)</f>
        <v>0</v>
      </c>
      <c r="N124" s="382">
        <f>SUM(N121:N123)</f>
        <v>0</v>
      </c>
      <c r="O124" s="383">
        <f>SUM(O121:O123)</f>
        <v>0</v>
      </c>
      <c r="P124" s="325">
        <f t="shared" si="48"/>
        <v>0</v>
      </c>
    </row>
    <row r="125" spans="2:16" ht="15">
      <c r="B125" s="324">
        <v>24</v>
      </c>
      <c r="C125" s="363">
        <f>IF(P128&lt;&gt;0,VLOOKUP($D$7,Info_County_Code,2,FALSE),"")</f>
      </c>
      <c r="D125" s="204"/>
      <c r="E125" s="68"/>
      <c r="F125" s="68"/>
      <c r="G125" s="68"/>
      <c r="H125" s="57"/>
      <c r="I125" s="57"/>
      <c r="J125" s="364">
        <f>IF(NOT(ISBLANK(D125)),$J$29,"")</f>
      </c>
      <c r="K125" s="59"/>
      <c r="L125" s="59"/>
      <c r="M125" s="57"/>
      <c r="N125" s="57"/>
      <c r="O125" s="64"/>
      <c r="P125" s="295">
        <f>SUM(K125:O125)</f>
        <v>0</v>
      </c>
    </row>
    <row r="126" spans="2:16" ht="15">
      <c r="B126" s="324">
        <v>24</v>
      </c>
      <c r="C126" s="365">
        <f aca="true" t="shared" si="76" ref="C126:I126">IF(ISBLANK(C125),"",C125)</f>
      </c>
      <c r="D126" s="366">
        <f t="shared" si="76"/>
      </c>
      <c r="E126" s="367">
        <f t="shared" si="76"/>
      </c>
      <c r="F126" s="367">
        <f t="shared" si="76"/>
      </c>
      <c r="G126" s="367">
        <f t="shared" si="76"/>
      </c>
      <c r="H126" s="368">
        <f t="shared" si="76"/>
      </c>
      <c r="I126" s="368">
        <f t="shared" si="76"/>
      </c>
      <c r="J126" s="323">
        <f>IF(NOT(ISBLANK(D125)),$J$30,"")</f>
      </c>
      <c r="K126" s="59"/>
      <c r="L126" s="59"/>
      <c r="M126" s="57"/>
      <c r="N126" s="57"/>
      <c r="O126" s="64"/>
      <c r="P126" s="295">
        <f>SUM(K126:O126)</f>
        <v>0</v>
      </c>
    </row>
    <row r="127" spans="2:16" ht="15">
      <c r="B127" s="324">
        <v>24</v>
      </c>
      <c r="C127" s="365">
        <f aca="true" t="shared" si="77" ref="C127:I127">IF(ISBLANK(C125),"",C125)</f>
      </c>
      <c r="D127" s="369">
        <f t="shared" si="77"/>
      </c>
      <c r="E127" s="370">
        <f t="shared" si="77"/>
      </c>
      <c r="F127" s="370">
        <f t="shared" si="77"/>
      </c>
      <c r="G127" s="370">
        <f t="shared" si="77"/>
      </c>
      <c r="H127" s="323">
        <f t="shared" si="77"/>
      </c>
      <c r="I127" s="323">
        <f t="shared" si="77"/>
      </c>
      <c r="J127" s="323">
        <f>IF(NOT(ISBLANK(D125)),$J$31,"")</f>
      </c>
      <c r="K127" s="59"/>
      <c r="L127" s="59"/>
      <c r="M127" s="57"/>
      <c r="N127" s="57"/>
      <c r="O127" s="64"/>
      <c r="P127" s="295">
        <f>SUM(K127:O127)</f>
        <v>0</v>
      </c>
    </row>
    <row r="128" spans="2:16" ht="15.75">
      <c r="B128" s="371">
        <v>24</v>
      </c>
      <c r="C128" s="372">
        <f aca="true" t="shared" si="78" ref="C128:I128">IF(ISBLANK(C125),"",C125)</f>
      </c>
      <c r="D128" s="379">
        <f t="shared" si="78"/>
      </c>
      <c r="E128" s="380">
        <f t="shared" si="78"/>
      </c>
      <c r="F128" s="380">
        <f t="shared" si="78"/>
      </c>
      <c r="G128" s="380">
        <f t="shared" si="78"/>
      </c>
      <c r="H128" s="325">
        <f t="shared" si="78"/>
      </c>
      <c r="I128" s="325">
        <f t="shared" si="78"/>
      </c>
      <c r="J128" s="325">
        <f>IF(NOT(ISBLANK(D125)),$J$32,"")</f>
      </c>
      <c r="K128" s="381">
        <f>SUM(K125:K127)</f>
        <v>0</v>
      </c>
      <c r="L128" s="381">
        <f>SUM(L125:L127)</f>
        <v>0</v>
      </c>
      <c r="M128" s="382">
        <f>SUM(M125:M127)</f>
        <v>0</v>
      </c>
      <c r="N128" s="382">
        <f>SUM(N125:N127)</f>
        <v>0</v>
      </c>
      <c r="O128" s="383">
        <f>SUM(O125:O127)</f>
        <v>0</v>
      </c>
      <c r="P128" s="325">
        <f>SUM(K128:O128)</f>
        <v>0</v>
      </c>
    </row>
    <row r="129" spans="2:16" ht="15">
      <c r="B129" s="324">
        <v>25</v>
      </c>
      <c r="C129" s="363">
        <f>IF(P132&lt;&gt;0,VLOOKUP($D$7,Info_County_Code,2,FALSE),"")</f>
      </c>
      <c r="D129" s="204"/>
      <c r="E129" s="68"/>
      <c r="F129" s="68"/>
      <c r="G129" s="68"/>
      <c r="H129" s="57"/>
      <c r="I129" s="57"/>
      <c r="J129" s="364">
        <f>IF(NOT(ISBLANK(D129)),$J$29,"")</f>
      </c>
      <c r="K129" s="59"/>
      <c r="L129" s="59"/>
      <c r="M129" s="57"/>
      <c r="N129" s="57"/>
      <c r="O129" s="64"/>
      <c r="P129" s="295">
        <f t="shared" si="48"/>
        <v>0</v>
      </c>
    </row>
    <row r="130" spans="2:16" ht="15">
      <c r="B130" s="324">
        <v>25</v>
      </c>
      <c r="C130" s="365">
        <f aca="true" t="shared" si="79" ref="C130:I130">IF(ISBLANK(C129),"",C129)</f>
      </c>
      <c r="D130" s="366">
        <f t="shared" si="79"/>
      </c>
      <c r="E130" s="367">
        <f t="shared" si="79"/>
      </c>
      <c r="F130" s="367">
        <f t="shared" si="79"/>
      </c>
      <c r="G130" s="367">
        <f t="shared" si="79"/>
      </c>
      <c r="H130" s="368">
        <f t="shared" si="79"/>
      </c>
      <c r="I130" s="368">
        <f t="shared" si="79"/>
      </c>
      <c r="J130" s="323">
        <f>IF(NOT(ISBLANK(D129)),$J$30,"")</f>
      </c>
      <c r="K130" s="59"/>
      <c r="L130" s="59"/>
      <c r="M130" s="57"/>
      <c r="N130" s="57"/>
      <c r="O130" s="64"/>
      <c r="P130" s="295">
        <f t="shared" si="48"/>
        <v>0</v>
      </c>
    </row>
    <row r="131" spans="2:16" ht="15">
      <c r="B131" s="324">
        <v>25</v>
      </c>
      <c r="C131" s="365">
        <f aca="true" t="shared" si="80" ref="C131:I131">IF(ISBLANK(C129),"",C129)</f>
      </c>
      <c r="D131" s="369">
        <f t="shared" si="80"/>
      </c>
      <c r="E131" s="370">
        <f t="shared" si="80"/>
      </c>
      <c r="F131" s="370">
        <f t="shared" si="80"/>
      </c>
      <c r="G131" s="370">
        <f t="shared" si="80"/>
      </c>
      <c r="H131" s="323">
        <f t="shared" si="80"/>
      </c>
      <c r="I131" s="323">
        <f t="shared" si="80"/>
      </c>
      <c r="J131" s="323">
        <f>IF(NOT(ISBLANK(D129)),$J$31,"")</f>
      </c>
      <c r="K131" s="59"/>
      <c r="L131" s="59"/>
      <c r="M131" s="57"/>
      <c r="N131" s="57"/>
      <c r="O131" s="64"/>
      <c r="P131" s="295">
        <f t="shared" si="48"/>
        <v>0</v>
      </c>
    </row>
    <row r="132" spans="2:16" ht="15.75">
      <c r="B132" s="371">
        <v>25</v>
      </c>
      <c r="C132" s="372">
        <f aca="true" t="shared" si="81" ref="C132:I132">IF(ISBLANK(C129),"",C129)</f>
      </c>
      <c r="D132" s="379">
        <f t="shared" si="81"/>
      </c>
      <c r="E132" s="380">
        <f t="shared" si="81"/>
      </c>
      <c r="F132" s="380">
        <f t="shared" si="81"/>
      </c>
      <c r="G132" s="380">
        <f t="shared" si="81"/>
      </c>
      <c r="H132" s="325">
        <f t="shared" si="81"/>
      </c>
      <c r="I132" s="325">
        <f t="shared" si="81"/>
      </c>
      <c r="J132" s="325">
        <f>IF(NOT(ISBLANK(D129)),$J$32,"")</f>
      </c>
      <c r="K132" s="381">
        <f>SUM(K129:K131)</f>
        <v>0</v>
      </c>
      <c r="L132" s="381">
        <f>SUM(L129:L131)</f>
        <v>0</v>
      </c>
      <c r="M132" s="382">
        <f>SUM(M129:M131)</f>
        <v>0</v>
      </c>
      <c r="N132" s="382">
        <f>SUM(N129:N131)</f>
        <v>0</v>
      </c>
      <c r="O132" s="383">
        <f>SUM(O129:O131)</f>
        <v>0</v>
      </c>
      <c r="P132" s="325">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F7" sqref="F7"/>
    </sheetView>
  </sheetViews>
  <sheetFormatPr defaultColWidth="0" defaultRowHeight="15" zeroHeight="1"/>
  <cols>
    <col min="1" max="1" width="2.7109375" style="48" customWidth="1"/>
    <col min="2" max="2" width="6.7109375" style="238" customWidth="1"/>
    <col min="3" max="3" width="11.8515625" style="238" customWidth="1"/>
    <col min="4" max="4" width="35.140625" style="238" bestFit="1" customWidth="1"/>
    <col min="5" max="5" width="29.7109375" style="238" customWidth="1"/>
    <col min="6" max="6" width="28.7109375" style="238" bestFit="1" customWidth="1"/>
    <col min="7" max="7" width="22.00390625" style="238" customWidth="1"/>
    <col min="8" max="8" width="20.140625" style="238" customWidth="1"/>
    <col min="9" max="9" width="19.140625" style="238" customWidth="1"/>
    <col min="10" max="10" width="17.7109375" style="238" customWidth="1"/>
    <col min="11" max="11" width="17.7109375" style="48" customWidth="1"/>
    <col min="12" max="12" width="17.7109375" style="48" hidden="1" customWidth="1"/>
    <col min="13" max="14" width="22.421875" style="48" hidden="1" customWidth="1"/>
    <col min="15" max="15" width="21.00390625" style="48" hidden="1" customWidth="1"/>
    <col min="16" max="16" width="21.28125" style="48" hidden="1" customWidth="1"/>
    <col min="17" max="17" width="21.140625" style="48" hidden="1" customWidth="1"/>
    <col min="18" max="21" width="22.421875" style="48" hidden="1" customWidth="1"/>
    <col min="22" max="22" width="19.00390625" style="48" hidden="1" customWidth="1"/>
    <col min="23" max="16384" width="9.140625" style="48" hidden="1" customWidth="1"/>
  </cols>
  <sheetData>
    <row r="1" spans="1:22" ht="15">
      <c r="A1" s="281" t="s">
        <v>369</v>
      </c>
      <c r="B1" s="27"/>
      <c r="C1" s="27"/>
      <c r="D1" s="27"/>
      <c r="E1" s="51"/>
      <c r="F1" s="51"/>
      <c r="G1" s="51"/>
      <c r="H1" s="51"/>
      <c r="I1" s="51"/>
      <c r="J1" s="51"/>
      <c r="K1" s="51"/>
      <c r="L1" s="51"/>
      <c r="M1" s="51"/>
      <c r="N1" s="51"/>
      <c r="O1" s="51"/>
      <c r="P1" s="51"/>
      <c r="Q1" s="51"/>
      <c r="R1" s="51"/>
      <c r="S1" s="51"/>
      <c r="T1" s="51"/>
      <c r="U1" s="51"/>
      <c r="V1" s="51"/>
    </row>
    <row r="2" s="163" customFormat="1" ht="18">
      <c r="B2" s="282" t="str">
        <f>'1. Information'!B2</f>
        <v>Version 7/1/2018</v>
      </c>
    </row>
    <row r="3" spans="1:19" ht="18">
      <c r="A3" s="51"/>
      <c r="B3" s="230" t="str">
        <f>'1. Information'!B3</f>
        <v>Annual Mental Health Services Act Revenue and Expenditure Report</v>
      </c>
      <c r="C3" s="51"/>
      <c r="D3" s="1"/>
      <c r="E3" s="1"/>
      <c r="F3" s="1"/>
      <c r="G3" s="1"/>
      <c r="H3" s="1"/>
      <c r="I3" s="1"/>
      <c r="J3" s="51"/>
      <c r="K3" s="51"/>
      <c r="L3" s="51"/>
      <c r="M3" s="51"/>
      <c r="N3" s="51"/>
      <c r="O3" s="51"/>
      <c r="P3" s="51"/>
      <c r="Q3" s="51"/>
      <c r="R3" s="51"/>
      <c r="S3" s="51"/>
    </row>
    <row r="4" spans="1:19" ht="18">
      <c r="A4" s="51"/>
      <c r="B4" s="230" t="str">
        <f>'1. Information'!B4</f>
        <v>Fiscal Year 2017-18</v>
      </c>
      <c r="C4" s="51"/>
      <c r="D4" s="1"/>
      <c r="E4" s="1"/>
      <c r="F4" s="1"/>
      <c r="G4" s="1"/>
      <c r="H4" s="1"/>
      <c r="I4" s="1"/>
      <c r="J4" s="51"/>
      <c r="K4" s="51"/>
      <c r="L4" s="51"/>
      <c r="M4" s="51"/>
      <c r="N4" s="51"/>
      <c r="O4" s="51"/>
      <c r="P4" s="51"/>
      <c r="Q4" s="51"/>
      <c r="R4" s="51"/>
      <c r="S4" s="51"/>
    </row>
    <row r="5" spans="1:19" ht="18">
      <c r="A5" s="51"/>
      <c r="B5" s="223" t="s">
        <v>138</v>
      </c>
      <c r="C5" s="51"/>
      <c r="D5" s="16"/>
      <c r="E5" s="16"/>
      <c r="F5" s="16"/>
      <c r="G5" s="16"/>
      <c r="H5" s="16"/>
      <c r="I5" s="16"/>
      <c r="J5" s="51"/>
      <c r="K5" s="51"/>
      <c r="L5" s="51"/>
      <c r="M5" s="51"/>
      <c r="N5" s="51"/>
      <c r="O5" s="51"/>
      <c r="P5" s="51"/>
      <c r="Q5" s="51"/>
      <c r="R5" s="51"/>
      <c r="S5" s="51"/>
    </row>
    <row r="6" spans="1:19" ht="15.75">
      <c r="A6" s="51"/>
      <c r="B6" s="51"/>
      <c r="C6" s="51"/>
      <c r="D6" s="47"/>
      <c r="E6" s="47"/>
      <c r="F6" s="47"/>
      <c r="G6" s="47"/>
      <c r="H6" s="47"/>
      <c r="I6" s="51"/>
      <c r="J6" s="51"/>
      <c r="K6" s="51"/>
      <c r="L6" s="51"/>
      <c r="M6" s="51"/>
      <c r="N6" s="51"/>
      <c r="O6" s="51"/>
      <c r="P6" s="51"/>
      <c r="Q6" s="51"/>
      <c r="R6" s="51"/>
      <c r="S6" s="51"/>
    </row>
    <row r="7" spans="1:19" ht="15.75">
      <c r="A7" s="51"/>
      <c r="B7" s="51"/>
      <c r="C7" s="242" t="s">
        <v>1</v>
      </c>
      <c r="D7" s="283" t="str">
        <f>IF(ISBLANK('1. Information'!D8),"",'1. Information'!D8)</f>
        <v>San Bernardino</v>
      </c>
      <c r="E7" s="48"/>
      <c r="F7" s="244" t="s">
        <v>2</v>
      </c>
      <c r="G7" s="385">
        <f>IF(ISBLANK('1. Information'!D7),"",'1. Information'!D7)</f>
        <v>43462</v>
      </c>
      <c r="H7" s="48"/>
      <c r="I7" s="51"/>
      <c r="J7" s="51"/>
      <c r="K7" s="51"/>
      <c r="L7" s="182"/>
      <c r="M7" s="182"/>
      <c r="N7" s="182"/>
      <c r="O7" s="182"/>
      <c r="P7" s="182"/>
      <c r="Q7" s="182"/>
      <c r="R7" s="182"/>
      <c r="S7" s="182"/>
    </row>
    <row r="8" spans="1:19" ht="15.75">
      <c r="A8" s="51"/>
      <c r="B8" s="51"/>
      <c r="C8" s="3"/>
      <c r="D8" s="3"/>
      <c r="E8" s="12"/>
      <c r="F8" s="3"/>
      <c r="G8" s="37"/>
      <c r="H8" s="52"/>
      <c r="I8" s="51"/>
      <c r="J8" s="51"/>
      <c r="K8" s="51"/>
      <c r="L8" s="182"/>
      <c r="M8" s="182"/>
      <c r="N8" s="182"/>
      <c r="O8" s="182"/>
      <c r="P8" s="182"/>
      <c r="Q8" s="182"/>
      <c r="R8" s="182"/>
      <c r="S8" s="182"/>
    </row>
    <row r="9" spans="1:19" ht="18.75" thickBot="1">
      <c r="A9" s="51"/>
      <c r="B9" s="285" t="s">
        <v>260</v>
      </c>
      <c r="C9" s="21"/>
      <c r="D9" s="21"/>
      <c r="E9" s="30"/>
      <c r="F9" s="21"/>
      <c r="G9" s="38"/>
      <c r="H9" s="56"/>
      <c r="I9" s="54"/>
      <c r="J9" s="54"/>
      <c r="K9" s="54"/>
      <c r="L9" s="182"/>
      <c r="M9" s="182"/>
      <c r="N9" s="182"/>
      <c r="O9" s="182"/>
      <c r="P9" s="182"/>
      <c r="Q9" s="182"/>
      <c r="R9" s="182"/>
      <c r="S9" s="182"/>
    </row>
    <row r="10" spans="1:18" ht="16.5" thickTop="1">
      <c r="A10" s="51"/>
      <c r="B10" s="3"/>
      <c r="C10" s="3"/>
      <c r="D10" s="3"/>
      <c r="E10" s="12"/>
      <c r="F10" s="3"/>
      <c r="G10" s="37"/>
      <c r="H10" s="52"/>
      <c r="I10" s="51"/>
      <c r="J10" s="51"/>
      <c r="K10" s="51"/>
      <c r="L10" s="182"/>
      <c r="M10" s="182"/>
      <c r="N10" s="182"/>
      <c r="O10" s="182"/>
      <c r="P10" s="182"/>
      <c r="Q10" s="182"/>
      <c r="R10" s="182"/>
    </row>
    <row r="11" spans="1:16" ht="15.75">
      <c r="A11" s="51"/>
      <c r="B11" s="51"/>
      <c r="C11" s="3"/>
      <c r="D11" s="3"/>
      <c r="E11" s="177"/>
      <c r="F11" s="286" t="s">
        <v>27</v>
      </c>
      <c r="G11" s="296" t="s">
        <v>29</v>
      </c>
      <c r="H11" s="286" t="s">
        <v>32</v>
      </c>
      <c r="I11" s="355" t="s">
        <v>246</v>
      </c>
      <c r="J11" s="286" t="s">
        <v>247</v>
      </c>
      <c r="K11" s="286" t="s">
        <v>248</v>
      </c>
      <c r="L11" s="182"/>
      <c r="M11" s="182"/>
      <c r="N11" s="182"/>
      <c r="O11" s="51"/>
      <c r="P11" s="51"/>
    </row>
    <row r="12" spans="1:16" ht="15.75">
      <c r="A12" s="51"/>
      <c r="B12" s="51"/>
      <c r="C12" s="51"/>
      <c r="D12" s="3"/>
      <c r="E12" s="12"/>
      <c r="F12" s="301" t="s">
        <v>214</v>
      </c>
      <c r="G12" s="457" t="s">
        <v>213</v>
      </c>
      <c r="H12" s="458"/>
      <c r="I12" s="458"/>
      <c r="J12" s="459"/>
      <c r="K12" s="386"/>
      <c r="L12" s="182"/>
      <c r="M12" s="182"/>
      <c r="N12" s="182"/>
      <c r="O12" s="51"/>
      <c r="P12" s="51"/>
    </row>
    <row r="13" spans="1:15" ht="47.25">
      <c r="A13" s="51"/>
      <c r="B13" s="51"/>
      <c r="C13" s="5"/>
      <c r="D13" s="5"/>
      <c r="E13" s="5"/>
      <c r="F13" s="289" t="s">
        <v>300</v>
      </c>
      <c r="G13" s="290" t="s">
        <v>5</v>
      </c>
      <c r="H13" s="290" t="s">
        <v>6</v>
      </c>
      <c r="I13" s="290" t="s">
        <v>31</v>
      </c>
      <c r="J13" s="290" t="s">
        <v>15</v>
      </c>
      <c r="K13" s="320" t="s">
        <v>278</v>
      </c>
      <c r="L13" s="182"/>
      <c r="M13" s="182"/>
      <c r="N13" s="51"/>
      <c r="O13" s="51"/>
    </row>
    <row r="14" spans="1:15" ht="15.75">
      <c r="A14" s="51"/>
      <c r="B14" s="339">
        <v>1</v>
      </c>
      <c r="C14" s="440" t="s">
        <v>16</v>
      </c>
      <c r="D14" s="440"/>
      <c r="E14" s="436"/>
      <c r="F14" s="170"/>
      <c r="G14" s="69"/>
      <c r="H14" s="69"/>
      <c r="I14" s="69"/>
      <c r="J14" s="69"/>
      <c r="K14" s="293">
        <f>SUM(F14:J14)</f>
        <v>0</v>
      </c>
      <c r="L14" s="182"/>
      <c r="M14" s="182"/>
      <c r="N14" s="51"/>
      <c r="O14" s="51"/>
    </row>
    <row r="15" spans="1:15" ht="15.75">
      <c r="A15" s="51"/>
      <c r="B15" s="339">
        <v>2</v>
      </c>
      <c r="C15" s="440" t="s">
        <v>17</v>
      </c>
      <c r="D15" s="440"/>
      <c r="E15" s="436"/>
      <c r="F15" s="170"/>
      <c r="G15" s="69"/>
      <c r="H15" s="69"/>
      <c r="I15" s="69"/>
      <c r="J15" s="69"/>
      <c r="K15" s="293">
        <f>SUM(F15:J15)</f>
        <v>0</v>
      </c>
      <c r="L15" s="182"/>
      <c r="M15" s="182"/>
      <c r="N15" s="51"/>
      <c r="O15" s="51"/>
    </row>
    <row r="16" spans="1:15" ht="15.75">
      <c r="A16" s="51"/>
      <c r="B16" s="339">
        <v>3</v>
      </c>
      <c r="C16" s="440" t="s">
        <v>238</v>
      </c>
      <c r="D16" s="440"/>
      <c r="E16" s="436"/>
      <c r="F16" s="170">
        <v>1454107</v>
      </c>
      <c r="G16" s="187"/>
      <c r="H16" s="187"/>
      <c r="I16" s="187"/>
      <c r="J16" s="187"/>
      <c r="K16" s="293">
        <f>SUM(F16:J16)</f>
        <v>1454107</v>
      </c>
      <c r="L16" s="182"/>
      <c r="M16" s="182"/>
      <c r="N16" s="51"/>
      <c r="O16" s="51"/>
    </row>
    <row r="17" spans="1:15" ht="15.75">
      <c r="A17" s="51"/>
      <c r="B17" s="339">
        <v>4</v>
      </c>
      <c r="C17" s="440" t="s">
        <v>221</v>
      </c>
      <c r="D17" s="440"/>
      <c r="E17" s="436"/>
      <c r="F17" s="190"/>
      <c r="G17" s="323"/>
      <c r="H17" s="323"/>
      <c r="I17" s="323"/>
      <c r="J17" s="323"/>
      <c r="K17" s="293">
        <f>SUM(F17:J17)</f>
        <v>0</v>
      </c>
      <c r="L17" s="182"/>
      <c r="M17" s="182"/>
      <c r="N17" s="51"/>
      <c r="O17" s="51"/>
    </row>
    <row r="18" spans="1:15" ht="15.75">
      <c r="A18" s="51"/>
      <c r="B18" s="339">
        <v>5</v>
      </c>
      <c r="C18" s="440" t="s">
        <v>222</v>
      </c>
      <c r="D18" s="440"/>
      <c r="E18" s="436"/>
      <c r="F18" s="190"/>
      <c r="G18" s="323"/>
      <c r="H18" s="323"/>
      <c r="I18" s="323"/>
      <c r="J18" s="323"/>
      <c r="K18" s="293">
        <f>SUM(F18:J18)</f>
        <v>0</v>
      </c>
      <c r="L18" s="182"/>
      <c r="M18" s="182"/>
      <c r="N18" s="51"/>
      <c r="O18" s="51"/>
    </row>
    <row r="19" spans="1:15" ht="15.75">
      <c r="A19" s="51"/>
      <c r="B19" s="339">
        <v>6</v>
      </c>
      <c r="C19" s="436" t="s">
        <v>174</v>
      </c>
      <c r="D19" s="437"/>
      <c r="E19" s="438"/>
      <c r="F19" s="368">
        <f>SUM(E28:E32)</f>
        <v>1554054</v>
      </c>
      <c r="G19" s="387">
        <f>SUM(F28:F32)</f>
        <v>0</v>
      </c>
      <c r="H19" s="368">
        <f>SUM(G28:G32)</f>
        <v>0</v>
      </c>
      <c r="I19" s="368">
        <f>SUM(H28:H32)</f>
        <v>0</v>
      </c>
      <c r="J19" s="368">
        <f>SUM(I28:I32)</f>
        <v>0</v>
      </c>
      <c r="K19" s="295">
        <f>SUM(F19:J19)</f>
        <v>1554054</v>
      </c>
      <c r="L19" s="182"/>
      <c r="M19" s="182"/>
      <c r="N19" s="51"/>
      <c r="O19" s="51"/>
    </row>
    <row r="20" spans="1:15" ht="30.75" customHeight="1">
      <c r="A20" s="51"/>
      <c r="B20" s="339">
        <v>7</v>
      </c>
      <c r="C20" s="452" t="s">
        <v>220</v>
      </c>
      <c r="D20" s="452"/>
      <c r="E20" s="452"/>
      <c r="F20" s="325">
        <f>SUM(F14:F16,F18:F19)</f>
        <v>3008161</v>
      </c>
      <c r="G20" s="297">
        <f>SUM(G14:G16,G18:G19)</f>
        <v>0</v>
      </c>
      <c r="H20" s="276">
        <f>SUM(H14:H16,H18:H19)</f>
        <v>0</v>
      </c>
      <c r="I20" s="276">
        <f>SUM(I14:I16,I18:I19)</f>
        <v>0</v>
      </c>
      <c r="J20" s="276">
        <f>SUM(J14:J16,J18:J19)</f>
        <v>0</v>
      </c>
      <c r="K20" s="325">
        <f>SUM(K14:K16,K18:K19)</f>
        <v>3008161</v>
      </c>
      <c r="L20" s="182"/>
      <c r="M20" s="182"/>
      <c r="N20" s="51"/>
      <c r="O20" s="51"/>
    </row>
    <row r="21" spans="1:22" ht="15">
      <c r="A21" s="51"/>
      <c r="B21" s="51"/>
      <c r="C21" s="51"/>
      <c r="D21" s="51"/>
      <c r="E21" s="51"/>
      <c r="F21" s="51"/>
      <c r="G21" s="51"/>
      <c r="H21" s="51"/>
      <c r="I21" s="51"/>
      <c r="J21" s="51"/>
      <c r="K21" s="51"/>
      <c r="L21" s="51"/>
      <c r="M21" s="51"/>
      <c r="N21" s="51"/>
      <c r="O21" s="51"/>
      <c r="P21" s="51"/>
      <c r="Q21" s="51"/>
      <c r="R21" s="51"/>
      <c r="S21" s="51"/>
      <c r="T21" s="51"/>
      <c r="U21" s="51"/>
      <c r="V21" s="51"/>
    </row>
    <row r="22" spans="1:22" ht="15.75">
      <c r="A22" s="51"/>
      <c r="B22" s="51"/>
      <c r="C22" s="24"/>
      <c r="D22" s="51"/>
      <c r="E22" s="51"/>
      <c r="F22" s="51"/>
      <c r="G22" s="51"/>
      <c r="H22" s="51"/>
      <c r="I22" s="51"/>
      <c r="J22" s="51"/>
      <c r="K22" s="51"/>
      <c r="L22" s="51"/>
      <c r="M22" s="51"/>
      <c r="N22" s="51"/>
      <c r="O22" s="51"/>
      <c r="P22" s="51"/>
      <c r="Q22" s="51"/>
      <c r="R22" s="51"/>
      <c r="S22" s="51"/>
      <c r="T22" s="51"/>
      <c r="U22" s="51"/>
      <c r="V22" s="51"/>
    </row>
    <row r="23" spans="1:19" ht="18.75" thickBot="1">
      <c r="A23" s="51"/>
      <c r="B23" s="300" t="s">
        <v>261</v>
      </c>
      <c r="C23" s="23"/>
      <c r="D23" s="54"/>
      <c r="E23" s="54"/>
      <c r="F23" s="54"/>
      <c r="G23" s="54"/>
      <c r="H23" s="54"/>
      <c r="I23" s="54"/>
      <c r="J23" s="54"/>
      <c r="K23" s="182"/>
      <c r="L23" s="182"/>
      <c r="M23" s="182"/>
      <c r="N23" s="182"/>
      <c r="O23" s="182"/>
      <c r="P23" s="182"/>
      <c r="Q23" s="182"/>
      <c r="R23" s="182"/>
      <c r="S23" s="182"/>
    </row>
    <row r="24" spans="1:18" ht="16.5" thickTop="1">
      <c r="A24" s="51"/>
      <c r="B24" s="24"/>
      <c r="C24" s="24"/>
      <c r="D24" s="51"/>
      <c r="E24" s="51"/>
      <c r="F24" s="51"/>
      <c r="G24" s="51"/>
      <c r="H24" s="51"/>
      <c r="I24" s="51"/>
      <c r="J24" s="51"/>
      <c r="K24" s="182"/>
      <c r="L24" s="182"/>
      <c r="M24" s="182"/>
      <c r="N24" s="182"/>
      <c r="O24" s="182"/>
      <c r="P24" s="182"/>
      <c r="Q24" s="182"/>
      <c r="R24" s="182"/>
    </row>
    <row r="25" spans="1:18" ht="15.75">
      <c r="A25" s="51"/>
      <c r="B25" s="24"/>
      <c r="C25" s="339" t="s">
        <v>27</v>
      </c>
      <c r="D25" s="286" t="s">
        <v>29</v>
      </c>
      <c r="E25" s="286" t="s">
        <v>32</v>
      </c>
      <c r="F25" s="388" t="s">
        <v>246</v>
      </c>
      <c r="G25" s="286" t="s">
        <v>247</v>
      </c>
      <c r="H25" s="286" t="s">
        <v>248</v>
      </c>
      <c r="I25" s="286" t="s">
        <v>257</v>
      </c>
      <c r="J25" s="286" t="s">
        <v>249</v>
      </c>
      <c r="K25" s="182"/>
      <c r="L25" s="182"/>
      <c r="M25" s="182"/>
      <c r="N25" s="182"/>
      <c r="O25" s="182"/>
      <c r="P25" s="182"/>
      <c r="Q25" s="182"/>
      <c r="R25" s="182"/>
    </row>
    <row r="26" spans="1:18" ht="15.75">
      <c r="A26" s="51"/>
      <c r="B26" s="13"/>
      <c r="C26" s="389"/>
      <c r="D26" s="390" t="s">
        <v>212</v>
      </c>
      <c r="E26" s="390" t="s">
        <v>28</v>
      </c>
      <c r="F26" s="460" t="s">
        <v>30</v>
      </c>
      <c r="G26" s="460"/>
      <c r="H26" s="460"/>
      <c r="I26" s="460"/>
      <c r="J26" s="386"/>
      <c r="K26" s="182"/>
      <c r="L26" s="182"/>
      <c r="M26" s="182"/>
      <c r="N26" s="182"/>
      <c r="O26" s="182"/>
      <c r="P26" s="182"/>
      <c r="Q26" s="182"/>
      <c r="R26" s="182"/>
    </row>
    <row r="27" spans="1:18" ht="47.25">
      <c r="A27" s="51"/>
      <c r="B27" s="333" t="s">
        <v>134</v>
      </c>
      <c r="C27" s="336" t="s">
        <v>11</v>
      </c>
      <c r="D27" s="336" t="s">
        <v>21</v>
      </c>
      <c r="E27" s="289" t="s">
        <v>300</v>
      </c>
      <c r="F27" s="391" t="s">
        <v>5</v>
      </c>
      <c r="G27" s="305" t="s">
        <v>6</v>
      </c>
      <c r="H27" s="305" t="s">
        <v>31</v>
      </c>
      <c r="I27" s="305" t="s">
        <v>15</v>
      </c>
      <c r="J27" s="338" t="s">
        <v>278</v>
      </c>
      <c r="K27" s="182"/>
      <c r="L27" s="182"/>
      <c r="M27" s="182"/>
      <c r="N27" s="182"/>
      <c r="O27" s="182"/>
      <c r="P27" s="182"/>
      <c r="Q27" s="182"/>
      <c r="R27" s="182"/>
    </row>
    <row r="28" spans="1:18" ht="15.75">
      <c r="A28" s="70"/>
      <c r="B28" s="392">
        <v>1</v>
      </c>
      <c r="C28" s="340">
        <f>IF(J28&lt;&gt;0,VLOOKUP($D$7,Info_County_Code,2,FALSE),"")</f>
      </c>
      <c r="D28" s="393" t="s">
        <v>105</v>
      </c>
      <c r="E28" s="58"/>
      <c r="F28" s="59"/>
      <c r="G28" s="58"/>
      <c r="H28" s="58"/>
      <c r="I28" s="175"/>
      <c r="J28" s="323">
        <f>SUM(E28:I28)</f>
        <v>0</v>
      </c>
      <c r="K28" s="182"/>
      <c r="L28" s="182"/>
      <c r="M28" s="182"/>
      <c r="N28" s="182"/>
      <c r="O28" s="182"/>
      <c r="P28" s="182"/>
      <c r="Q28" s="182"/>
      <c r="R28" s="182"/>
    </row>
    <row r="29" spans="1:18" ht="15.75">
      <c r="A29" s="51"/>
      <c r="B29" s="339">
        <v>2</v>
      </c>
      <c r="C29" s="340">
        <f>IF(J29&lt;&gt;0,VLOOKUP($D$7,Info_County_Code,2,FALSE),"")</f>
        <v>36</v>
      </c>
      <c r="D29" s="393" t="s">
        <v>106</v>
      </c>
      <c r="E29" s="57">
        <v>141522</v>
      </c>
      <c r="F29" s="59"/>
      <c r="G29" s="57"/>
      <c r="H29" s="57"/>
      <c r="I29" s="176"/>
      <c r="J29" s="323">
        <f>SUM(E29:I29)</f>
        <v>141522</v>
      </c>
      <c r="K29" s="182"/>
      <c r="L29" s="182"/>
      <c r="M29" s="182"/>
      <c r="N29" s="182"/>
      <c r="O29" s="182"/>
      <c r="P29" s="182"/>
      <c r="Q29" s="182"/>
      <c r="R29" s="182"/>
    </row>
    <row r="30" spans="1:18" ht="15.75">
      <c r="A30" s="51"/>
      <c r="B30" s="339">
        <v>3</v>
      </c>
      <c r="C30" s="340">
        <f>IF(J30&lt;&gt;0,VLOOKUP($D$7,Info_County_Code,2,FALSE),"")</f>
        <v>36</v>
      </c>
      <c r="D30" s="393" t="s">
        <v>107</v>
      </c>
      <c r="E30" s="57">
        <v>1332</v>
      </c>
      <c r="F30" s="59"/>
      <c r="G30" s="57"/>
      <c r="H30" s="57"/>
      <c r="I30" s="176"/>
      <c r="J30" s="323">
        <f>SUM(E30:I30)</f>
        <v>1332</v>
      </c>
      <c r="K30" s="182"/>
      <c r="L30" s="182"/>
      <c r="M30" s="182"/>
      <c r="N30" s="182"/>
      <c r="O30" s="182"/>
      <c r="P30" s="182"/>
      <c r="Q30" s="182"/>
      <c r="R30" s="182"/>
    </row>
    <row r="31" spans="1:18" ht="15.75">
      <c r="A31" s="51"/>
      <c r="B31" s="392">
        <v>4</v>
      </c>
      <c r="C31" s="340">
        <f>IF(J31&lt;&gt;0,VLOOKUP($D$7,Info_County_Code,2,FALSE),"")</f>
        <v>36</v>
      </c>
      <c r="D31" s="393" t="s">
        <v>108</v>
      </c>
      <c r="E31" s="57">
        <f>839191+537400</f>
        <v>1376591</v>
      </c>
      <c r="F31" s="59"/>
      <c r="G31" s="57"/>
      <c r="H31" s="57"/>
      <c r="I31" s="176"/>
      <c r="J31" s="323">
        <f>SUM(E31:I31)</f>
        <v>1376591</v>
      </c>
      <c r="K31" s="182"/>
      <c r="L31" s="182"/>
      <c r="M31" s="182"/>
      <c r="N31" s="182"/>
      <c r="O31" s="182"/>
      <c r="P31" s="182"/>
      <c r="Q31" s="182"/>
      <c r="R31" s="182"/>
    </row>
    <row r="32" spans="1:18" ht="15.75">
      <c r="A32" s="51"/>
      <c r="B32" s="339">
        <v>5</v>
      </c>
      <c r="C32" s="340">
        <f>IF(J32&lt;&gt;0,VLOOKUP($D$7,Info_County_Code,2,FALSE),"")</f>
        <v>36</v>
      </c>
      <c r="D32" s="393" t="s">
        <v>109</v>
      </c>
      <c r="E32" s="57">
        <v>34609</v>
      </c>
      <c r="F32" s="59"/>
      <c r="G32" s="57"/>
      <c r="H32" s="57"/>
      <c r="I32" s="176"/>
      <c r="J32" s="323">
        <f>SUM(E32:I32)</f>
        <v>34609</v>
      </c>
      <c r="K32" s="182"/>
      <c r="L32" s="182"/>
      <c r="M32" s="182"/>
      <c r="N32" s="182"/>
      <c r="O32" s="182"/>
      <c r="P32" s="182"/>
      <c r="Q32" s="182"/>
      <c r="R32" s="182"/>
    </row>
    <row r="33" spans="13:22" ht="15.75" hidden="1">
      <c r="M33" s="182"/>
      <c r="N33" s="182"/>
      <c r="O33" s="182"/>
      <c r="P33" s="182"/>
      <c r="Q33" s="182"/>
      <c r="R33" s="182"/>
      <c r="S33" s="182"/>
      <c r="T33" s="182"/>
      <c r="U33" s="182"/>
      <c r="V33" s="182"/>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A1:W47"/>
  <sheetViews>
    <sheetView showGridLines="0" zoomScale="70" zoomScaleNormal="70" zoomScaleSheetLayoutView="40" zoomScalePageLayoutView="0" workbookViewId="0" topLeftCell="A1">
      <selection activeCell="A1" sqref="A1"/>
    </sheetView>
  </sheetViews>
  <sheetFormatPr defaultColWidth="0" defaultRowHeight="15" zeroHeight="1"/>
  <cols>
    <col min="1" max="1" width="2.7109375" style="51" customWidth="1"/>
    <col min="2" max="2" width="6.7109375" style="332" customWidth="1"/>
    <col min="3" max="3" width="10.140625" style="332" bestFit="1" customWidth="1"/>
    <col min="4" max="5" width="50.7109375" style="332" customWidth="1"/>
    <col min="6" max="6" width="37.140625" style="332" bestFit="1" customWidth="1"/>
    <col min="7" max="7" width="20.140625" style="332" customWidth="1"/>
    <col min="8" max="8" width="21.57421875" style="332" customWidth="1"/>
    <col min="9" max="9" width="20.28125" style="332" customWidth="1"/>
    <col min="10" max="12" width="17.7109375" style="332" customWidth="1"/>
    <col min="13" max="13" width="17.57421875" style="332" hidden="1" customWidth="1"/>
    <col min="14" max="14" width="18.28125" style="274" hidden="1" customWidth="1"/>
    <col min="15" max="15" width="18.7109375" style="274" hidden="1" customWidth="1"/>
    <col min="16" max="17" width="19.00390625" style="274" hidden="1" customWidth="1"/>
    <col min="18" max="19" width="18.421875" style="274" hidden="1" customWidth="1"/>
    <col min="20" max="21" width="18.28125" style="274" hidden="1" customWidth="1"/>
    <col min="22" max="22" width="18.140625" style="274" hidden="1" customWidth="1"/>
    <col min="23" max="23" width="18.421875" style="274" hidden="1" customWidth="1"/>
    <col min="24" max="24" width="16.57421875" style="332" hidden="1" customWidth="1"/>
    <col min="25" max="26" width="22.140625" style="332" hidden="1" customWidth="1"/>
    <col min="27" max="16384" width="9.140625" style="332" hidden="1" customWidth="1"/>
  </cols>
  <sheetData>
    <row r="1" spans="1:23" s="51" customFormat="1" ht="15.75">
      <c r="A1" s="281" t="s">
        <v>370</v>
      </c>
      <c r="B1" s="454"/>
      <c r="C1" s="454"/>
      <c r="D1" s="454"/>
      <c r="N1" s="182"/>
      <c r="O1" s="182"/>
      <c r="P1" s="182"/>
      <c r="Q1" s="182"/>
      <c r="R1" s="182"/>
      <c r="S1" s="182"/>
      <c r="T1" s="182"/>
      <c r="U1" s="182"/>
      <c r="V1" s="182"/>
      <c r="W1" s="182"/>
    </row>
    <row r="2" s="163" customFormat="1" ht="18">
      <c r="B2" s="282" t="str">
        <f>'1. Information'!B2</f>
        <v>Version 7/1/2018</v>
      </c>
    </row>
    <row r="3" spans="2:23" s="51" customFormat="1" ht="18">
      <c r="B3" s="230" t="str">
        <f>'1. Information'!B3</f>
        <v>Annual Mental Health Services Act Revenue and Expenditure Report</v>
      </c>
      <c r="C3" s="1"/>
      <c r="D3" s="1"/>
      <c r="E3" s="1"/>
      <c r="F3" s="1"/>
      <c r="G3" s="1"/>
      <c r="H3" s="1"/>
      <c r="N3" s="182"/>
      <c r="O3" s="182"/>
      <c r="P3" s="182"/>
      <c r="Q3" s="182"/>
      <c r="R3" s="182"/>
      <c r="S3" s="182"/>
      <c r="T3" s="182"/>
      <c r="U3" s="182"/>
      <c r="V3" s="182"/>
      <c r="W3" s="182"/>
    </row>
    <row r="4" spans="2:23" s="51" customFormat="1" ht="18">
      <c r="B4" s="230" t="str">
        <f>'1. Information'!B4</f>
        <v>Fiscal Year 2017-18</v>
      </c>
      <c r="C4" s="1"/>
      <c r="D4" s="1"/>
      <c r="E4" s="1"/>
      <c r="F4" s="1"/>
      <c r="G4" s="1"/>
      <c r="H4" s="1"/>
      <c r="N4" s="182"/>
      <c r="O4" s="182"/>
      <c r="P4" s="182"/>
      <c r="Q4" s="182"/>
      <c r="R4" s="182"/>
      <c r="S4" s="182"/>
      <c r="T4" s="182"/>
      <c r="U4" s="182"/>
      <c r="V4" s="182"/>
      <c r="W4" s="182"/>
    </row>
    <row r="5" spans="2:23" s="51" customFormat="1" ht="18">
      <c r="B5" s="230" t="s">
        <v>139</v>
      </c>
      <c r="C5" s="1"/>
      <c r="D5" s="1"/>
      <c r="E5" s="1"/>
      <c r="F5" s="1"/>
      <c r="G5" s="1"/>
      <c r="H5" s="1"/>
      <c r="N5" s="182"/>
      <c r="O5" s="182"/>
      <c r="P5" s="182"/>
      <c r="Q5" s="182"/>
      <c r="R5" s="182"/>
      <c r="S5" s="182"/>
      <c r="T5" s="182"/>
      <c r="U5" s="182"/>
      <c r="V5" s="182"/>
      <c r="W5" s="182"/>
    </row>
    <row r="6" spans="4:23" s="51" customFormat="1" ht="15.75">
      <c r="D6" s="29"/>
      <c r="E6" s="29"/>
      <c r="F6" s="29"/>
      <c r="G6" s="29"/>
      <c r="H6" s="29"/>
      <c r="N6" s="182"/>
      <c r="O6" s="182"/>
      <c r="P6" s="182"/>
      <c r="Q6" s="182"/>
      <c r="R6" s="182"/>
      <c r="S6" s="182"/>
      <c r="T6" s="182"/>
      <c r="U6" s="182"/>
      <c r="V6" s="182"/>
      <c r="W6" s="182"/>
    </row>
    <row r="7" spans="2:23" s="51" customFormat="1" ht="15.75">
      <c r="B7" s="278" t="s">
        <v>1</v>
      </c>
      <c r="C7" s="394"/>
      <c r="D7" s="395" t="str">
        <f>IF(ISBLANK('1. Information'!D8),"",'1. Information'!D8)</f>
        <v>San Bernardino</v>
      </c>
      <c r="E7" s="12"/>
      <c r="F7" s="278" t="s">
        <v>2</v>
      </c>
      <c r="G7" s="315">
        <f>IF(ISBLANK('1. Information'!D7),"",'1. Information'!D7)</f>
        <v>43462</v>
      </c>
      <c r="N7" s="182"/>
      <c r="O7" s="182"/>
      <c r="P7" s="182"/>
      <c r="Q7" s="182"/>
      <c r="R7" s="182"/>
      <c r="S7" s="182"/>
      <c r="T7" s="182"/>
      <c r="U7" s="182"/>
      <c r="V7" s="182"/>
      <c r="W7" s="182"/>
    </row>
    <row r="8" spans="3:23" s="51" customFormat="1" ht="15.75">
      <c r="C8" s="3"/>
      <c r="E8" s="3"/>
      <c r="F8" s="12"/>
      <c r="G8" s="3"/>
      <c r="H8" s="53"/>
      <c r="M8" s="182"/>
      <c r="N8" s="182"/>
      <c r="O8" s="182"/>
      <c r="P8" s="182"/>
      <c r="Q8" s="182"/>
      <c r="R8" s="182"/>
      <c r="S8" s="182"/>
      <c r="T8" s="182"/>
      <c r="U8" s="182"/>
      <c r="V8" s="182"/>
      <c r="W8" s="182"/>
    </row>
    <row r="9" spans="2:22" s="51" customFormat="1" ht="18.75" thickBot="1">
      <c r="B9" s="285" t="s">
        <v>260</v>
      </c>
      <c r="C9" s="21"/>
      <c r="D9" s="54"/>
      <c r="E9" s="21"/>
      <c r="F9" s="30"/>
      <c r="G9" s="21"/>
      <c r="H9" s="55"/>
      <c r="I9" s="54"/>
      <c r="J9" s="54"/>
      <c r="K9" s="54"/>
      <c r="L9" s="182"/>
      <c r="M9" s="182"/>
      <c r="N9" s="182"/>
      <c r="O9" s="182"/>
      <c r="P9" s="182"/>
      <c r="Q9" s="182"/>
      <c r="R9" s="182"/>
      <c r="S9" s="182"/>
      <c r="T9" s="182"/>
      <c r="U9" s="182"/>
      <c r="V9" s="182"/>
    </row>
    <row r="10" spans="2:21" s="51" customFormat="1" ht="16.5" thickTop="1">
      <c r="B10" s="3"/>
      <c r="C10" s="3"/>
      <c r="E10" s="3"/>
      <c r="F10" s="12"/>
      <c r="G10" s="3"/>
      <c r="H10" s="53"/>
      <c r="L10" s="182"/>
      <c r="M10" s="182"/>
      <c r="N10" s="182"/>
      <c r="O10" s="182"/>
      <c r="P10" s="182"/>
      <c r="Q10" s="182"/>
      <c r="R10" s="182"/>
      <c r="S10" s="182"/>
      <c r="T10" s="182"/>
      <c r="U10" s="182"/>
    </row>
    <row r="11" spans="3:20" s="51" customFormat="1" ht="15.75">
      <c r="C11" s="3"/>
      <c r="E11" s="3"/>
      <c r="F11" s="286" t="s">
        <v>27</v>
      </c>
      <c r="G11" s="250" t="s">
        <v>29</v>
      </c>
      <c r="H11" s="317" t="s">
        <v>32</v>
      </c>
      <c r="I11" s="286" t="s">
        <v>246</v>
      </c>
      <c r="J11" s="286" t="s">
        <v>247</v>
      </c>
      <c r="K11" s="286" t="s">
        <v>248</v>
      </c>
      <c r="L11" s="182"/>
      <c r="M11" s="182"/>
      <c r="N11" s="182"/>
      <c r="O11" s="182"/>
      <c r="P11" s="182"/>
      <c r="Q11" s="182"/>
      <c r="R11" s="182"/>
      <c r="S11" s="182"/>
      <c r="T11" s="182"/>
    </row>
    <row r="12" spans="5:20" s="51" customFormat="1" ht="15.75">
      <c r="E12" s="3"/>
      <c r="F12" s="371" t="s">
        <v>28</v>
      </c>
      <c r="G12" s="442" t="s">
        <v>213</v>
      </c>
      <c r="H12" s="442"/>
      <c r="I12" s="442"/>
      <c r="J12" s="442"/>
      <c r="K12" s="386"/>
      <c r="L12" s="182"/>
      <c r="M12" s="182"/>
      <c r="N12" s="182"/>
      <c r="O12" s="182"/>
      <c r="P12" s="182"/>
      <c r="Q12" s="182"/>
      <c r="R12" s="182"/>
      <c r="S12" s="182"/>
      <c r="T12" s="182"/>
    </row>
    <row r="13" spans="4:20" s="51" customFormat="1" ht="47.25">
      <c r="D13" s="3"/>
      <c r="E13" s="12"/>
      <c r="F13" s="289" t="s">
        <v>300</v>
      </c>
      <c r="G13" s="290" t="s">
        <v>5</v>
      </c>
      <c r="H13" s="290" t="s">
        <v>6</v>
      </c>
      <c r="I13" s="290" t="s">
        <v>31</v>
      </c>
      <c r="J13" s="290" t="s">
        <v>15</v>
      </c>
      <c r="K13" s="338" t="s">
        <v>278</v>
      </c>
      <c r="L13" s="182"/>
      <c r="M13" s="182"/>
      <c r="N13" s="182"/>
      <c r="O13" s="182"/>
      <c r="P13" s="182"/>
      <c r="Q13" s="182"/>
      <c r="R13" s="182"/>
      <c r="S13" s="182"/>
      <c r="T13" s="182"/>
    </row>
    <row r="14" spans="2:20" s="51" customFormat="1" ht="15.75">
      <c r="B14" s="339">
        <v>1</v>
      </c>
      <c r="C14" s="440" t="s">
        <v>189</v>
      </c>
      <c r="D14" s="440"/>
      <c r="E14" s="436"/>
      <c r="F14" s="69"/>
      <c r="G14" s="69"/>
      <c r="H14" s="69"/>
      <c r="I14" s="69"/>
      <c r="J14" s="69"/>
      <c r="K14" s="364">
        <f>SUM(F14:J14)</f>
        <v>0</v>
      </c>
      <c r="L14" s="182"/>
      <c r="M14" s="182"/>
      <c r="N14" s="182"/>
      <c r="O14" s="182"/>
      <c r="P14" s="182"/>
      <c r="Q14" s="182"/>
      <c r="R14" s="182"/>
      <c r="S14" s="182"/>
      <c r="T14" s="182"/>
    </row>
    <row r="15" spans="2:20" s="51" customFormat="1" ht="15.75">
      <c r="B15" s="339">
        <v>2</v>
      </c>
      <c r="C15" s="440" t="s">
        <v>188</v>
      </c>
      <c r="D15" s="440"/>
      <c r="E15" s="436"/>
      <c r="F15" s="69"/>
      <c r="G15" s="69"/>
      <c r="H15" s="69"/>
      <c r="I15" s="69"/>
      <c r="J15" s="69"/>
      <c r="K15" s="364">
        <f aca="true" t="shared" si="0" ref="K15:K20">SUM(F15:J15)</f>
        <v>0</v>
      </c>
      <c r="L15" s="182"/>
      <c r="M15" s="182"/>
      <c r="N15" s="182"/>
      <c r="O15" s="182"/>
      <c r="P15" s="182"/>
      <c r="Q15" s="182"/>
      <c r="R15" s="182"/>
      <c r="S15" s="182"/>
      <c r="T15" s="182"/>
    </row>
    <row r="16" spans="2:20" s="51" customFormat="1" ht="15.75">
      <c r="B16" s="339">
        <v>3</v>
      </c>
      <c r="C16" s="440" t="s">
        <v>123</v>
      </c>
      <c r="D16" s="440"/>
      <c r="E16" s="436"/>
      <c r="F16" s="69"/>
      <c r="G16" s="69"/>
      <c r="H16" s="69"/>
      <c r="I16" s="69"/>
      <c r="J16" s="69"/>
      <c r="K16" s="364">
        <f t="shared" si="0"/>
        <v>0</v>
      </c>
      <c r="L16" s="182"/>
      <c r="M16" s="182"/>
      <c r="N16" s="182"/>
      <c r="O16" s="182"/>
      <c r="P16" s="182"/>
      <c r="Q16" s="182"/>
      <c r="R16" s="182"/>
      <c r="S16" s="182"/>
      <c r="T16" s="182"/>
    </row>
    <row r="17" spans="2:20" s="51" customFormat="1" ht="15.75">
      <c r="B17" s="339">
        <v>4</v>
      </c>
      <c r="C17" s="440" t="s">
        <v>122</v>
      </c>
      <c r="D17" s="440"/>
      <c r="E17" s="436"/>
      <c r="F17" s="69"/>
      <c r="G17" s="69"/>
      <c r="H17" s="69"/>
      <c r="I17" s="69"/>
      <c r="J17" s="69"/>
      <c r="K17" s="364">
        <f t="shared" si="0"/>
        <v>0</v>
      </c>
      <c r="L17" s="182"/>
      <c r="M17" s="182"/>
      <c r="N17" s="182"/>
      <c r="O17" s="182"/>
      <c r="P17" s="182"/>
      <c r="Q17" s="182"/>
      <c r="R17" s="182"/>
      <c r="S17" s="182"/>
      <c r="T17" s="182"/>
    </row>
    <row r="18" spans="2:20" s="51" customFormat="1" ht="15.75">
      <c r="B18" s="339">
        <v>5</v>
      </c>
      <c r="C18" s="440" t="s">
        <v>239</v>
      </c>
      <c r="D18" s="440"/>
      <c r="E18" s="436"/>
      <c r="F18" s="69"/>
      <c r="G18" s="69"/>
      <c r="H18" s="69"/>
      <c r="I18" s="69"/>
      <c r="J18" s="69"/>
      <c r="K18" s="364">
        <f t="shared" si="0"/>
        <v>0</v>
      </c>
      <c r="L18" s="182"/>
      <c r="M18" s="182"/>
      <c r="N18" s="182"/>
      <c r="O18" s="182"/>
      <c r="P18" s="182"/>
      <c r="Q18" s="182"/>
      <c r="R18" s="182"/>
      <c r="S18" s="182"/>
      <c r="T18" s="182"/>
    </row>
    <row r="19" spans="2:20" s="51" customFormat="1" ht="15.75">
      <c r="B19" s="339">
        <v>6</v>
      </c>
      <c r="C19" s="440" t="s">
        <v>240</v>
      </c>
      <c r="D19" s="440"/>
      <c r="E19" s="436"/>
      <c r="F19" s="69">
        <f>231129+294806</f>
        <v>525935</v>
      </c>
      <c r="G19" s="69"/>
      <c r="H19" s="69"/>
      <c r="I19" s="69"/>
      <c r="J19" s="187"/>
      <c r="K19" s="364">
        <f t="shared" si="0"/>
        <v>525935</v>
      </c>
      <c r="L19" s="182"/>
      <c r="M19" s="182"/>
      <c r="N19" s="182"/>
      <c r="O19" s="182"/>
      <c r="P19" s="182"/>
      <c r="Q19" s="182"/>
      <c r="R19" s="182"/>
      <c r="S19" s="182"/>
      <c r="T19" s="182"/>
    </row>
    <row r="20" spans="2:20" s="51" customFormat="1" ht="15.75">
      <c r="B20" s="339">
        <v>7</v>
      </c>
      <c r="C20" s="440" t="s">
        <v>175</v>
      </c>
      <c r="D20" s="440"/>
      <c r="E20" s="440"/>
      <c r="F20" s="387">
        <f>SUM(G28:G47)</f>
        <v>3501311</v>
      </c>
      <c r="G20" s="387">
        <f>SUM(H28:H47)</f>
        <v>0</v>
      </c>
      <c r="H20" s="368">
        <f>SUM(I28:I47)</f>
        <v>0</v>
      </c>
      <c r="I20" s="368">
        <f>SUM(J28:J47)</f>
        <v>0</v>
      </c>
      <c r="J20" s="323">
        <f>SUM(K28:K47)</f>
        <v>0</v>
      </c>
      <c r="K20" s="364">
        <f t="shared" si="0"/>
        <v>3501311</v>
      </c>
      <c r="L20" s="182"/>
      <c r="M20" s="182"/>
      <c r="N20" s="182"/>
      <c r="O20" s="182"/>
      <c r="P20" s="182"/>
      <c r="Q20" s="182"/>
      <c r="R20" s="182"/>
      <c r="S20" s="182"/>
      <c r="T20" s="182"/>
    </row>
    <row r="21" spans="2:20" s="51" customFormat="1" ht="30.75" customHeight="1">
      <c r="B21" s="339">
        <v>8</v>
      </c>
      <c r="C21" s="461" t="s">
        <v>20</v>
      </c>
      <c r="D21" s="461"/>
      <c r="E21" s="461"/>
      <c r="F21" s="297">
        <f>SUM(F14:F20)</f>
        <v>4027246</v>
      </c>
      <c r="G21" s="297">
        <f>SUM(G14:G20)</f>
        <v>0</v>
      </c>
      <c r="H21" s="276">
        <f>SUM(H14:H20)</f>
        <v>0</v>
      </c>
      <c r="I21" s="276">
        <f>SUM(I14:I20)</f>
        <v>0</v>
      </c>
      <c r="J21" s="298">
        <f>SUM(J14:J20)</f>
        <v>0</v>
      </c>
      <c r="K21" s="276">
        <f>SUM(K14:K20)</f>
        <v>4027246</v>
      </c>
      <c r="L21" s="182"/>
      <c r="M21" s="182"/>
      <c r="N21" s="182"/>
      <c r="O21" s="182"/>
      <c r="P21" s="182"/>
      <c r="Q21" s="182"/>
      <c r="R21" s="182"/>
      <c r="S21" s="182"/>
      <c r="T21" s="182"/>
    </row>
    <row r="22" spans="14:23" s="48" customFormat="1" ht="15.75">
      <c r="N22" s="182"/>
      <c r="O22" s="182"/>
      <c r="P22" s="182"/>
      <c r="Q22" s="182"/>
      <c r="R22" s="182"/>
      <c r="S22" s="182"/>
      <c r="T22" s="182"/>
      <c r="U22" s="182"/>
      <c r="V22" s="182"/>
      <c r="W22" s="182"/>
    </row>
    <row r="23" spans="2:22" s="51" customFormat="1" ht="18.75" thickBot="1">
      <c r="B23" s="396" t="s">
        <v>261</v>
      </c>
      <c r="C23" s="54"/>
      <c r="D23" s="39"/>
      <c r="E23" s="39"/>
      <c r="F23" s="39"/>
      <c r="G23" s="39"/>
      <c r="H23" s="56"/>
      <c r="I23" s="54"/>
      <c r="J23" s="54"/>
      <c r="K23" s="54"/>
      <c r="L23" s="54"/>
      <c r="M23" s="182"/>
      <c r="N23" s="182"/>
      <c r="O23" s="182"/>
      <c r="P23" s="182"/>
      <c r="Q23" s="182"/>
      <c r="R23" s="182"/>
      <c r="S23" s="182"/>
      <c r="T23" s="182"/>
      <c r="U23" s="182"/>
      <c r="V23" s="182"/>
    </row>
    <row r="24" spans="3:22" s="51" customFormat="1" ht="16.5" thickTop="1">
      <c r="C24" s="5"/>
      <c r="D24" s="5"/>
      <c r="E24" s="5"/>
      <c r="F24" s="5"/>
      <c r="G24" s="52"/>
      <c r="M24" s="182"/>
      <c r="N24" s="182"/>
      <c r="O24" s="182"/>
      <c r="P24" s="182"/>
      <c r="Q24" s="182"/>
      <c r="R24" s="182"/>
      <c r="S24" s="182"/>
      <c r="T24" s="182"/>
      <c r="U24" s="182"/>
      <c r="V24" s="182"/>
    </row>
    <row r="25" spans="3:20" s="51" customFormat="1" ht="15.75">
      <c r="C25" s="250" t="s">
        <v>27</v>
      </c>
      <c r="D25" s="250" t="s">
        <v>29</v>
      </c>
      <c r="E25" s="250" t="s">
        <v>32</v>
      </c>
      <c r="F25" s="250" t="s">
        <v>246</v>
      </c>
      <c r="G25" s="286" t="s">
        <v>247</v>
      </c>
      <c r="H25" s="339" t="s">
        <v>248</v>
      </c>
      <c r="I25" s="339" t="s">
        <v>257</v>
      </c>
      <c r="J25" s="339" t="s">
        <v>249</v>
      </c>
      <c r="K25" s="339" t="s">
        <v>250</v>
      </c>
      <c r="L25" s="286" t="s">
        <v>251</v>
      </c>
      <c r="M25" s="182"/>
      <c r="N25" s="182"/>
      <c r="O25" s="182"/>
      <c r="P25" s="182"/>
      <c r="Q25" s="182"/>
      <c r="R25" s="182"/>
      <c r="S25" s="182"/>
      <c r="T25" s="182"/>
    </row>
    <row r="26" spans="2:20" s="51" customFormat="1" ht="15" customHeight="1">
      <c r="B26" s="13"/>
      <c r="C26" s="397"/>
      <c r="D26" s="460" t="s">
        <v>224</v>
      </c>
      <c r="E26" s="460"/>
      <c r="F26" s="460"/>
      <c r="G26" s="301" t="s">
        <v>214</v>
      </c>
      <c r="H26" s="460" t="s">
        <v>213</v>
      </c>
      <c r="I26" s="460"/>
      <c r="J26" s="460"/>
      <c r="K26" s="460"/>
      <c r="L26" s="386"/>
      <c r="M26" s="182"/>
      <c r="N26" s="182"/>
      <c r="O26" s="182"/>
      <c r="P26" s="182"/>
      <c r="Q26" s="182"/>
      <c r="R26" s="182"/>
      <c r="S26" s="182"/>
      <c r="T26" s="182"/>
    </row>
    <row r="27" spans="2:23" ht="69" customHeight="1">
      <c r="B27" s="336" t="s">
        <v>134</v>
      </c>
      <c r="C27" s="336" t="s">
        <v>11</v>
      </c>
      <c r="D27" s="335" t="s">
        <v>12</v>
      </c>
      <c r="E27" s="335" t="s">
        <v>18</v>
      </c>
      <c r="F27" s="335" t="s">
        <v>19</v>
      </c>
      <c r="G27" s="289" t="s">
        <v>287</v>
      </c>
      <c r="H27" s="391" t="s">
        <v>5</v>
      </c>
      <c r="I27" s="305" t="s">
        <v>6</v>
      </c>
      <c r="J27" s="305" t="s">
        <v>31</v>
      </c>
      <c r="K27" s="305" t="s">
        <v>15</v>
      </c>
      <c r="L27" s="338" t="s">
        <v>278</v>
      </c>
      <c r="M27" s="274"/>
      <c r="U27" s="332"/>
      <c r="V27" s="332"/>
      <c r="W27" s="332"/>
    </row>
    <row r="28" spans="2:23" ht="15.75">
      <c r="B28" s="339">
        <v>1</v>
      </c>
      <c r="C28" s="340">
        <f aca="true" t="shared" si="1" ref="C28:C47">IF(L28&lt;&gt;0,VLOOKUP($D$7,Info_County_Code,2,FALSE),"")</f>
        <v>36</v>
      </c>
      <c r="D28" s="188" t="s">
        <v>354</v>
      </c>
      <c r="E28" s="75"/>
      <c r="F28" s="213" t="s">
        <v>177</v>
      </c>
      <c r="G28" s="58">
        <v>259963</v>
      </c>
      <c r="H28" s="61"/>
      <c r="I28" s="61"/>
      <c r="J28" s="58"/>
      <c r="K28" s="175"/>
      <c r="L28" s="398">
        <f>SUM(G28:K28)</f>
        <v>259963</v>
      </c>
      <c r="M28" s="274"/>
      <c r="U28" s="332"/>
      <c r="V28" s="332"/>
      <c r="W28" s="332"/>
    </row>
    <row r="29" spans="2:23" ht="15.75">
      <c r="B29" s="339">
        <v>2</v>
      </c>
      <c r="C29" s="340">
        <f t="shared" si="1"/>
      </c>
      <c r="D29" s="203" t="s">
        <v>355</v>
      </c>
      <c r="E29" s="204"/>
      <c r="F29" s="213" t="s">
        <v>177</v>
      </c>
      <c r="G29" s="58">
        <v>0</v>
      </c>
      <c r="H29" s="61"/>
      <c r="I29" s="59"/>
      <c r="J29" s="57"/>
      <c r="K29" s="176"/>
      <c r="L29" s="398">
        <f aca="true" t="shared" si="2" ref="L29:L47">SUM(G29:K29)</f>
        <v>0</v>
      </c>
      <c r="M29" s="274"/>
      <c r="U29" s="332"/>
      <c r="V29" s="332"/>
      <c r="W29" s="332"/>
    </row>
    <row r="30" spans="2:23" ht="15.75">
      <c r="B30" s="339">
        <v>3</v>
      </c>
      <c r="C30" s="340">
        <f t="shared" si="1"/>
      </c>
      <c r="D30" s="203" t="s">
        <v>356</v>
      </c>
      <c r="E30" s="204"/>
      <c r="F30" s="213" t="s">
        <v>177</v>
      </c>
      <c r="G30" s="58">
        <v>0</v>
      </c>
      <c r="H30" s="61"/>
      <c r="I30" s="59"/>
      <c r="J30" s="57"/>
      <c r="K30" s="176"/>
      <c r="L30" s="398">
        <f t="shared" si="2"/>
        <v>0</v>
      </c>
      <c r="M30" s="274"/>
      <c r="U30" s="332"/>
      <c r="V30" s="332"/>
      <c r="W30" s="332"/>
    </row>
    <row r="31" spans="2:23" ht="15.75">
      <c r="B31" s="339">
        <v>4</v>
      </c>
      <c r="C31" s="340">
        <f t="shared" si="1"/>
        <v>36</v>
      </c>
      <c r="D31" s="203" t="s">
        <v>357</v>
      </c>
      <c r="E31" s="204"/>
      <c r="F31" s="213" t="s">
        <v>177</v>
      </c>
      <c r="G31" s="58">
        <v>320647</v>
      </c>
      <c r="H31" s="61"/>
      <c r="I31" s="59"/>
      <c r="J31" s="57"/>
      <c r="K31" s="176"/>
      <c r="L31" s="398">
        <f t="shared" si="2"/>
        <v>320647</v>
      </c>
      <c r="M31" s="274"/>
      <c r="U31" s="332"/>
      <c r="V31" s="332"/>
      <c r="W31" s="332"/>
    </row>
    <row r="32" spans="2:23" ht="15.75">
      <c r="B32" s="339">
        <v>5</v>
      </c>
      <c r="C32" s="340">
        <f t="shared" si="1"/>
        <v>36</v>
      </c>
      <c r="D32" s="203" t="s">
        <v>358</v>
      </c>
      <c r="E32" s="204"/>
      <c r="F32" s="213" t="s">
        <v>177</v>
      </c>
      <c r="G32" s="58">
        <v>2920701</v>
      </c>
      <c r="H32" s="61"/>
      <c r="I32" s="59"/>
      <c r="J32" s="57"/>
      <c r="K32" s="176"/>
      <c r="L32" s="398">
        <f t="shared" si="2"/>
        <v>2920701</v>
      </c>
      <c r="M32" s="274"/>
      <c r="U32" s="332"/>
      <c r="V32" s="332"/>
      <c r="W32" s="332"/>
    </row>
    <row r="33" spans="2:23" ht="15.75">
      <c r="B33" s="339">
        <v>6</v>
      </c>
      <c r="C33" s="340">
        <f t="shared" si="1"/>
      </c>
      <c r="D33" s="204"/>
      <c r="E33" s="204"/>
      <c r="F33" s="60"/>
      <c r="G33" s="58"/>
      <c r="H33" s="61"/>
      <c r="I33" s="59"/>
      <c r="J33" s="57"/>
      <c r="K33" s="176"/>
      <c r="L33" s="398">
        <f t="shared" si="2"/>
        <v>0</v>
      </c>
      <c r="M33" s="274"/>
      <c r="U33" s="332"/>
      <c r="V33" s="332"/>
      <c r="W33" s="332"/>
    </row>
    <row r="34" spans="2:23" ht="15.75">
      <c r="B34" s="339">
        <v>7</v>
      </c>
      <c r="C34" s="340">
        <f t="shared" si="1"/>
      </c>
      <c r="D34" s="204"/>
      <c r="E34" s="204"/>
      <c r="F34" s="60"/>
      <c r="G34" s="58"/>
      <c r="H34" s="61"/>
      <c r="I34" s="59"/>
      <c r="J34" s="57"/>
      <c r="K34" s="176"/>
      <c r="L34" s="398">
        <f t="shared" si="2"/>
        <v>0</v>
      </c>
      <c r="M34" s="274"/>
      <c r="U34" s="332"/>
      <c r="V34" s="332"/>
      <c r="W34" s="332"/>
    </row>
    <row r="35" spans="2:23" ht="15.75">
      <c r="B35" s="339">
        <v>8</v>
      </c>
      <c r="C35" s="340">
        <f t="shared" si="1"/>
      </c>
      <c r="D35" s="75"/>
      <c r="E35" s="75"/>
      <c r="F35" s="60"/>
      <c r="G35" s="58"/>
      <c r="H35" s="61"/>
      <c r="I35" s="59"/>
      <c r="J35" s="57"/>
      <c r="K35" s="176"/>
      <c r="L35" s="398">
        <f t="shared" si="2"/>
        <v>0</v>
      </c>
      <c r="M35" s="274"/>
      <c r="U35" s="332"/>
      <c r="V35" s="332"/>
      <c r="W35" s="332"/>
    </row>
    <row r="36" spans="2:23" ht="15.75">
      <c r="B36" s="339">
        <v>9</v>
      </c>
      <c r="C36" s="340">
        <f t="shared" si="1"/>
      </c>
      <c r="D36" s="75"/>
      <c r="E36" s="75"/>
      <c r="F36" s="60"/>
      <c r="G36" s="58"/>
      <c r="H36" s="61"/>
      <c r="I36" s="59"/>
      <c r="J36" s="57"/>
      <c r="K36" s="176"/>
      <c r="L36" s="398">
        <f t="shared" si="2"/>
        <v>0</v>
      </c>
      <c r="M36" s="274"/>
      <c r="U36" s="332"/>
      <c r="V36" s="332"/>
      <c r="W36" s="332"/>
    </row>
    <row r="37" spans="2:23" ht="15.75">
      <c r="B37" s="339">
        <v>10</v>
      </c>
      <c r="C37" s="340">
        <f t="shared" si="1"/>
      </c>
      <c r="D37" s="75"/>
      <c r="E37" s="75"/>
      <c r="F37" s="60"/>
      <c r="G37" s="58"/>
      <c r="H37" s="61"/>
      <c r="I37" s="59"/>
      <c r="J37" s="57"/>
      <c r="K37" s="176"/>
      <c r="L37" s="398">
        <f t="shared" si="2"/>
        <v>0</v>
      </c>
      <c r="M37" s="274"/>
      <c r="U37" s="332"/>
      <c r="V37" s="332"/>
      <c r="W37" s="332"/>
    </row>
    <row r="38" spans="2:23" ht="15.75">
      <c r="B38" s="339">
        <v>11</v>
      </c>
      <c r="C38" s="340">
        <f t="shared" si="1"/>
      </c>
      <c r="D38" s="75"/>
      <c r="E38" s="75"/>
      <c r="F38" s="60"/>
      <c r="G38" s="58"/>
      <c r="H38" s="61"/>
      <c r="I38" s="59"/>
      <c r="J38" s="57"/>
      <c r="K38" s="176"/>
      <c r="L38" s="398">
        <f t="shared" si="2"/>
        <v>0</v>
      </c>
      <c r="M38" s="274"/>
      <c r="U38" s="332"/>
      <c r="V38" s="332"/>
      <c r="W38" s="332"/>
    </row>
    <row r="39" spans="2:23" ht="15.75">
      <c r="B39" s="339">
        <v>12</v>
      </c>
      <c r="C39" s="340">
        <f t="shared" si="1"/>
      </c>
      <c r="D39" s="75"/>
      <c r="E39" s="75"/>
      <c r="F39" s="60"/>
      <c r="G39" s="58"/>
      <c r="H39" s="61"/>
      <c r="I39" s="59"/>
      <c r="J39" s="57"/>
      <c r="K39" s="176"/>
      <c r="L39" s="398">
        <f t="shared" si="2"/>
        <v>0</v>
      </c>
      <c r="M39" s="274"/>
      <c r="U39" s="332"/>
      <c r="V39" s="332"/>
      <c r="W39" s="332"/>
    </row>
    <row r="40" spans="2:23" ht="15.75">
      <c r="B40" s="339">
        <v>13</v>
      </c>
      <c r="C40" s="340">
        <f t="shared" si="1"/>
      </c>
      <c r="D40" s="75"/>
      <c r="E40" s="75"/>
      <c r="F40" s="60"/>
      <c r="G40" s="58"/>
      <c r="H40" s="61"/>
      <c r="I40" s="59"/>
      <c r="J40" s="57"/>
      <c r="K40" s="176"/>
      <c r="L40" s="398">
        <f t="shared" si="2"/>
        <v>0</v>
      </c>
      <c r="M40" s="274"/>
      <c r="U40" s="332"/>
      <c r="V40" s="332"/>
      <c r="W40" s="332"/>
    </row>
    <row r="41" spans="2:23" ht="15.75">
      <c r="B41" s="339">
        <v>14</v>
      </c>
      <c r="C41" s="340">
        <f t="shared" si="1"/>
      </c>
      <c r="D41" s="75"/>
      <c r="E41" s="75"/>
      <c r="F41" s="60"/>
      <c r="G41" s="58"/>
      <c r="H41" s="61"/>
      <c r="I41" s="59"/>
      <c r="J41" s="57"/>
      <c r="K41" s="176"/>
      <c r="L41" s="398">
        <f t="shared" si="2"/>
        <v>0</v>
      </c>
      <c r="M41" s="274"/>
      <c r="U41" s="332"/>
      <c r="V41" s="332"/>
      <c r="W41" s="332"/>
    </row>
    <row r="42" spans="2:23" ht="15.75">
      <c r="B42" s="339">
        <v>15</v>
      </c>
      <c r="C42" s="340">
        <f t="shared" si="1"/>
      </c>
      <c r="D42" s="75"/>
      <c r="E42" s="75"/>
      <c r="F42" s="60"/>
      <c r="G42" s="58"/>
      <c r="H42" s="61"/>
      <c r="I42" s="59"/>
      <c r="J42" s="57"/>
      <c r="K42" s="176"/>
      <c r="L42" s="398">
        <f t="shared" si="2"/>
        <v>0</v>
      </c>
      <c r="M42" s="274"/>
      <c r="U42" s="332"/>
      <c r="V42" s="332"/>
      <c r="W42" s="332"/>
    </row>
    <row r="43" spans="2:23" ht="15.75">
      <c r="B43" s="339">
        <v>16</v>
      </c>
      <c r="C43" s="340">
        <f t="shared" si="1"/>
      </c>
      <c r="D43" s="75"/>
      <c r="E43" s="75"/>
      <c r="F43" s="60"/>
      <c r="G43" s="58"/>
      <c r="H43" s="61"/>
      <c r="I43" s="59"/>
      <c r="J43" s="57"/>
      <c r="K43" s="176"/>
      <c r="L43" s="398">
        <f t="shared" si="2"/>
        <v>0</v>
      </c>
      <c r="M43" s="274"/>
      <c r="U43" s="332"/>
      <c r="V43" s="332"/>
      <c r="W43" s="332"/>
    </row>
    <row r="44" spans="2:23" ht="15.75">
      <c r="B44" s="339">
        <v>17</v>
      </c>
      <c r="C44" s="340">
        <f t="shared" si="1"/>
      </c>
      <c r="D44" s="75"/>
      <c r="E44" s="75"/>
      <c r="F44" s="60"/>
      <c r="G44" s="58"/>
      <c r="H44" s="61"/>
      <c r="I44" s="59"/>
      <c r="J44" s="57"/>
      <c r="K44" s="176"/>
      <c r="L44" s="398">
        <f t="shared" si="2"/>
        <v>0</v>
      </c>
      <c r="M44" s="274"/>
      <c r="U44" s="332"/>
      <c r="V44" s="332"/>
      <c r="W44" s="332"/>
    </row>
    <row r="45" spans="2:23" ht="15.75">
      <c r="B45" s="339">
        <v>18</v>
      </c>
      <c r="C45" s="340">
        <f t="shared" si="1"/>
      </c>
      <c r="D45" s="75"/>
      <c r="E45" s="75"/>
      <c r="F45" s="60"/>
      <c r="G45" s="58"/>
      <c r="H45" s="61"/>
      <c r="I45" s="59"/>
      <c r="J45" s="57"/>
      <c r="K45" s="176"/>
      <c r="L45" s="398">
        <f t="shared" si="2"/>
        <v>0</v>
      </c>
      <c r="M45" s="274"/>
      <c r="U45" s="332"/>
      <c r="V45" s="332"/>
      <c r="W45" s="332"/>
    </row>
    <row r="46" spans="2:23" ht="15.75">
      <c r="B46" s="339">
        <v>19</v>
      </c>
      <c r="C46" s="340">
        <f t="shared" si="1"/>
      </c>
      <c r="D46" s="75"/>
      <c r="E46" s="75"/>
      <c r="F46" s="60"/>
      <c r="G46" s="58"/>
      <c r="H46" s="61"/>
      <c r="I46" s="59"/>
      <c r="J46" s="57"/>
      <c r="K46" s="176"/>
      <c r="L46" s="398">
        <f t="shared" si="2"/>
        <v>0</v>
      </c>
      <c r="M46" s="274"/>
      <c r="U46" s="332"/>
      <c r="V46" s="332"/>
      <c r="W46" s="332"/>
    </row>
    <row r="47" spans="2:23" ht="15.75">
      <c r="B47" s="339">
        <v>20</v>
      </c>
      <c r="C47" s="340">
        <f t="shared" si="1"/>
      </c>
      <c r="D47" s="75"/>
      <c r="E47" s="75"/>
      <c r="F47" s="60"/>
      <c r="G47" s="58"/>
      <c r="H47" s="61"/>
      <c r="I47" s="59"/>
      <c r="J47" s="57"/>
      <c r="K47" s="176"/>
      <c r="L47" s="398">
        <f t="shared" si="2"/>
        <v>0</v>
      </c>
      <c r="M47" s="274"/>
      <c r="U47" s="332"/>
      <c r="V47" s="332"/>
      <c r="W47" s="332"/>
    </row>
    <row r="48" ht="15.75" hidden="1"/>
    <row r="49" ht="15.75" hidden="1"/>
    <row r="50" ht="15.75" hidden="1"/>
    <row r="51" ht="15.75" hidden="1"/>
    <row r="52" ht="15.75" hidden="1"/>
    <row r="53" ht="15.75" hidden="1"/>
    <row r="54" ht="15.75" hidden="1"/>
    <row r="55" ht="15.75" hidden="1"/>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SanBernardino-FY17-18</dc:title>
  <dc:subject/>
  <dc:creator>Donna Ures</dc:creator>
  <cp:keywords>MHSA, RER</cp:keywords>
  <dc:description/>
  <cp:lastModifiedBy>Saelee, Katie (CSD)@DHCS</cp:lastModifiedBy>
  <cp:lastPrinted>2019-01-04T15:31:58Z</cp:lastPrinted>
  <dcterms:created xsi:type="dcterms:W3CDTF">2017-07-05T19:48:18Z</dcterms:created>
  <dcterms:modified xsi:type="dcterms:W3CDTF">2020-02-07T17:12:11Z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DHCSDOC-1797567310-2274</vt:lpwstr>
  </property>
  <property fmtid="{D5CDD505-2E9C-101B-9397-08002B2CF9AE}" pid="3" name="_dlc_DocIdItemGuid">
    <vt:lpwstr>2ca23ed9-6426-4714-966a-c48927f74828</vt:lpwstr>
  </property>
  <property fmtid="{D5CDD505-2E9C-101B-9397-08002B2CF9AE}" pid="4" name="_dlc_DocIdUrl">
    <vt:lpwstr>https://dhcscagovauthoring/_layouts/15/DocIdRedir.aspx?ID=DHCSDOC-1797567310-2274, DHCSDOC-1797567310-2274</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San Bernardino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