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0" yWindow="0" windowWidth="57540" windowHeight="13560" tabRatio="584" firstSheet="1" activeTab="1"/>
  </bookViews>
  <sheets>
    <sheet name="DHCS Only" sheetId="1" state="hidden" r:id="rId1"/>
    <sheet name="Instructions" sheetId="2" r:id="rId2"/>
    <sheet name="1. Information" sheetId="3" r:id="rId3"/>
    <sheet name="2. Component Summary" sheetId="4" r:id="rId4"/>
    <sheet name="3. CSS" sheetId="5" r:id="rId5"/>
    <sheet name="4. PEI" sheetId="6" r:id="rId6"/>
    <sheet name="5. INN" sheetId="7" r:id="rId7"/>
    <sheet name="6. WET" sheetId="8" r:id="rId8"/>
    <sheet name="7. CFTN" sheetId="9" r:id="rId9"/>
    <sheet name="8. WET RP, HP" sheetId="10" r:id="rId10"/>
    <sheet name="9. Adjustment (MHSA)" sheetId="11" r:id="rId11"/>
    <sheet name="10. Adjustment (FFP)" sheetId="12" r:id="rId12"/>
    <sheet name="11. Comments" sheetId="13" r:id="rId13"/>
    <sheet name="drop down fields" sheetId="14" state="hidden" r:id="rId14"/>
    <sheet name="E-1 CountyState2017" sheetId="15" state="hidden" r:id="rId15"/>
  </sheets>
  <externalReferences>
    <externalReference r:id="rId18"/>
    <externalReference r:id="rId19"/>
  </externalReferences>
  <definedNames>
    <definedName name="Adjustment_MHSA_Component">'drop down fields'!$J$2:$J$10</definedName>
    <definedName name="Adjustment_MHSA_FY">'drop down fields'!$K$2:$K$3</definedName>
    <definedName name="Adjustment_Reason">'drop down fields'!$M$2:$M$7</definedName>
    <definedName name="CFTN_Project_Type">'drop down fields'!$I$2:$I$3</definedName>
    <definedName name="Cost_Report_Stage">'drop down fields'!$N$2:$N$4</definedName>
    <definedName name="County">'drop down fields'!$A$2:$A$60</definedName>
    <definedName name="County_List">'[1]Schedule-CSS'!$I$6:$I$64</definedName>
    <definedName name="County_Population">'E-1 CountyState2017'!$A$10:$E$71</definedName>
    <definedName name="CSS_Service_Category">'drop down fields'!$D$2:$D$3</definedName>
    <definedName name="Data">'[2]Data'!$A$3:$BI$61</definedName>
    <definedName name="FFP_Adjustment_FY">'drop down fields'!$L$2:$L$9</definedName>
    <definedName name="Info_County_Code">'drop down fields'!$A$2:$B$60</definedName>
    <definedName name="Info_Population">'drop down fields'!$C$2:$C$3</definedName>
    <definedName name="INN_Expenditure_Type">'drop down fields'!$G$2:$G$4</definedName>
    <definedName name="PEI_Combined_Standalone">'drop down fields'!$E$2:$E$3</definedName>
    <definedName name="PEI_Program_Type">'drop down fields'!$F$2:$F$9</definedName>
    <definedName name="_xlnm.Print_Area" localSheetId="2">'1. Information'!$B$1:$D$17</definedName>
    <definedName name="_xlnm.Print_Area" localSheetId="11">'10. Adjustment (FFP)'!$B$2:$I$52</definedName>
    <definedName name="_xlnm.Print_Area" localSheetId="12">'11. Comments'!$B$2:$C$47</definedName>
    <definedName name="_xlnm.Print_Area" localSheetId="3">'2. Component Summary'!$B$2:$N$41</definedName>
    <definedName name="_xlnm.Print_Area" localSheetId="4">'3. CSS'!$B$2:$L$132</definedName>
    <definedName name="_xlnm.Print_Area" localSheetId="5">'4. PEI'!$B$2:$Q$135</definedName>
    <definedName name="_xlnm.Print_Area" localSheetId="6">'5. INN'!$B$2:$Q$132</definedName>
    <definedName name="_xlnm.Print_Area" localSheetId="7">'6. WET'!$B$2:$K$32</definedName>
    <definedName name="_xlnm.Print_Area" localSheetId="8">'7. CFTN'!$B$2:$L$47</definedName>
    <definedName name="_xlnm.Print_Area" localSheetId="9">'8. WET RP, HP'!$B$2:$J$15</definedName>
    <definedName name="_xlnm.Print_Area" localSheetId="10">'9. Adjustment (MHSA)'!$B$2:$G$112</definedName>
    <definedName name="_xlnm.Print_Area" localSheetId="0">'DHCS Only'!$A$1:$F$20</definedName>
    <definedName name="_xlnm.Print_Area" localSheetId="13">'drop down fields'!$A$1:$O$60</definedName>
    <definedName name="_xlnm.Print_Area" localSheetId="14">'E-1 CountyState2017'!$A$1:$G$83</definedName>
    <definedName name="_xlnm.Print_Area" localSheetId="1">'Instructions'!$A$2:$L$18</definedName>
    <definedName name="_xlnm.Print_Titles" localSheetId="3">'2. Component Summary'!$20:$20</definedName>
    <definedName name="TitleRegion1.b11.g42.10">'9. Adjustment (MHSA)'!$B$11</definedName>
    <definedName name="TitleRegion1.b11.i52.11">'10. Adjustment (FFP)'!$B$11</definedName>
    <definedName name="TitleRegion1.b11.j15.9">'8. WET RP, HP'!$B$11</definedName>
    <definedName name="TitleRegion1.b11.k20.7">'6. WET'!$B$11</definedName>
    <definedName name="TitleRegion1.b11.k21.5">'4. PEI'!$B$11</definedName>
    <definedName name="TitleRegion1.b11.k21.8">'7. CFTN'!$B$11</definedName>
    <definedName name="TitleRegion1.b11.k22.6">'5. INN'!$B$11</definedName>
    <definedName name="TitleRegion1.b11.k25.4">'3. CSS'!$B$11</definedName>
    <definedName name="TitleRegion1.b14.d17.3">'2. Component Summary'!$B$14</definedName>
    <definedName name="TitleRegion1.b7.c47.12">'11. Comments'!$B$7</definedName>
    <definedName name="TitleRegion2.b19.n24.3">'2. Component Summary'!$B$19</definedName>
    <definedName name="TitleRegion2.b25.g29.5">'4. PEI'!$B$25</definedName>
    <definedName name="TitleRegion2.b25.j32.7">'6. WET'!$B$25</definedName>
    <definedName name="TitleRegion2.b25.l47.8">'7. CFTN'!$B$25</definedName>
    <definedName name="TitleRegion2.b26.p132.6">'5. INN'!$B$26</definedName>
    <definedName name="TitleRegion2.b30.l132.4">'3. CSS'!$B$30</definedName>
    <definedName name="TitleRegion2.b46.g77.10">'9. Adjustment (MHSA)'!$B$46</definedName>
    <definedName name="TitleRegion3.b26.n27.3">'2. Component Summary'!$B$26</definedName>
    <definedName name="TitleRegion3.b33.q135.5">'4. PEI'!$B$33</definedName>
    <definedName name="TitleRegion3.b81.g112.10">'9. Adjustment (MHSA)'!$B$81</definedName>
    <definedName name="TitleRegion4.b29.n35.3">'2. Component Summary'!$B$29</definedName>
    <definedName name="TitleRegion5.b38.d41.3">'2. Component Summary'!$B$38</definedName>
    <definedName name="WET_Funding_Category">'drop down fields'!$H$2:$H$6</definedName>
  </definedNames>
  <calcPr fullCalcOnLoad="1"/>
</workbook>
</file>

<file path=xl/sharedStrings.xml><?xml version="1.0" encoding="utf-8"?>
<sst xmlns="http://schemas.openxmlformats.org/spreadsheetml/2006/main" count="872" uniqueCount="377">
  <si>
    <t>Prevention and Early Intervention (PEI) Summary</t>
  </si>
  <si>
    <t>County:</t>
  </si>
  <si>
    <t>Date:</t>
  </si>
  <si>
    <t>PEI Annual Planning Costs</t>
  </si>
  <si>
    <t>Prior Program Name</t>
  </si>
  <si>
    <t>Medi-Cal FFP</t>
  </si>
  <si>
    <t>1991 Realignment</t>
  </si>
  <si>
    <t>CSS Annual Planning Costs</t>
  </si>
  <si>
    <t>CSS Evaluation Costs</t>
  </si>
  <si>
    <t>Service Category</t>
  </si>
  <si>
    <t>Program Name</t>
  </si>
  <si>
    <t>County</t>
  </si>
  <si>
    <t>Project Name</t>
  </si>
  <si>
    <t>Project Start Date</t>
  </si>
  <si>
    <t>BH Subaccount</t>
  </si>
  <si>
    <t>Other</t>
  </si>
  <si>
    <t>WET Annual Planning Costs</t>
  </si>
  <si>
    <t>WET Evaluation Costs</t>
  </si>
  <si>
    <t>Prior Project Name</t>
  </si>
  <si>
    <t>Project Type</t>
  </si>
  <si>
    <t>Total CFTN Expenditures</t>
  </si>
  <si>
    <t>Funding Category</t>
  </si>
  <si>
    <t>Total Annual Planning Costs</t>
  </si>
  <si>
    <t>Total Evaluation Costs</t>
  </si>
  <si>
    <t>Total Administration</t>
  </si>
  <si>
    <t>TOTAL</t>
  </si>
  <si>
    <t>Transfer from Local Prudent Reserve</t>
  </si>
  <si>
    <t>A</t>
  </si>
  <si>
    <t>MHSA Funds</t>
  </si>
  <si>
    <t>B</t>
  </si>
  <si>
    <t>Other Funds</t>
  </si>
  <si>
    <t>Behavioral Health Subaccount</t>
  </si>
  <si>
    <t>C</t>
  </si>
  <si>
    <t>FFP Revenue Adjustment</t>
  </si>
  <si>
    <t>CSS</t>
  </si>
  <si>
    <t>PEI</t>
  </si>
  <si>
    <t>INN</t>
  </si>
  <si>
    <t>WET</t>
  </si>
  <si>
    <t>CFTN</t>
  </si>
  <si>
    <t>TTACB</t>
  </si>
  <si>
    <t>WET RP</t>
  </si>
  <si>
    <t>MHSA HP</t>
  </si>
  <si>
    <t>PR</t>
  </si>
  <si>
    <t>Alameda</t>
  </si>
  <si>
    <t>Amador</t>
  </si>
  <si>
    <t>Berkeley City</t>
  </si>
  <si>
    <t>Butte</t>
  </si>
  <si>
    <t>Calaveras</t>
  </si>
  <si>
    <t>Colusa</t>
  </si>
  <si>
    <t>Contra Costa</t>
  </si>
  <si>
    <t>Del Norte</t>
  </si>
  <si>
    <t>El Dorado</t>
  </si>
  <si>
    <t>Fresno</t>
  </si>
  <si>
    <t>Glenn</t>
  </si>
  <si>
    <t>Humboldt</t>
  </si>
  <si>
    <t>Imperial</t>
  </si>
  <si>
    <t>Inyo</t>
  </si>
  <si>
    <t>Kern</t>
  </si>
  <si>
    <t>Kings</t>
  </si>
  <si>
    <t>Lake</t>
  </si>
  <si>
    <t>Lassen</t>
  </si>
  <si>
    <t>Los Angeles</t>
  </si>
  <si>
    <t>Madera</t>
  </si>
  <si>
    <t>Marin</t>
  </si>
  <si>
    <t>Mariposa</t>
  </si>
  <si>
    <t>Mendocino</t>
  </si>
  <si>
    <t>Merced</t>
  </si>
  <si>
    <t>Modoc</t>
  </si>
  <si>
    <t>Mono</t>
  </si>
  <si>
    <t>Monterey</t>
  </si>
  <si>
    <t>Napa</t>
  </si>
  <si>
    <t>Nevada</t>
  </si>
  <si>
    <t>Orange</t>
  </si>
  <si>
    <t>Placer</t>
  </si>
  <si>
    <t>Plumas</t>
  </si>
  <si>
    <t>Riverside</t>
  </si>
  <si>
    <t>Sacramento</t>
  </si>
  <si>
    <t>San Benito</t>
  </si>
  <si>
    <t>San Bernardino</t>
  </si>
  <si>
    <t>San Diego</t>
  </si>
  <si>
    <t>San Francisco</t>
  </si>
  <si>
    <t>San Joaquin</t>
  </si>
  <si>
    <t>San Luis Obispo</t>
  </si>
  <si>
    <t>San Mateo</t>
  </si>
  <si>
    <t>Santa Barbara</t>
  </si>
  <si>
    <t>Santa Clara</t>
  </si>
  <si>
    <t>Santa Cruz</t>
  </si>
  <si>
    <t>Shasta</t>
  </si>
  <si>
    <t>Sierra</t>
  </si>
  <si>
    <t>Siskiyou</t>
  </si>
  <si>
    <t>Solano</t>
  </si>
  <si>
    <t>Sonoma</t>
  </si>
  <si>
    <t>Stanislaus</t>
  </si>
  <si>
    <t>Tehama</t>
  </si>
  <si>
    <t>Tri-City</t>
  </si>
  <si>
    <t>Trinity</t>
  </si>
  <si>
    <t>Tulare</t>
  </si>
  <si>
    <t>Tuolumne</t>
  </si>
  <si>
    <t>Ventura</t>
  </si>
  <si>
    <t>Yolo</t>
  </si>
  <si>
    <t>Alpine</t>
  </si>
  <si>
    <t>Sutter/Yuba</t>
  </si>
  <si>
    <t>FSP</t>
  </si>
  <si>
    <t>Non-FSP</t>
  </si>
  <si>
    <t>Program Type</t>
  </si>
  <si>
    <t>Workforce Staffing</t>
  </si>
  <si>
    <t>Training/Technical Assistance</t>
  </si>
  <si>
    <t>MH Career Pathways</t>
  </si>
  <si>
    <t>Residency/Internship</t>
  </si>
  <si>
    <t>Financial Incentive</t>
  </si>
  <si>
    <t>Adjustment to FY</t>
  </si>
  <si>
    <t>Component</t>
  </si>
  <si>
    <t>Amount</t>
  </si>
  <si>
    <t>Reason</t>
  </si>
  <si>
    <t>Cost Report Reconciliation</t>
  </si>
  <si>
    <t>Cost Report Audit</t>
  </si>
  <si>
    <t>SDMC Chart Audit</t>
  </si>
  <si>
    <t>Local Quality Assurance Audit</t>
  </si>
  <si>
    <t>Error</t>
  </si>
  <si>
    <t>PEI SW</t>
  </si>
  <si>
    <t>WET Regional Partnerships (WET RP)</t>
  </si>
  <si>
    <t>MHSA Housing Program (Unencumbered Funds)</t>
  </si>
  <si>
    <t>TN Evaluation Costs</t>
  </si>
  <si>
    <t>CF Evaluation Costs</t>
  </si>
  <si>
    <t>Name of Preparer:</t>
  </si>
  <si>
    <t>County Code:</t>
  </si>
  <si>
    <t>Address:</t>
  </si>
  <si>
    <t>City:</t>
  </si>
  <si>
    <t>Zip:</t>
  </si>
  <si>
    <t>CSS Administration Costs</t>
  </si>
  <si>
    <t>Funding Type</t>
  </si>
  <si>
    <t>Adjustments Worksheet (MHSA)</t>
  </si>
  <si>
    <t>Access and Linkage</t>
  </si>
  <si>
    <t>PEI Evaluation Costs</t>
  </si>
  <si>
    <t>#</t>
  </si>
  <si>
    <t xml:space="preserve">Community Services and Supports (CSS) Summary  </t>
  </si>
  <si>
    <t>Prevention</t>
  </si>
  <si>
    <t>Early Intervention</t>
  </si>
  <si>
    <t>Workforce Education and Training (WET) Summary</t>
  </si>
  <si>
    <t>Capital Facility Technological Needs (CFTN) Summary</t>
  </si>
  <si>
    <t>CSS Program Expenditures</t>
  </si>
  <si>
    <t>Combined/ Standalone</t>
  </si>
  <si>
    <t>Subtotal Percentage for Combined Program</t>
  </si>
  <si>
    <t>Standalone</t>
  </si>
  <si>
    <t>Combined</t>
  </si>
  <si>
    <t>Outreach</t>
  </si>
  <si>
    <t>Stigma &amp; Discrimination Reduction</t>
  </si>
  <si>
    <t>Suicide Prevention</t>
  </si>
  <si>
    <t>Improving Timely Access</t>
  </si>
  <si>
    <t>PEI Administration Costs</t>
  </si>
  <si>
    <t>PEI Program Expenditures</t>
  </si>
  <si>
    <t>MHSOAC-Authorized MHSA INN Project Budget</t>
  </si>
  <si>
    <t>Amended MHSOAC-Authorized MHSA INN Project Budget</t>
  </si>
  <si>
    <t>Project Expenditure Type</t>
  </si>
  <si>
    <t>Project MHSOAC Approval Date</t>
  </si>
  <si>
    <t>PEI_Program_Type</t>
  </si>
  <si>
    <t>INN_Expenditure_Type</t>
  </si>
  <si>
    <t>Project</t>
  </si>
  <si>
    <t>Project Administration</t>
  </si>
  <si>
    <t>Project Evaluation</t>
  </si>
  <si>
    <t>INN Annual Planning Costs</t>
  </si>
  <si>
    <t>INN Indirect Administration</t>
  </si>
  <si>
    <t>INN Project Administration</t>
  </si>
  <si>
    <t>INN Project Evaluation</t>
  </si>
  <si>
    <t>INN Project Subtotal</t>
  </si>
  <si>
    <t>PEI Component</t>
  </si>
  <si>
    <t>CSS Component</t>
  </si>
  <si>
    <t>INN Component</t>
  </si>
  <si>
    <t>CSS_Service_Category</t>
  </si>
  <si>
    <t>Info_County_Code</t>
  </si>
  <si>
    <t>Info_Population</t>
  </si>
  <si>
    <t>PEI_Combined_Standalone</t>
  </si>
  <si>
    <t>WET_Funding_Category</t>
  </si>
  <si>
    <t>CFTN_Project_Type</t>
  </si>
  <si>
    <t>WET Program Expenditures</t>
  </si>
  <si>
    <t>CFTN Program Expenditure</t>
  </si>
  <si>
    <t>Capital Facility</t>
  </si>
  <si>
    <t>Technological Need</t>
  </si>
  <si>
    <t>Date</t>
  </si>
  <si>
    <t>Cost Report Stage</t>
  </si>
  <si>
    <t>Audited</t>
  </si>
  <si>
    <t>Settled</t>
  </si>
  <si>
    <t>Initial</t>
  </si>
  <si>
    <t>Fiscal Year</t>
  </si>
  <si>
    <t>Adjustment_Reason</t>
  </si>
  <si>
    <t>County Population:  Over 200,000? (Yes or No)</t>
  </si>
  <si>
    <t>Yes</t>
  </si>
  <si>
    <t>No</t>
  </si>
  <si>
    <t>TN Annual Planning Costs</t>
  </si>
  <si>
    <t>CF Annual Planning Costs</t>
  </si>
  <si>
    <t>Adjustment_MHSA_Component</t>
  </si>
  <si>
    <t>Adjustment to</t>
  </si>
  <si>
    <t>Prudent Reserve</t>
  </si>
  <si>
    <t>Title of Preparer:</t>
  </si>
  <si>
    <t>Preparer Contact Telephone</t>
  </si>
  <si>
    <t>County Code</t>
  </si>
  <si>
    <t>Program Activity Name (in Combined Program)</t>
  </si>
  <si>
    <t>About the Data</t>
  </si>
  <si>
    <t>E-1: State/County Population Estimates with Annual Percent Change</t>
  </si>
  <si>
    <t>State/County</t>
  </si>
  <si>
    <t xml:space="preserve">           Total Population</t>
  </si>
  <si>
    <t>Percent</t>
  </si>
  <si>
    <t>Change</t>
  </si>
  <si>
    <t>California</t>
  </si>
  <si>
    <t>Sutter</t>
  </si>
  <si>
    <t>Yuba</t>
  </si>
  <si>
    <t>Department of Finance</t>
  </si>
  <si>
    <t>Demographic Research Unit</t>
  </si>
  <si>
    <t>Phone: (916) 323-4086</t>
  </si>
  <si>
    <t>For more information:  http://www.dof.ca.gov/research/demographic/reports/estimates/e-1/view.php</t>
  </si>
  <si>
    <t>Released on May 1, 2017</t>
  </si>
  <si>
    <t>Preparer Contact Email:</t>
  </si>
  <si>
    <t>Wet Component</t>
  </si>
  <si>
    <t>Other Fund</t>
  </si>
  <si>
    <t>MHSA Fund</t>
  </si>
  <si>
    <t>PEI Funds Transferred to JPA</t>
  </si>
  <si>
    <t>CSS Funds Transferred to CalHFA</t>
  </si>
  <si>
    <t>PEI Expenditure Incurred by JPA</t>
  </si>
  <si>
    <t>CSS Funds Transferred to JPA</t>
  </si>
  <si>
    <t>CSS Expenditure Incurred by JPA</t>
  </si>
  <si>
    <t>Total WET Expenditures (Excluding Transfers to JPA)</t>
  </si>
  <si>
    <t>WET Funds Transferred to JPA</t>
  </si>
  <si>
    <t>WET Expenditure Incurred by JPA</t>
  </si>
  <si>
    <t>Total CSS Expenditures (Excluding Funds Transferred to JPA)</t>
  </si>
  <si>
    <t>CFTN Component</t>
  </si>
  <si>
    <t>CSS Funds Transferred to PR</t>
  </si>
  <si>
    <t>CSS Funds Transferred to WET</t>
  </si>
  <si>
    <t>CSS Funds Transferred to CFTN</t>
  </si>
  <si>
    <t xml:space="preserve">PEI Funds Expended by CalMHSA for PEI SW </t>
  </si>
  <si>
    <t>Total PEI Expenditures (Excluding Transfers and PEI SW)</t>
  </si>
  <si>
    <t>Combined Summary</t>
  </si>
  <si>
    <t>% of PEI Expended on Clients 25 &amp; Under (Standalone and Program Activities in Combined Program)</t>
  </si>
  <si>
    <t>% of PEI Expended on Clients 25 &amp; Under (Combined Summary and Standalone)</t>
  </si>
  <si>
    <t>Percent Expended for Clients 25 and Under, JPA</t>
  </si>
  <si>
    <t>Percent Expended for Clients 25 and Under, All PEI</t>
  </si>
  <si>
    <t>Cost_Report_Stage</t>
  </si>
  <si>
    <t>INN Project Direct</t>
  </si>
  <si>
    <t>Project Direct</t>
  </si>
  <si>
    <t>WET Administration Costs</t>
  </si>
  <si>
    <t>CF Administration</t>
  </si>
  <si>
    <t>TN Administration</t>
  </si>
  <si>
    <t>Information</t>
  </si>
  <si>
    <t>Beginning Balance</t>
  </si>
  <si>
    <t>Adjustment Amount</t>
  </si>
  <si>
    <t>Ending Balance</t>
  </si>
  <si>
    <t>MHSA PEI Fund Expenditures in Program to Clients 25 and Under (calculated from weighted program values) divided by Total MHSA PEI Expenditures</t>
  </si>
  <si>
    <t>D</t>
  </si>
  <si>
    <t>E</t>
  </si>
  <si>
    <t>F</t>
  </si>
  <si>
    <t>H</t>
  </si>
  <si>
    <t>I</t>
  </si>
  <si>
    <t>J</t>
  </si>
  <si>
    <t>K</t>
  </si>
  <si>
    <t>L</t>
  </si>
  <si>
    <t>M</t>
  </si>
  <si>
    <t>N</t>
  </si>
  <si>
    <t>O</t>
  </si>
  <si>
    <t>G</t>
  </si>
  <si>
    <t>Innovation (INN) Summary</t>
  </si>
  <si>
    <t>Annual Mental Health Services Act Revenue and Expenditure Report</t>
  </si>
  <si>
    <t>SECTION ONE</t>
  </si>
  <si>
    <t>SECTION TWO</t>
  </si>
  <si>
    <t>SECTION THREE</t>
  </si>
  <si>
    <t>Project Subtotal</t>
  </si>
  <si>
    <t>• Counties should reflect total (gross) program expenditures for each MHSA program on the MHSA Component Expenditure Worksheets.</t>
  </si>
  <si>
    <t>In general, counties will enter expenditure data in the blue boxes throughout the workbook. Cells shaded gray will require no data entry because it is an excel formula or data is not relevant for that particular cell.</t>
  </si>
  <si>
    <r>
      <rPr>
        <b/>
        <sz val="12"/>
        <color indexed="8"/>
        <rFont val="Arial"/>
        <family val="2"/>
      </rPr>
      <t>Step 1:</t>
    </r>
    <r>
      <rPr>
        <sz val="12"/>
        <color indexed="8"/>
        <rFont val="Arial"/>
        <family val="2"/>
      </rPr>
      <t xml:space="preserve"> Complete the Information worksheet</t>
    </r>
  </si>
  <si>
    <r>
      <rPr>
        <b/>
        <sz val="12"/>
        <color indexed="8"/>
        <rFont val="Arial"/>
        <family val="2"/>
      </rPr>
      <t>Step 2:</t>
    </r>
    <r>
      <rPr>
        <sz val="12"/>
        <color indexed="8"/>
        <rFont val="Arial"/>
        <family val="2"/>
      </rPr>
      <t xml:space="preserve"> Complete section one and two of the Component Summary worksheet</t>
    </r>
  </si>
  <si>
    <r>
      <rPr>
        <b/>
        <sz val="12"/>
        <color indexed="8"/>
        <rFont val="Arial"/>
        <family val="2"/>
      </rPr>
      <t>Step 3:</t>
    </r>
    <r>
      <rPr>
        <sz val="12"/>
        <color indexed="8"/>
        <rFont val="Arial"/>
        <family val="2"/>
      </rPr>
      <t xml:space="preserve"> Complete each component and adjustment worksheet</t>
    </r>
  </si>
  <si>
    <r>
      <rPr>
        <b/>
        <sz val="12"/>
        <color indexed="8"/>
        <rFont val="Arial"/>
        <family val="2"/>
      </rPr>
      <t>Step 4:</t>
    </r>
    <r>
      <rPr>
        <sz val="12"/>
        <color indexed="8"/>
        <rFont val="Arial"/>
        <family val="2"/>
      </rPr>
      <t xml:space="preserve"> Review the Component Summary worksheet</t>
    </r>
  </si>
  <si>
    <t>For DHCS use only.</t>
  </si>
  <si>
    <t xml:space="preserve">This tab should be hidden when not in use. </t>
  </si>
  <si>
    <t xml:space="preserve">The information provided on the Information worksheet automatically links to worksheets in the ARER.  This worksheet eliminates the redundant entry of county name, code, and date on worksheets. </t>
  </si>
  <si>
    <t xml:space="preserve">Click button to lock or unlock all sheets for editing. </t>
  </si>
  <si>
    <t>Comments</t>
  </si>
  <si>
    <t xml:space="preserve">Component Summary </t>
  </si>
  <si>
    <t>Fiscal Year 2017-18</t>
  </si>
  <si>
    <t>FY 2017-18 Interest Earned on local MHS Fund</t>
  </si>
  <si>
    <t>Grand Total</t>
  </si>
  <si>
    <t>• Counties must report any expenditure that occurred between July 1, 2017 and June 30, 2018, on the appropriate component worksheet.</t>
  </si>
  <si>
    <t xml:space="preserve">• For detailed instructions, see Enclosure 2: Instruction Manual for Fiscal Year 2017-18 of the MHSA Annual Revenue and Expenditure Report. </t>
  </si>
  <si>
    <t xml:space="preserve">• These worksheets are used to report the total expenditures for each MHSA-funded program. Expenditures should be recognized in the period that the fund liability is incurred. (Accounting Standards and Procedures for Counties, State Controller’s Office (SCO), February 2018). </t>
  </si>
  <si>
    <t xml:space="preserve">ARER Instructions </t>
  </si>
  <si>
    <t>Total CSS Expenditures (Excluding Funds Transferred)</t>
  </si>
  <si>
    <t>Transfers</t>
  </si>
  <si>
    <t>Interest Earned on local MHS Fund</t>
  </si>
  <si>
    <t>Interest Revenue</t>
  </si>
  <si>
    <t>Total MSHA (Including Interest)</t>
  </si>
  <si>
    <t>MHSA Funds (Including Interest)</t>
  </si>
  <si>
    <t>WET RP and MHSA HP Summary</t>
  </si>
  <si>
    <t>FY 2016-17</t>
  </si>
  <si>
    <t>FY 2015-16</t>
  </si>
  <si>
    <t>FY 2014-15</t>
  </si>
  <si>
    <t>FY 2013-14</t>
  </si>
  <si>
    <t>FY 2012-13</t>
  </si>
  <si>
    <t>FY 2011-12</t>
  </si>
  <si>
    <t>FY 2010-11</t>
  </si>
  <si>
    <t>FY 2009-10</t>
  </si>
  <si>
    <t>MHSA_Adjustment_FY</t>
  </si>
  <si>
    <t>FFP_Adjustment_FY</t>
  </si>
  <si>
    <t>Total MHSA (Including Interest)</t>
  </si>
  <si>
    <t xml:space="preserve"> WET RP, HP Component</t>
  </si>
  <si>
    <t>SECTION 3: Transfers to Prudent Reserve, WET or CFTN</t>
  </si>
  <si>
    <t>SECTION 4: Program Expenditures and Sources of Funding 2017-18</t>
  </si>
  <si>
    <t>SECTION 2: Transfers from Prudent Reserve and Interest Earned</t>
  </si>
  <si>
    <r>
      <rPr>
        <b/>
        <sz val="12"/>
        <color indexed="8"/>
        <rFont val="Arial"/>
        <family val="2"/>
      </rPr>
      <t xml:space="preserve">Section three and four: </t>
    </r>
    <r>
      <rPr>
        <sz val="12"/>
        <color indexed="8"/>
        <rFont val="Arial"/>
        <family val="2"/>
      </rPr>
      <t>These sections are linked to the remaining component worksheets and will auto populate as the county completes each individual worksheet.</t>
    </r>
  </si>
  <si>
    <t>Local Prudent Reserve Beginning Balance</t>
  </si>
  <si>
    <t>January 1, 2017 and 2018</t>
  </si>
  <si>
    <t>SECTION 1: Interest and Prudent Reserve</t>
  </si>
  <si>
    <t>SECTION 5: MHSA Planning Costs</t>
  </si>
  <si>
    <t>Version 7/1/2018</t>
  </si>
  <si>
    <r>
      <rPr>
        <b/>
        <sz val="12"/>
        <color indexed="8"/>
        <rFont val="Arial"/>
        <family val="2"/>
      </rPr>
      <t>Section one:</t>
    </r>
    <r>
      <rPr>
        <sz val="12"/>
        <color indexed="8"/>
        <rFont val="Arial"/>
        <family val="2"/>
      </rPr>
      <t xml:space="preserve"> Enter the balance of Prudent Reserve and the Interest earned on the Local Mental Health Fund. Interest earned on local MHS fund is to be reported in total.  </t>
    </r>
  </si>
  <si>
    <t>Local Prudent Reserve Ending Balance</t>
  </si>
  <si>
    <t>Check</t>
  </si>
  <si>
    <t>INN Funds Transferred to JPA</t>
  </si>
  <si>
    <t>INN Expenditure Incurred by JPA</t>
  </si>
  <si>
    <t>Total Innovation Expenditures  (Excluding Transfers to JPA)</t>
  </si>
  <si>
    <t>Claremont</t>
  </si>
  <si>
    <t>La Verne</t>
  </si>
  <si>
    <t>Pomona</t>
  </si>
  <si>
    <r>
      <t xml:space="preserve">Counties should </t>
    </r>
    <r>
      <rPr>
        <b/>
        <sz val="12"/>
        <color indexed="8"/>
        <rFont val="Arial"/>
        <family val="2"/>
      </rPr>
      <t>verify that each section of the Component Summary</t>
    </r>
    <r>
      <rPr>
        <sz val="12"/>
        <color indexed="8"/>
        <rFont val="Arial"/>
        <family val="2"/>
      </rPr>
      <t xml:space="preserve"> worksheet accurately reflect the expenditures reported on the component and adjustment worksheets.</t>
    </r>
  </si>
  <si>
    <r>
      <t>Section two:</t>
    </r>
    <r>
      <rPr>
        <sz val="12"/>
        <color indexed="8"/>
        <rFont val="Arial"/>
        <family val="2"/>
      </rPr>
      <t xml:space="preserve"> Enter the component revenue received from prudent reserve transfers. Additionally, the worksheet is set up to distribute the interest reported in section one across CSS, PEI, and INN components according to 76%, 19% and 5%.</t>
    </r>
  </si>
  <si>
    <t>1380 Howard Street, 4th Floor</t>
  </si>
  <si>
    <t>Alyssa Zachariah</t>
  </si>
  <si>
    <t>MHSA Budget Analyst</t>
  </si>
  <si>
    <t>alyssa.zachariah@sfdph.org</t>
  </si>
  <si>
    <t>(415) 255-3637</t>
  </si>
  <si>
    <t>Expenditure amounts funded by 1991 Realignment, Behavorial Health Subaccount, and Other funds are presented as estimates based on Fiscal Year 2016-2017 cost report data.  Fiscal Year 2017-2018 cost report data for San Francisco County was unavailable at the time the Fiscal Year 2017-2018 Revenue and Expenditure Report was submitted.</t>
  </si>
  <si>
    <t xml:space="preserve">CSS FSP Permanent Housing (capital units and master lease) </t>
  </si>
  <si>
    <t>CSS Full Service Partnership 1. CYF (0-5)</t>
  </si>
  <si>
    <t>CSS Full Service Partnership 2. CYF (6-18)</t>
  </si>
  <si>
    <t>CSS Full Service Partnership 3. TAY (18-24)</t>
  </si>
  <si>
    <t>CSS Full Service Partnership 4. Adults (18-59)</t>
  </si>
  <si>
    <t>CSS Full Service Partnership 5. Older Adults (60+)</t>
  </si>
  <si>
    <t>CSS Full Service Partnership 6. AOT</t>
  </si>
  <si>
    <t xml:space="preserve">CSS Other Non-FSP 1. Behavioral Health Access Center </t>
  </si>
  <si>
    <t>CSS Other Non-FSP 10. Housing Placement and Supportive Services (Direct Access to Housing) (30% FSP)</t>
  </si>
  <si>
    <t>CSS Other Non-FSP 11. ROUTZ TAY Transitional Housing (60% FSP)</t>
  </si>
  <si>
    <t>CSS Other Non-FSP 12. Expanding Outpatient MH Clinic Capacity</t>
  </si>
  <si>
    <t>CSS Other Non-FSP 13. Building a Peer-to-Peer Support Network for Transgender Individuals</t>
  </si>
  <si>
    <t xml:space="preserve">CSS Other Non-FSP 2. Prevention and Recovery in Early Psychosis (PREP) </t>
  </si>
  <si>
    <t xml:space="preserve">CSS Other Non-FSP 3. Trauma Recovery </t>
  </si>
  <si>
    <t xml:space="preserve">CSS Other Non-FSP 4. Integration of Behavioral Health and Primary Care </t>
  </si>
  <si>
    <t>CSS Other Non-FSP 5. Integration of Behavioral Health Into the Juvenile Justice System</t>
  </si>
  <si>
    <t>CSS Other Non-FSP 7. Peer-to-Peer Supports: Clinic and Community-Based  (50% FSP)</t>
  </si>
  <si>
    <t>CSS Other Non-FSP 8. Vocational Services (45% FSP)</t>
  </si>
  <si>
    <t>CSS Other Non-FSP 9. Emergency Stabilization Housing (60% FSP)</t>
  </si>
  <si>
    <t>PEI 1. Stigma Reduction</t>
  </si>
  <si>
    <t>PEI 2. School-Based Mental Health Pomotion (K-12) (50% Prevention)</t>
  </si>
  <si>
    <t>PEI 4. Population Focused Mental Health Promotion and Early Intervention (50% Prevention)</t>
  </si>
  <si>
    <t>PEI 5. Mental Health Consultation and Capacity Building (75% Prevention)</t>
  </si>
  <si>
    <t>PEI 6. Comprehensive Crisis Services (10% Prevention)</t>
  </si>
  <si>
    <t xml:space="preserve">INN 14. First Impressions </t>
  </si>
  <si>
    <t xml:space="preserve">INN 15. Building a Peer-to-Peer Support Network for Socially Isolated Older Adults </t>
  </si>
  <si>
    <t>INN 16. Building a Peer-to-Peer Support Network for Transgender Individuals</t>
  </si>
  <si>
    <t>INN 17. Hummingbird Place - Peer Respite</t>
  </si>
  <si>
    <t xml:space="preserve">IT 1. Consumer Portal </t>
  </si>
  <si>
    <t xml:space="preserve">IT 2. Vocational IT </t>
  </si>
  <si>
    <t>IT 3. System Enhancements</t>
  </si>
  <si>
    <t>To Align Expenditures to correct components</t>
  </si>
  <si>
    <t>FY 16/17 Expenditures that posted after FY 16/17 RER was published</t>
  </si>
  <si>
    <t>FY 16-17 Settlement with Providers</t>
  </si>
  <si>
    <t>The PEI JPA expenditure amount of $72,544 consists of $74,959 in expenditures net of $2,415 in interest earned in FY17-18.</t>
  </si>
  <si>
    <t>Reported $0 in expenditures in FY 15/16 RER in the PEI SW Component.  This adjustment of $126,138 is to reflect actual expenditures net of interest earned in FY 15/16 by the PEI Statewide JPA with CalMHSA.</t>
  </si>
  <si>
    <t>Reported $100K in expenditures in FY 15/16 RER.  This adjustment is to reflect actual expenditures of $86,850 (net of interest) for PEI JPA.</t>
  </si>
  <si>
    <t>Reported $100K in expenditures in FY 15/16 RER.  This adjustment is to reflect actual expenditures of $126,000 (net of interest) for PEI JPA.</t>
  </si>
  <si>
    <t>Received a reimbursement of unspent funds from the MHSA housing loan program in FY 2017-18.</t>
  </si>
  <si>
    <t>Use Left or RIGHT and UP or DOWN arrow to navigate the page.</t>
  </si>
  <si>
    <t>Press UP or DOWN arrow to navigate through section tables. Press UP and DOWN arrow to read expenditure types. Press LEFT or RIGHT arrow on each row to input funding amounts.</t>
  </si>
  <si>
    <t>Press UP or DOWN arrow to read through P E I spreadsheet. In section 1, use the UP and DOWN arrow for different P E I expenditure types. Use LEFT or RIGHT arrow on these cell rows to input amount of funding type. In section 2, use LEFT or RIGHT and UP and DOWN arrows to navigate headers. In section 3, use LEFT or RIGHT arrows to navigate headers for P E I program components on the header rows. Use UP or DOWN arrows to read each Program Name and LEFT or RIGHT arrows on the rows below the headers to input dollar amount needed.</t>
  </si>
  <si>
    <t>Press UP or DOWN arrow to read through C S S spreadsheet. In section 1, use UP and DOWN arrow for different C S S expenditure types. Use LEFT or RIGHT arrow on these cell rows to input amount of funding type. In section 2, use LEFT or RIGHT arrow to navigate different headers. Use UP and DOWN arrow to input dollar amount designated for each column.</t>
  </si>
  <si>
    <t>Press UP or DOWN arrow to read through I N N spreadsheet. In section 1, use UP and DOWN arrow for different I N N expenditure types. Use LEFT or RIGHT arrow on these cell rows to input amount of funding type. In section 2, use LEFT or RIGHT arrow to navigate different headers. Use UP and DOWN arrow to input necessary information designated for each column.</t>
  </si>
  <si>
    <t>Press UP or DOWN arrow to read through the WET spreadsheet. In section 1, use the UP and DOWN arrow for different WET expenditures. Use LEFT or RIGHT arrow on these cell rows to input amount of fund type. In section 2, use the UP and DOWN arrow to read through the different funding categories and use LEFT or RIGHT arrow to input amount of fund type.</t>
  </si>
  <si>
    <t>Press UP or DOWN arrow to navigate through CFTN spreadsheet. In section 1, use UP and DOWN arrow to read the CFTN expenditures and use the LEFT or RIGHT arrows to input amount of funding type. In section 2, use LEFT or RIGHT arrow on the header column to read about project components and use the UP or DOWN arrow on these cells to input needed information.</t>
  </si>
  <si>
    <t>Use LEFT or RIGHT and UP and DOWN arrow to navigate the page for WET RP and HP Component.</t>
  </si>
  <si>
    <t>Press UP or DOWN arrow to input items into each row. Use LEFT or RIGHT arrow on Row 11 to read the headers for information needed.</t>
  </si>
  <si>
    <t>Press UP or DOWN arrow to leave comments on the cell rows.</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</si>
</sst>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0"/>
    <numFmt numFmtId="166" formatCode="0#"/>
    <numFmt numFmtId="167" formatCode="[&lt;=9999999]###\-####;\(###\)\ ###\-####"/>
    <numFmt numFmtId="168" formatCode="00000"/>
    <numFmt numFmtId="169" formatCode="0.0%"/>
    <numFmt numFmtId="170" formatCode="#,##0.0"/>
    <numFmt numFmtId="171" formatCode="0.0"/>
  </numFmts>
  <fonts count="68">
    <font>
      <sz val="11"/>
      <color theme="1"/>
      <name val="Calibri"/>
      <family val="2"/>
    </font>
    <font>
      <sz val="11"/>
      <color indexed="8"/>
      <name val="Calibri"/>
      <family val="2"/>
    </font>
    <font>
      <sz val="12"/>
      <color indexed="8"/>
      <name val="Arial"/>
      <family val="2"/>
    </font>
    <font>
      <b/>
      <sz val="12"/>
      <name val="Arial"/>
      <family val="2"/>
    </font>
    <font>
      <sz val="10"/>
      <name val="Arial"/>
      <family val="2"/>
    </font>
    <font>
      <sz val="11"/>
      <color indexed="8"/>
      <name val="Arial"/>
      <family val="2"/>
    </font>
    <font>
      <sz val="10"/>
      <color indexed="8"/>
      <name val="Arial"/>
      <family val="2"/>
    </font>
    <font>
      <u val="single"/>
      <sz val="10"/>
      <color indexed="30"/>
      <name val="Arial"/>
      <family val="2"/>
    </font>
    <font>
      <b/>
      <sz val="14"/>
      <name val="Arial"/>
      <family val="2"/>
    </font>
    <font>
      <b/>
      <sz val="14"/>
      <color indexed="8"/>
      <name val="Arial"/>
      <family val="2"/>
    </font>
    <font>
      <b/>
      <sz val="12"/>
      <color indexed="8"/>
      <name val="Arial"/>
      <family val="2"/>
    </font>
    <font>
      <u val="single"/>
      <sz val="12"/>
      <color indexed="30"/>
      <name val="Arial"/>
      <family val="2"/>
    </font>
    <font>
      <sz val="12"/>
      <name val="Arial"/>
      <family val="2"/>
    </font>
    <font>
      <sz val="12"/>
      <color indexed="10"/>
      <name val="Arial"/>
      <family val="2"/>
    </font>
    <font>
      <b/>
      <u val="single"/>
      <sz val="12"/>
      <name val="Arial"/>
      <family val="2"/>
    </font>
    <font>
      <b/>
      <u val="single"/>
      <sz val="12"/>
      <color indexed="8"/>
      <name val="Arial"/>
      <family val="2"/>
    </font>
    <font>
      <b/>
      <sz val="12"/>
      <color indexed="10"/>
      <name val="Arial"/>
      <family val="2"/>
    </font>
    <font>
      <sz val="12"/>
      <name val="Calibri"/>
      <family val="2"/>
    </font>
    <font>
      <sz val="14"/>
      <name val="Arial"/>
      <family val="2"/>
    </font>
    <font>
      <sz val="11"/>
      <color indexed="9"/>
      <name val="Calibri"/>
      <family val="2"/>
    </font>
    <font>
      <sz val="12"/>
      <color indexed="9"/>
      <name val="Arial"/>
      <family val="2"/>
    </font>
    <font>
      <sz val="11"/>
      <color indexed="10"/>
      <name val="Calibri"/>
      <family val="2"/>
    </font>
    <font>
      <u val="single"/>
      <sz val="12"/>
      <color indexed="9"/>
      <name val="Arial"/>
      <family val="2"/>
    </font>
    <font>
      <u val="single"/>
      <sz val="11"/>
      <color indexed="25"/>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sz val="11"/>
      <color theme="1"/>
      <name val="Arial"/>
      <family val="2"/>
    </font>
    <font>
      <sz val="10"/>
      <color theme="1"/>
      <name val="Arial"/>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2"/>
      <color theme="1"/>
      <name val="Arial"/>
      <family val="2"/>
    </font>
    <font>
      <b/>
      <sz val="12"/>
      <color theme="1"/>
      <name val="Arial"/>
      <family val="2"/>
    </font>
    <font>
      <u val="single"/>
      <sz val="12"/>
      <color theme="10"/>
      <name val="Arial"/>
      <family val="2"/>
    </font>
    <font>
      <b/>
      <u val="single"/>
      <sz val="12"/>
      <color theme="1"/>
      <name val="Arial"/>
      <family val="2"/>
    </font>
    <font>
      <b/>
      <sz val="12"/>
      <color rgb="FF000000"/>
      <name val="Arial"/>
      <family val="2"/>
    </font>
    <font>
      <sz val="12"/>
      <color rgb="FF000000"/>
      <name val="Arial"/>
      <family val="2"/>
    </font>
    <font>
      <sz val="12"/>
      <color rgb="FFFF0000"/>
      <name val="Arial"/>
      <family val="2"/>
    </font>
    <font>
      <b/>
      <sz val="14"/>
      <color theme="1"/>
      <name val="Arial"/>
      <family val="2"/>
    </font>
    <font>
      <sz val="12"/>
      <color theme="0"/>
      <name val="Arial"/>
      <family val="2"/>
    </font>
    <font>
      <u val="single"/>
      <sz val="12"/>
      <color theme="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theme="0" tint="-0.04997999966144562"/>
        <bgColor indexed="64"/>
      </patternFill>
    </fill>
    <fill>
      <patternFill patternType="solid">
        <fgColor rgb="FFFFFF00"/>
        <bgColor indexed="64"/>
      </patternFill>
    </fill>
    <fill>
      <patternFill patternType="solid">
        <fgColor theme="0" tint="-0.1499900072813034"/>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0000FF"/>
      </left>
      <right style="thin">
        <color rgb="FF0000FF"/>
      </right>
      <top style="thin">
        <color rgb="FF0000FF"/>
      </top>
      <bottom style="thin">
        <color rgb="FF0000FF"/>
      </bottom>
    </border>
    <border>
      <left/>
      <right/>
      <top/>
      <bottom style="thick"/>
    </border>
    <border>
      <left/>
      <right style="thin">
        <color rgb="FF0000FF"/>
      </right>
      <top style="thin">
        <color rgb="FF0000FF"/>
      </top>
      <bottom style="thin">
        <color rgb="FF0000FF"/>
      </bottom>
    </border>
    <border>
      <left style="thin">
        <color rgb="FF0000FF"/>
      </left>
      <right/>
      <top style="thin">
        <color rgb="FF0000FF"/>
      </top>
      <bottom style="thin">
        <color rgb="FF0000FF"/>
      </bottom>
    </border>
    <border>
      <left/>
      <right/>
      <top style="medium"/>
      <bottom style="medium"/>
    </border>
    <border>
      <left/>
      <right style="medium"/>
      <top style="medium"/>
      <bottom style="mediu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thin">
        <color rgb="FF0000FF"/>
      </left>
      <right style="thin"/>
      <top style="thin">
        <color rgb="FF0000FF"/>
      </top>
      <bottom style="thin">
        <color rgb="FF0000FF"/>
      </bottom>
    </border>
    <border>
      <left style="thin"/>
      <right style="thin"/>
      <top style="thin"/>
      <bottom style="thin"/>
    </border>
    <border>
      <left/>
      <right style="thin"/>
      <top style="thin"/>
      <bottom style="thin"/>
    </border>
    <border>
      <left style="thin">
        <color rgb="FF0000FF"/>
      </left>
      <right style="thin">
        <color rgb="FF0000FF"/>
      </right>
      <top style="thin">
        <color rgb="FF0000FF"/>
      </top>
      <bottom style="thin"/>
    </border>
    <border>
      <left/>
      <right style="thin"/>
      <top/>
      <bottom/>
    </border>
    <border>
      <left/>
      <right/>
      <top/>
      <bottom style="thin">
        <color rgb="FF0000FF"/>
      </bottom>
    </border>
    <border>
      <left style="thin">
        <color rgb="FF0000FF"/>
      </left>
      <right/>
      <top style="thin">
        <color rgb="FF0000FF"/>
      </top>
      <bottom style="thin"/>
    </border>
    <border>
      <left style="thin"/>
      <right/>
      <top style="thin"/>
      <bottom style="thin"/>
    </border>
    <border>
      <left style="thin">
        <color rgb="FF0000FF"/>
      </left>
      <right style="thin">
        <color rgb="FF0000FF"/>
      </right>
      <top style="thin">
        <color rgb="FF0000FF"/>
      </top>
      <bottom/>
    </border>
    <border>
      <left style="thin">
        <color rgb="FF0000FF"/>
      </left>
      <right/>
      <top/>
      <bottom style="thin">
        <color rgb="FF0000FF"/>
      </bottom>
    </border>
    <border>
      <left/>
      <right style="thin">
        <color rgb="FF0000FF"/>
      </right>
      <top style="thin">
        <color rgb="FF0000FF"/>
      </top>
      <bottom/>
    </border>
    <border>
      <left style="thin">
        <color rgb="FF0000FF"/>
      </left>
      <right style="thin"/>
      <top style="thin">
        <color rgb="FF0000FF"/>
      </top>
      <bottom/>
    </border>
    <border>
      <left style="thin">
        <color rgb="FF0000FF"/>
      </left>
      <right style="double"/>
      <top style="thin">
        <color rgb="FF0000FF"/>
      </top>
      <bottom style="thin">
        <color rgb="FF0000FF"/>
      </bottom>
    </border>
    <border>
      <left style="thin"/>
      <right style="thin"/>
      <top/>
      <bottom/>
    </border>
    <border>
      <left/>
      <right/>
      <top style="thin"/>
      <bottom/>
    </border>
    <border>
      <left style="thin"/>
      <right style="thin"/>
      <top style="thin"/>
      <bottom/>
    </border>
    <border>
      <left style="thin"/>
      <right style="thin"/>
      <top/>
      <bottom style="thin"/>
    </border>
    <border>
      <left style="thin"/>
      <right/>
      <top style="thin"/>
      <bottom/>
    </border>
    <border>
      <left/>
      <right/>
      <top style="thin"/>
      <bottom style="thin"/>
    </border>
    <border>
      <left style="thin"/>
      <right/>
      <top/>
      <bottom style="thin"/>
    </border>
    <border>
      <left/>
      <right style="thin"/>
      <top/>
      <bottom style="thin"/>
    </border>
    <border>
      <left/>
      <right style="thin"/>
      <top style="thin"/>
      <bottom/>
    </border>
    <border>
      <left style="thin"/>
      <right/>
      <top/>
      <bottom/>
    </border>
    <border>
      <left style="thin"/>
      <right/>
      <top style="thin">
        <color rgb="FF0000FF"/>
      </top>
      <bottom style="thin"/>
    </border>
    <border>
      <left style="thin">
        <color rgb="FF0000FF"/>
      </left>
      <right style="thin"/>
      <top style="thin"/>
      <bottom style="thin"/>
    </border>
    <border>
      <left style="medium"/>
      <right/>
      <top style="medium"/>
      <bottom style="mediu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4" fillId="0" borderId="0">
      <alignment/>
      <protection/>
    </xf>
    <xf numFmtId="0" fontId="52" fillId="0" borderId="0">
      <alignment/>
      <protection/>
    </xf>
    <xf numFmtId="0" fontId="53" fillId="0" borderId="0">
      <alignment/>
      <protection/>
    </xf>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474">
    <xf numFmtId="0" fontId="0" fillId="0" borderId="0" xfId="0" applyFont="1" applyAlignment="1">
      <alignment/>
    </xf>
    <xf numFmtId="0" fontId="3" fillId="0" borderId="0" xfId="0" applyFont="1" applyBorder="1" applyAlignment="1" applyProtection="1">
      <alignment vertical="center"/>
      <protection/>
    </xf>
    <xf numFmtId="0" fontId="58" fillId="0" borderId="0" xfId="0" applyFont="1" applyFill="1" applyAlignment="1" applyProtection="1">
      <alignment/>
      <protection/>
    </xf>
    <xf numFmtId="0" fontId="3" fillId="0" borderId="0" xfId="0" applyFont="1" applyFill="1" applyBorder="1" applyAlignment="1" applyProtection="1">
      <alignment horizontal="left"/>
      <protection/>
    </xf>
    <xf numFmtId="0" fontId="3" fillId="0" borderId="0" xfId="0" applyFont="1" applyFill="1" applyBorder="1" applyAlignment="1" applyProtection="1">
      <alignment horizontal="left" wrapText="1"/>
      <protection/>
    </xf>
    <xf numFmtId="0" fontId="3" fillId="0" borderId="0" xfId="0" applyFont="1" applyFill="1" applyBorder="1" applyAlignment="1" applyProtection="1">
      <alignment/>
      <protection/>
    </xf>
    <xf numFmtId="0" fontId="3" fillId="0" borderId="0" xfId="0" applyFont="1" applyFill="1" applyBorder="1" applyAlignment="1" applyProtection="1">
      <alignment horizontal="center"/>
      <protection/>
    </xf>
    <xf numFmtId="0" fontId="3" fillId="0" borderId="0" xfId="0" applyFont="1" applyFill="1" applyBorder="1" applyAlignment="1" applyProtection="1">
      <alignment wrapText="1"/>
      <protection/>
    </xf>
    <xf numFmtId="0" fontId="3" fillId="0" borderId="0" xfId="0" applyFont="1" applyFill="1" applyBorder="1" applyAlignment="1" applyProtection="1">
      <alignment horizontal="center" wrapText="1"/>
      <protection/>
    </xf>
    <xf numFmtId="0" fontId="3" fillId="0" borderId="0" xfId="0" applyFont="1" applyFill="1" applyBorder="1" applyAlignment="1" applyProtection="1">
      <alignment vertical="top" wrapText="1"/>
      <protection/>
    </xf>
    <xf numFmtId="0" fontId="3" fillId="0" borderId="0" xfId="0" applyFont="1" applyFill="1" applyBorder="1" applyAlignment="1" applyProtection="1">
      <alignment horizontal="center" vertical="top" wrapText="1"/>
      <protection/>
    </xf>
    <xf numFmtId="0" fontId="59" fillId="0" borderId="0" xfId="0" applyFont="1" applyFill="1" applyBorder="1" applyAlignment="1" applyProtection="1">
      <alignment/>
      <protection/>
    </xf>
    <xf numFmtId="0" fontId="12" fillId="0" borderId="0" xfId="0" applyFont="1" applyFill="1" applyBorder="1" applyAlignment="1" applyProtection="1">
      <alignment horizontal="left"/>
      <protection/>
    </xf>
    <xf numFmtId="0" fontId="59" fillId="0" borderId="0" xfId="0" applyFont="1" applyBorder="1" applyAlignment="1" applyProtection="1">
      <alignment/>
      <protection/>
    </xf>
    <xf numFmtId="164" fontId="12" fillId="0" borderId="10" xfId="0" applyNumberFormat="1" applyFont="1" applyFill="1" applyBorder="1" applyAlignment="1" applyProtection="1">
      <alignment horizontal="right" wrapText="1"/>
      <protection locked="0"/>
    </xf>
    <xf numFmtId="0" fontId="3" fillId="0" borderId="0" xfId="0" applyFont="1" applyFill="1" applyBorder="1" applyAlignment="1" applyProtection="1">
      <alignment vertical="center"/>
      <protection/>
    </xf>
    <xf numFmtId="0" fontId="3" fillId="0" borderId="11" xfId="0" applyFont="1" applyFill="1" applyBorder="1" applyAlignment="1" applyProtection="1">
      <alignment horizontal="center"/>
      <protection/>
    </xf>
    <xf numFmtId="0" fontId="3" fillId="0" borderId="11" xfId="0" applyFont="1" applyFill="1" applyBorder="1" applyAlignment="1" applyProtection="1">
      <alignment horizontal="center" wrapText="1"/>
      <protection/>
    </xf>
    <xf numFmtId="164" fontId="12" fillId="0" borderId="12" xfId="0" applyNumberFormat="1" applyFont="1" applyFill="1" applyBorder="1" applyAlignment="1" applyProtection="1">
      <alignment horizontal="right" wrapText="1"/>
      <protection locked="0"/>
    </xf>
    <xf numFmtId="0" fontId="59" fillId="0" borderId="0" xfId="0" applyFont="1" applyAlignment="1">
      <alignment/>
    </xf>
    <xf numFmtId="0" fontId="3" fillId="0" borderId="11" xfId="0" applyFont="1" applyFill="1" applyBorder="1" applyAlignment="1" applyProtection="1">
      <alignment horizontal="left"/>
      <protection/>
    </xf>
    <xf numFmtId="164" fontId="3" fillId="0" borderId="0" xfId="0" applyNumberFormat="1" applyFont="1" applyFill="1" applyBorder="1" applyAlignment="1" applyProtection="1">
      <alignment/>
      <protection/>
    </xf>
    <xf numFmtId="0" fontId="59" fillId="0" borderId="11" xfId="0" applyFont="1" applyBorder="1" applyAlignment="1" applyProtection="1">
      <alignment/>
      <protection/>
    </xf>
    <xf numFmtId="0" fontId="59" fillId="0" borderId="0" xfId="0" applyFont="1" applyBorder="1" applyAlignment="1" applyProtection="1">
      <alignment/>
      <protection/>
    </xf>
    <xf numFmtId="9" fontId="3" fillId="0" borderId="0" xfId="63" applyFont="1" applyFill="1" applyBorder="1" applyAlignment="1" applyProtection="1">
      <alignment/>
      <protection/>
    </xf>
    <xf numFmtId="9" fontId="3" fillId="0" borderId="11" xfId="63" applyFont="1" applyFill="1" applyBorder="1" applyAlignment="1" applyProtection="1">
      <alignment/>
      <protection/>
    </xf>
    <xf numFmtId="0" fontId="60" fillId="0" borderId="0" xfId="53" applyFont="1" applyBorder="1" applyAlignment="1" applyProtection="1">
      <alignment/>
      <protection/>
    </xf>
    <xf numFmtId="0" fontId="3" fillId="0" borderId="0" xfId="0" applyFont="1" applyBorder="1" applyAlignment="1" applyProtection="1">
      <alignment horizontal="left" vertical="center"/>
      <protection/>
    </xf>
    <xf numFmtId="0" fontId="3" fillId="0" borderId="0" xfId="0" applyFont="1" applyBorder="1" applyAlignment="1" applyProtection="1">
      <alignment horizontal="center" vertical="center"/>
      <protection/>
    </xf>
    <xf numFmtId="0" fontId="12" fillId="0" borderId="11" xfId="0" applyFont="1" applyFill="1" applyBorder="1" applyAlignment="1" applyProtection="1">
      <alignment horizontal="left"/>
      <protection/>
    </xf>
    <xf numFmtId="164" fontId="3" fillId="0" borderId="0" xfId="0" applyNumberFormat="1" applyFont="1" applyFill="1" applyBorder="1" applyAlignment="1" applyProtection="1">
      <alignment/>
      <protection/>
    </xf>
    <xf numFmtId="164" fontId="3" fillId="0" borderId="11" xfId="0" applyNumberFormat="1" applyFont="1" applyFill="1" applyBorder="1" applyAlignment="1" applyProtection="1">
      <alignment/>
      <protection/>
    </xf>
    <xf numFmtId="0" fontId="3" fillId="0" borderId="11" xfId="0" applyFont="1" applyFill="1" applyBorder="1" applyAlignment="1" applyProtection="1">
      <alignment horizontal="left" wrapText="1"/>
      <protection/>
    </xf>
    <xf numFmtId="164" fontId="3" fillId="0" borderId="11" xfId="0" applyNumberFormat="1" applyFont="1" applyFill="1" applyBorder="1" applyAlignment="1" applyProtection="1">
      <alignment horizontal="center"/>
      <protection/>
    </xf>
    <xf numFmtId="164" fontId="3" fillId="0" borderId="0" xfId="0" applyNumberFormat="1" applyFont="1" applyFill="1" applyBorder="1" applyAlignment="1" applyProtection="1">
      <alignment horizontal="center"/>
      <protection/>
    </xf>
    <xf numFmtId="10" fontId="3" fillId="0" borderId="10" xfId="0" applyNumberFormat="1" applyFont="1" applyFill="1" applyBorder="1" applyAlignment="1" applyProtection="1">
      <alignment horizontal="center"/>
      <protection locked="0"/>
    </xf>
    <xf numFmtId="14" fontId="12" fillId="0" borderId="0" xfId="0" applyNumberFormat="1" applyFont="1" applyFill="1" applyBorder="1" applyAlignment="1" applyProtection="1">
      <alignment horizontal="left"/>
      <protection/>
    </xf>
    <xf numFmtId="14" fontId="12" fillId="0" borderId="11" xfId="0" applyNumberFormat="1" applyFont="1" applyFill="1" applyBorder="1" applyAlignment="1" applyProtection="1">
      <alignment horizontal="left"/>
      <protection/>
    </xf>
    <xf numFmtId="0" fontId="3" fillId="0" borderId="11" xfId="0" applyFont="1" applyFill="1" applyBorder="1" applyAlignment="1" applyProtection="1">
      <alignment/>
      <protection/>
    </xf>
    <xf numFmtId="0" fontId="3" fillId="0" borderId="0" xfId="0" applyFont="1" applyBorder="1" applyAlignment="1" applyProtection="1">
      <alignment vertical="center" wrapText="1"/>
      <protection/>
    </xf>
    <xf numFmtId="0" fontId="59" fillId="0" borderId="0" xfId="0" applyFont="1" applyBorder="1" applyAlignment="1" applyProtection="1">
      <alignment horizontal="center"/>
      <protection/>
    </xf>
    <xf numFmtId="0" fontId="59" fillId="0" borderId="11" xfId="0" applyFont="1" applyBorder="1" applyAlignment="1" applyProtection="1">
      <alignment horizontal="center"/>
      <protection/>
    </xf>
    <xf numFmtId="0" fontId="3" fillId="0" borderId="0" xfId="0" applyFont="1" applyFill="1" applyBorder="1" applyAlignment="1" applyProtection="1">
      <alignment horizontal="left" vertical="center"/>
      <protection/>
    </xf>
    <xf numFmtId="14" fontId="12" fillId="0" borderId="0" xfId="0" applyNumberFormat="1" applyFont="1" applyFill="1" applyBorder="1" applyAlignment="1" applyProtection="1">
      <alignment horizontal="center"/>
      <protection/>
    </xf>
    <xf numFmtId="164" fontId="12" fillId="0" borderId="10" xfId="0" applyNumberFormat="1" applyFont="1" applyFill="1" applyBorder="1" applyAlignment="1" applyProtection="1">
      <alignment/>
      <protection locked="0"/>
    </xf>
    <xf numFmtId="0" fontId="3" fillId="0" borderId="0" xfId="0" applyFont="1" applyFill="1" applyBorder="1" applyAlignment="1" applyProtection="1">
      <alignment horizontal="center" vertical="center"/>
      <protection/>
    </xf>
    <xf numFmtId="0" fontId="58" fillId="0" borderId="0" xfId="0" applyFont="1" applyAlignment="1" applyProtection="1">
      <alignment/>
      <protection/>
    </xf>
    <xf numFmtId="0" fontId="58" fillId="0" borderId="0" xfId="0" applyFont="1" applyAlignment="1">
      <alignment/>
    </xf>
    <xf numFmtId="0" fontId="58" fillId="0" borderId="10" xfId="0" applyFont="1" applyBorder="1" applyAlignment="1" applyProtection="1">
      <alignment/>
      <protection locked="0"/>
    </xf>
    <xf numFmtId="0" fontId="58" fillId="0" borderId="0" xfId="0" applyFont="1" applyBorder="1" applyAlignment="1" applyProtection="1">
      <alignment/>
      <protection/>
    </xf>
    <xf numFmtId="0" fontId="58" fillId="0" borderId="0" xfId="0" applyFont="1" applyFill="1" applyBorder="1" applyAlignment="1" applyProtection="1">
      <alignment/>
      <protection/>
    </xf>
    <xf numFmtId="14" fontId="58" fillId="0" borderId="0" xfId="0" applyNumberFormat="1" applyFont="1" applyFill="1" applyBorder="1" applyAlignment="1" applyProtection="1">
      <alignment horizontal="center"/>
      <protection/>
    </xf>
    <xf numFmtId="0" fontId="58" fillId="0" borderId="11" xfId="0" applyFont="1" applyBorder="1" applyAlignment="1" applyProtection="1">
      <alignment/>
      <protection/>
    </xf>
    <xf numFmtId="14" fontId="58" fillId="0" borderId="11" xfId="0" applyNumberFormat="1" applyFont="1" applyFill="1" applyBorder="1" applyAlignment="1" applyProtection="1">
      <alignment horizontal="center"/>
      <protection/>
    </xf>
    <xf numFmtId="0" fontId="58" fillId="0" borderId="11" xfId="0" applyFont="1" applyFill="1" applyBorder="1" applyAlignment="1" applyProtection="1">
      <alignment/>
      <protection/>
    </xf>
    <xf numFmtId="164" fontId="58" fillId="0" borderId="10" xfId="0" applyNumberFormat="1" applyFont="1" applyFill="1" applyBorder="1" applyAlignment="1" applyProtection="1">
      <alignment/>
      <protection locked="0"/>
    </xf>
    <xf numFmtId="164" fontId="58" fillId="0" borderId="10" xfId="0" applyNumberFormat="1" applyFont="1" applyBorder="1" applyAlignment="1" applyProtection="1">
      <alignment/>
      <protection locked="0"/>
    </xf>
    <xf numFmtId="164" fontId="58" fillId="0" borderId="12" xfId="0" applyNumberFormat="1" applyFont="1" applyFill="1" applyBorder="1" applyAlignment="1" applyProtection="1">
      <alignment/>
      <protection locked="0"/>
    </xf>
    <xf numFmtId="0" fontId="58" fillId="0" borderId="10" xfId="0" applyFont="1" applyFill="1" applyBorder="1" applyAlignment="1" applyProtection="1">
      <alignment/>
      <protection locked="0"/>
    </xf>
    <xf numFmtId="164" fontId="58" fillId="0" borderId="12" xfId="0" applyNumberFormat="1" applyFont="1" applyBorder="1" applyAlignment="1" applyProtection="1">
      <alignment/>
      <protection locked="0"/>
    </xf>
    <xf numFmtId="0" fontId="14" fillId="0" borderId="0" xfId="0" applyFont="1" applyFill="1" applyBorder="1" applyAlignment="1" applyProtection="1">
      <alignment horizontal="left"/>
      <protection/>
    </xf>
    <xf numFmtId="0" fontId="61" fillId="0" borderId="0" xfId="0" applyFont="1" applyBorder="1" applyAlignment="1" applyProtection="1">
      <alignment/>
      <protection/>
    </xf>
    <xf numFmtId="164" fontId="58" fillId="0" borderId="13" xfId="0" applyNumberFormat="1" applyFont="1" applyFill="1" applyBorder="1" applyAlignment="1" applyProtection="1">
      <alignment/>
      <protection locked="0"/>
    </xf>
    <xf numFmtId="0" fontId="58" fillId="0" borderId="0" xfId="0" applyFont="1" applyBorder="1" applyAlignment="1" applyProtection="1">
      <alignment vertical="center"/>
      <protection/>
    </xf>
    <xf numFmtId="0" fontId="58" fillId="0" borderId="10" xfId="0" applyFont="1" applyFill="1" applyBorder="1" applyAlignment="1" applyProtection="1">
      <alignment horizontal="center"/>
      <protection locked="0"/>
    </xf>
    <xf numFmtId="9" fontId="58" fillId="0" borderId="10" xfId="63" applyFont="1" applyFill="1" applyBorder="1" applyAlignment="1" applyProtection="1">
      <alignment/>
      <protection locked="0"/>
    </xf>
    <xf numFmtId="14" fontId="58" fillId="0" borderId="10" xfId="0" applyNumberFormat="1" applyFont="1" applyFill="1" applyBorder="1" applyAlignment="1" applyProtection="1">
      <alignment/>
      <protection locked="0"/>
    </xf>
    <xf numFmtId="164" fontId="58" fillId="33" borderId="10" xfId="0" applyNumberFormat="1" applyFont="1" applyFill="1" applyBorder="1" applyAlignment="1" applyProtection="1">
      <alignment/>
      <protection locked="0"/>
    </xf>
    <xf numFmtId="0" fontId="58" fillId="0" borderId="0" xfId="0" applyNumberFormat="1" applyFont="1" applyBorder="1" applyAlignment="1" applyProtection="1">
      <alignment/>
      <protection/>
    </xf>
    <xf numFmtId="14" fontId="58" fillId="0" borderId="0" xfId="0" applyNumberFormat="1" applyFont="1" applyBorder="1" applyAlignment="1" applyProtection="1">
      <alignment horizontal="center"/>
      <protection/>
    </xf>
    <xf numFmtId="14" fontId="58" fillId="0" borderId="11" xfId="0" applyNumberFormat="1" applyFont="1" applyBorder="1" applyAlignment="1" applyProtection="1">
      <alignment horizontal="center"/>
      <protection/>
    </xf>
    <xf numFmtId="165" fontId="58" fillId="0" borderId="10" xfId="0" applyNumberFormat="1" applyFont="1" applyFill="1" applyBorder="1" applyAlignment="1" applyProtection="1">
      <alignment horizontal="center"/>
      <protection locked="0"/>
    </xf>
    <xf numFmtId="164" fontId="58" fillId="0" borderId="10" xfId="0" applyNumberFormat="1" applyFont="1" applyFill="1" applyBorder="1" applyAlignment="1" applyProtection="1">
      <alignment horizontal="center"/>
      <protection locked="0"/>
    </xf>
    <xf numFmtId="0" fontId="58" fillId="0" borderId="10" xfId="0" applyFont="1" applyBorder="1" applyAlignment="1" applyProtection="1">
      <alignment wrapText="1"/>
      <protection locked="0"/>
    </xf>
    <xf numFmtId="164" fontId="58" fillId="0" borderId="10" xfId="0" applyNumberFormat="1" applyFont="1" applyBorder="1" applyAlignment="1" applyProtection="1">
      <alignment horizontal="center"/>
      <protection locked="0"/>
    </xf>
    <xf numFmtId="165" fontId="58" fillId="0" borderId="0" xfId="0" applyNumberFormat="1" applyFont="1" applyFill="1" applyBorder="1" applyAlignment="1" applyProtection="1">
      <alignment/>
      <protection/>
    </xf>
    <xf numFmtId="164" fontId="58" fillId="0" borderId="0" xfId="0" applyNumberFormat="1" applyFont="1" applyBorder="1" applyAlignment="1" applyProtection="1">
      <alignment/>
      <protection/>
    </xf>
    <xf numFmtId="165" fontId="58" fillId="0" borderId="11" xfId="0" applyNumberFormat="1" applyFont="1" applyFill="1" applyBorder="1" applyAlignment="1" applyProtection="1">
      <alignment/>
      <protection/>
    </xf>
    <xf numFmtId="164" fontId="58" fillId="0" borderId="11" xfId="0" applyNumberFormat="1" applyFont="1" applyBorder="1" applyAlignment="1" applyProtection="1">
      <alignment/>
      <protection/>
    </xf>
    <xf numFmtId="0" fontId="58" fillId="0" borderId="0" xfId="0" applyFont="1" applyBorder="1" applyAlignment="1" applyProtection="1">
      <alignment horizontal="center" vertical="center"/>
      <protection/>
    </xf>
    <xf numFmtId="0" fontId="59" fillId="34" borderId="14" xfId="0" applyFont="1" applyFill="1" applyBorder="1" applyAlignment="1">
      <alignment/>
    </xf>
    <xf numFmtId="0" fontId="59" fillId="34" borderId="14" xfId="0" applyFont="1" applyFill="1" applyBorder="1" applyAlignment="1">
      <alignment wrapText="1"/>
    </xf>
    <xf numFmtId="0" fontId="59" fillId="34" borderId="15" xfId="0" applyFont="1" applyFill="1" applyBorder="1" applyAlignment="1">
      <alignment/>
    </xf>
    <xf numFmtId="0" fontId="58" fillId="0" borderId="16" xfId="0" applyFont="1" applyBorder="1" applyAlignment="1">
      <alignment/>
    </xf>
    <xf numFmtId="165" fontId="58" fillId="0" borderId="0" xfId="0" applyNumberFormat="1" applyFont="1" applyBorder="1" applyAlignment="1">
      <alignment/>
    </xf>
    <xf numFmtId="0" fontId="58" fillId="0" borderId="0" xfId="0" applyFont="1" applyBorder="1" applyAlignment="1">
      <alignment/>
    </xf>
    <xf numFmtId="0" fontId="58" fillId="0" borderId="17" xfId="0" applyFont="1" applyBorder="1" applyAlignment="1">
      <alignment/>
    </xf>
    <xf numFmtId="0" fontId="58" fillId="0" borderId="18" xfId="0" applyFont="1" applyBorder="1" applyAlignment="1">
      <alignment/>
    </xf>
    <xf numFmtId="165" fontId="58" fillId="0" borderId="19" xfId="0" applyNumberFormat="1" applyFont="1" applyBorder="1" applyAlignment="1">
      <alignment/>
    </xf>
    <xf numFmtId="0" fontId="58" fillId="0" borderId="19" xfId="0" applyFont="1" applyBorder="1" applyAlignment="1">
      <alignment/>
    </xf>
    <xf numFmtId="0" fontId="58" fillId="0" borderId="20" xfId="0" applyFont="1" applyBorder="1" applyAlignment="1">
      <alignment/>
    </xf>
    <xf numFmtId="0" fontId="58" fillId="0" borderId="0" xfId="59" applyFont="1">
      <alignment/>
      <protection/>
    </xf>
    <xf numFmtId="0" fontId="60" fillId="0" borderId="0" xfId="53" applyFont="1" applyAlignment="1">
      <alignment horizontal="right"/>
    </xf>
    <xf numFmtId="0" fontId="16" fillId="0" borderId="0" xfId="58" applyFont="1">
      <alignment/>
      <protection/>
    </xf>
    <xf numFmtId="0" fontId="2" fillId="0" borderId="0" xfId="58" applyFont="1">
      <alignment/>
      <protection/>
    </xf>
    <xf numFmtId="0" fontId="3" fillId="0" borderId="0" xfId="58" applyFont="1">
      <alignment/>
      <protection/>
    </xf>
    <xf numFmtId="170" fontId="3" fillId="0" borderId="0" xfId="58" applyNumberFormat="1" applyFont="1" applyAlignment="1">
      <alignment horizontal="right"/>
      <protection/>
    </xf>
    <xf numFmtId="0" fontId="3" fillId="0" borderId="21" xfId="58" applyFont="1" applyBorder="1" applyAlignment="1">
      <alignment horizontal="left"/>
      <protection/>
    </xf>
    <xf numFmtId="170" fontId="3" fillId="0" borderId="22" xfId="58" applyNumberFormat="1" applyFont="1" applyBorder="1" applyAlignment="1">
      <alignment horizontal="right"/>
      <protection/>
    </xf>
    <xf numFmtId="0" fontId="58" fillId="0" borderId="23" xfId="59" applyFont="1" applyBorder="1">
      <alignment/>
      <protection/>
    </xf>
    <xf numFmtId="0" fontId="3" fillId="0" borderId="18" xfId="58" applyFont="1" applyBorder="1" applyAlignment="1">
      <alignment horizontal="left"/>
      <protection/>
    </xf>
    <xf numFmtId="14" fontId="10" fillId="35" borderId="19" xfId="58" applyNumberFormat="1" applyFont="1" applyFill="1" applyBorder="1" applyAlignment="1">
      <alignment horizontal="right"/>
      <protection/>
    </xf>
    <xf numFmtId="14" fontId="10" fillId="0" borderId="19" xfId="58" applyNumberFormat="1" applyFont="1" applyFill="1" applyBorder="1" applyAlignment="1">
      <alignment horizontal="right"/>
      <protection/>
    </xf>
    <xf numFmtId="170" fontId="3" fillId="0" borderId="19" xfId="58" applyNumberFormat="1" applyFont="1" applyBorder="1" applyAlignment="1">
      <alignment horizontal="right"/>
      <protection/>
    </xf>
    <xf numFmtId="170" fontId="3" fillId="35" borderId="20" xfId="58" applyNumberFormat="1" applyFont="1" applyFill="1" applyBorder="1" applyAlignment="1">
      <alignment horizontal="right"/>
      <protection/>
    </xf>
    <xf numFmtId="0" fontId="3" fillId="0" borderId="16" xfId="58" applyFont="1" applyBorder="1" applyAlignment="1">
      <alignment horizontal="left"/>
      <protection/>
    </xf>
    <xf numFmtId="14" fontId="10" fillId="0" borderId="0" xfId="58" applyNumberFormat="1" applyFont="1" applyBorder="1" applyAlignment="1">
      <alignment horizontal="center"/>
      <protection/>
    </xf>
    <xf numFmtId="170" fontId="3" fillId="0" borderId="0" xfId="58" applyNumberFormat="1" applyFont="1" applyBorder="1" applyAlignment="1">
      <alignment horizontal="center"/>
      <protection/>
    </xf>
    <xf numFmtId="0" fontId="58" fillId="0" borderId="17" xfId="59" applyFont="1" applyBorder="1" applyAlignment="1">
      <alignment horizontal="center"/>
      <protection/>
    </xf>
    <xf numFmtId="0" fontId="62" fillId="0" borderId="16" xfId="59" applyFont="1" applyBorder="1" applyAlignment="1">
      <alignment vertical="center"/>
      <protection/>
    </xf>
    <xf numFmtId="3" fontId="63" fillId="0" borderId="0" xfId="59" applyNumberFormat="1" applyFont="1" applyBorder="1" applyAlignment="1">
      <alignment horizontal="right" vertical="center"/>
      <protection/>
    </xf>
    <xf numFmtId="171" fontId="63" fillId="0" borderId="0" xfId="59" applyNumberFormat="1" applyFont="1" applyBorder="1" applyAlignment="1">
      <alignment horizontal="right" vertical="center"/>
      <protection/>
    </xf>
    <xf numFmtId="171" fontId="58" fillId="0" borderId="17" xfId="59" applyNumberFormat="1" applyFont="1" applyBorder="1" applyAlignment="1">
      <alignment horizontal="center"/>
      <protection/>
    </xf>
    <xf numFmtId="0" fontId="58" fillId="0" borderId="16" xfId="59" applyFont="1" applyBorder="1" applyAlignment="1">
      <alignment vertical="center"/>
      <protection/>
    </xf>
    <xf numFmtId="0" fontId="58" fillId="0" borderId="0" xfId="59" applyFont="1" applyBorder="1" applyAlignment="1">
      <alignment vertical="center"/>
      <protection/>
    </xf>
    <xf numFmtId="171" fontId="58" fillId="0" borderId="0" xfId="59" applyNumberFormat="1" applyFont="1" applyBorder="1" applyAlignment="1">
      <alignment vertical="center"/>
      <protection/>
    </xf>
    <xf numFmtId="0" fontId="63" fillId="0" borderId="16" xfId="59" applyFont="1" applyBorder="1" applyAlignment="1">
      <alignment vertical="center"/>
      <protection/>
    </xf>
    <xf numFmtId="0" fontId="63" fillId="0" borderId="18" xfId="59" applyFont="1" applyBorder="1" applyAlignment="1">
      <alignment vertical="center"/>
      <protection/>
    </xf>
    <xf numFmtId="3" fontId="63" fillId="0" borderId="19" xfId="59" applyNumberFormat="1" applyFont="1" applyBorder="1" applyAlignment="1">
      <alignment horizontal="right" vertical="center"/>
      <protection/>
    </xf>
    <xf numFmtId="171" fontId="63" fillId="0" borderId="19" xfId="59" applyNumberFormat="1" applyFont="1" applyBorder="1" applyAlignment="1">
      <alignment horizontal="right" vertical="center"/>
      <protection/>
    </xf>
    <xf numFmtId="0" fontId="64" fillId="0" borderId="21" xfId="59" applyFont="1" applyBorder="1">
      <alignment/>
      <protection/>
    </xf>
    <xf numFmtId="3" fontId="64" fillId="0" borderId="22" xfId="59" applyNumberFormat="1" applyFont="1" applyBorder="1">
      <alignment/>
      <protection/>
    </xf>
    <xf numFmtId="0" fontId="64" fillId="0" borderId="22" xfId="59" applyFont="1" applyBorder="1">
      <alignment/>
      <protection/>
    </xf>
    <xf numFmtId="171" fontId="64" fillId="0" borderId="23" xfId="59" applyNumberFormat="1" applyFont="1" applyBorder="1" applyAlignment="1">
      <alignment horizontal="center"/>
      <protection/>
    </xf>
    <xf numFmtId="0" fontId="64" fillId="0" borderId="16" xfId="59" applyFont="1" applyBorder="1">
      <alignment/>
      <protection/>
    </xf>
    <xf numFmtId="3" fontId="64" fillId="0" borderId="0" xfId="59" applyNumberFormat="1" applyFont="1" applyBorder="1">
      <alignment/>
      <protection/>
    </xf>
    <xf numFmtId="0" fontId="58" fillId="0" borderId="0" xfId="59" applyFont="1" applyBorder="1">
      <alignment/>
      <protection/>
    </xf>
    <xf numFmtId="171" fontId="64" fillId="0" borderId="17" xfId="59" applyNumberFormat="1" applyFont="1" applyBorder="1" applyAlignment="1">
      <alignment horizontal="center"/>
      <protection/>
    </xf>
    <xf numFmtId="0" fontId="64" fillId="0" borderId="18" xfId="0" applyFont="1" applyBorder="1" applyAlignment="1">
      <alignment/>
    </xf>
    <xf numFmtId="3" fontId="64" fillId="0" borderId="19" xfId="59" applyNumberFormat="1" applyFont="1" applyBorder="1">
      <alignment/>
      <protection/>
    </xf>
    <xf numFmtId="0" fontId="58" fillId="0" borderId="19" xfId="59" applyFont="1" applyBorder="1">
      <alignment/>
      <protection/>
    </xf>
    <xf numFmtId="171" fontId="64" fillId="0" borderId="20" xfId="59" applyNumberFormat="1" applyFont="1" applyBorder="1" applyAlignment="1">
      <alignment horizontal="center"/>
      <protection/>
    </xf>
    <xf numFmtId="3" fontId="58" fillId="0" borderId="0" xfId="59" applyNumberFormat="1" applyFont="1" applyBorder="1">
      <alignment/>
      <protection/>
    </xf>
    <xf numFmtId="171" fontId="58" fillId="0" borderId="0" xfId="59" applyNumberFormat="1" applyFont="1" applyBorder="1" applyAlignment="1">
      <alignment horizontal="center"/>
      <protection/>
    </xf>
    <xf numFmtId="3" fontId="64" fillId="0" borderId="0" xfId="0" applyNumberFormat="1" applyFont="1" applyAlignment="1">
      <alignment horizontal="right" vertical="center"/>
    </xf>
    <xf numFmtId="0" fontId="59" fillId="0" borderId="0" xfId="58" applyFont="1">
      <alignment/>
      <protection/>
    </xf>
    <xf numFmtId="0" fontId="59" fillId="0" borderId="0" xfId="59" applyFont="1">
      <alignment/>
      <protection/>
    </xf>
    <xf numFmtId="0" fontId="3" fillId="0" borderId="0" xfId="60" applyFont="1" applyBorder="1" applyAlignment="1">
      <alignment/>
      <protection/>
    </xf>
    <xf numFmtId="0" fontId="58" fillId="0" borderId="0" xfId="59" applyFont="1">
      <alignment/>
      <protection/>
    </xf>
    <xf numFmtId="0" fontId="58" fillId="0" borderId="0" xfId="0" applyFont="1" applyBorder="1" applyAlignment="1">
      <alignment/>
    </xf>
    <xf numFmtId="0" fontId="58" fillId="0" borderId="0" xfId="0" applyFont="1" applyBorder="1" applyAlignment="1" applyProtection="1">
      <alignment/>
      <protection/>
    </xf>
    <xf numFmtId="0" fontId="58" fillId="0" borderId="0" xfId="0" applyFont="1" applyBorder="1" applyAlignment="1">
      <alignment/>
    </xf>
    <xf numFmtId="0" fontId="58" fillId="0" borderId="0" xfId="0" applyFont="1" applyAlignment="1">
      <alignment/>
    </xf>
    <xf numFmtId="0" fontId="8" fillId="0" borderId="0" xfId="0" applyFont="1" applyBorder="1" applyAlignment="1" applyProtection="1">
      <alignment vertical="center"/>
      <protection/>
    </xf>
    <xf numFmtId="0" fontId="8" fillId="0" borderId="0" xfId="0" applyFont="1" applyFill="1" applyBorder="1" applyAlignment="1" applyProtection="1">
      <alignment horizontal="left" vertical="center"/>
      <protection/>
    </xf>
    <xf numFmtId="0" fontId="58" fillId="0" borderId="0" xfId="0" applyFont="1" applyAlignment="1">
      <alignment/>
    </xf>
    <xf numFmtId="0" fontId="58" fillId="0" borderId="0" xfId="0" applyFont="1" applyAlignment="1">
      <alignment/>
    </xf>
    <xf numFmtId="0" fontId="58" fillId="0" borderId="0" xfId="0" applyFont="1" applyAlignment="1">
      <alignment/>
    </xf>
    <xf numFmtId="0" fontId="58" fillId="0" borderId="0" xfId="0" applyFont="1" applyAlignment="1">
      <alignment/>
    </xf>
    <xf numFmtId="0" fontId="58" fillId="0" borderId="0" xfId="0" applyFont="1" applyAlignment="1">
      <alignment/>
    </xf>
    <xf numFmtId="14" fontId="58" fillId="0" borderId="24" xfId="0" applyNumberFormat="1" applyFont="1" applyBorder="1" applyAlignment="1" applyProtection="1">
      <alignment horizontal="left" vertical="center"/>
      <protection locked="0"/>
    </xf>
    <xf numFmtId="168" fontId="58" fillId="0" borderId="24" xfId="0" applyNumberFormat="1" applyFont="1" applyBorder="1" applyAlignment="1" applyProtection="1">
      <alignment horizontal="left" vertical="center"/>
      <protection locked="0"/>
    </xf>
    <xf numFmtId="0" fontId="58" fillId="0" borderId="25" xfId="0" applyFont="1" applyBorder="1" applyAlignment="1" applyProtection="1">
      <alignment wrapText="1"/>
      <protection locked="0"/>
    </xf>
    <xf numFmtId="0" fontId="58" fillId="0" borderId="25" xfId="0" applyFont="1" applyBorder="1" applyAlignment="1" applyProtection="1">
      <alignment wrapText="1"/>
      <protection locked="0"/>
    </xf>
    <xf numFmtId="0" fontId="58" fillId="0" borderId="0" xfId="0" applyFont="1" applyBorder="1" applyAlignment="1">
      <alignment/>
    </xf>
    <xf numFmtId="0" fontId="58" fillId="0" borderId="25" xfId="0" applyFont="1" applyFill="1" applyBorder="1" applyAlignment="1" applyProtection="1">
      <alignment horizontal="center"/>
      <protection/>
    </xf>
    <xf numFmtId="0" fontId="58" fillId="0" borderId="26" xfId="0" applyFont="1" applyFill="1" applyBorder="1" applyAlignment="1" applyProtection="1">
      <alignment horizontal="center"/>
      <protection/>
    </xf>
    <xf numFmtId="0" fontId="12" fillId="0" borderId="0" xfId="0" applyFont="1" applyFill="1" applyAlignment="1" applyProtection="1">
      <alignment/>
      <protection/>
    </xf>
    <xf numFmtId="0" fontId="12" fillId="0" borderId="0" xfId="0" applyFont="1" applyFill="1" applyBorder="1" applyAlignment="1" applyProtection="1">
      <alignment/>
      <protection/>
    </xf>
    <xf numFmtId="0" fontId="12" fillId="0" borderId="0" xfId="0" applyFont="1" applyFill="1" applyAlignment="1" applyProtection="1">
      <alignment vertical="center"/>
      <protection/>
    </xf>
    <xf numFmtId="0" fontId="58" fillId="0" borderId="0" xfId="0" applyFont="1" applyAlignment="1" applyProtection="1">
      <alignment/>
      <protection/>
    </xf>
    <xf numFmtId="0" fontId="58" fillId="0" borderId="0" xfId="0" applyFont="1" applyBorder="1" applyAlignment="1" applyProtection="1">
      <alignment/>
      <protection/>
    </xf>
    <xf numFmtId="0" fontId="58" fillId="0" borderId="0" xfId="0" applyFont="1" applyFill="1" applyBorder="1" applyAlignment="1" applyProtection="1">
      <alignment/>
      <protection/>
    </xf>
    <xf numFmtId="14" fontId="58" fillId="0" borderId="0" xfId="0" applyNumberFormat="1" applyFont="1" applyFill="1" applyBorder="1" applyAlignment="1" applyProtection="1">
      <alignment horizontal="center"/>
      <protection/>
    </xf>
    <xf numFmtId="0" fontId="58" fillId="0" borderId="11" xfId="0" applyFont="1" applyBorder="1" applyAlignment="1" applyProtection="1">
      <alignment/>
      <protection/>
    </xf>
    <xf numFmtId="14" fontId="58" fillId="0" borderId="11" xfId="0" applyNumberFormat="1" applyFont="1" applyFill="1" applyBorder="1" applyAlignment="1" applyProtection="1">
      <alignment horizontal="center"/>
      <protection/>
    </xf>
    <xf numFmtId="0" fontId="58" fillId="0" borderId="11" xfId="0" applyFont="1" applyFill="1" applyBorder="1" applyAlignment="1" applyProtection="1">
      <alignment/>
      <protection/>
    </xf>
    <xf numFmtId="164" fontId="58" fillId="0" borderId="10" xfId="0" applyNumberFormat="1" applyFont="1" applyFill="1" applyBorder="1" applyAlignment="1" applyProtection="1">
      <alignment/>
      <protection locked="0"/>
    </xf>
    <xf numFmtId="164" fontId="58" fillId="0" borderId="10" xfId="0" applyNumberFormat="1" applyFont="1" applyBorder="1" applyAlignment="1" applyProtection="1">
      <alignment/>
      <protection locked="0"/>
    </xf>
    <xf numFmtId="0" fontId="58" fillId="0" borderId="10" xfId="0" applyFont="1" applyFill="1" applyBorder="1" applyAlignment="1" applyProtection="1">
      <alignment horizontal="left"/>
      <protection locked="0"/>
    </xf>
    <xf numFmtId="0" fontId="58" fillId="0" borderId="27" xfId="0" applyFont="1" applyFill="1" applyBorder="1" applyAlignment="1" applyProtection="1">
      <alignment horizontal="left"/>
      <protection locked="0"/>
    </xf>
    <xf numFmtId="0" fontId="3" fillId="36" borderId="25" xfId="0" applyFont="1" applyFill="1" applyBorder="1" applyAlignment="1" applyProtection="1">
      <alignment/>
      <protection/>
    </xf>
    <xf numFmtId="164" fontId="12" fillId="0" borderId="24" xfId="0" applyNumberFormat="1" applyFont="1" applyFill="1" applyBorder="1" applyAlignment="1" applyProtection="1">
      <alignment horizontal="right" wrapText="1"/>
      <protection locked="0"/>
    </xf>
    <xf numFmtId="164" fontId="58" fillId="0" borderId="24" xfId="0" applyNumberFormat="1" applyFont="1" applyBorder="1" applyAlignment="1" applyProtection="1">
      <alignment/>
      <protection locked="0"/>
    </xf>
    <xf numFmtId="164" fontId="58" fillId="0" borderId="24" xfId="0" applyNumberFormat="1" applyFont="1" applyFill="1" applyBorder="1" applyAlignment="1" applyProtection="1">
      <alignment/>
      <protection locked="0"/>
    </xf>
    <xf numFmtId="0" fontId="12" fillId="0" borderId="28" xfId="0" applyFont="1" applyFill="1" applyBorder="1" applyAlignment="1" applyProtection="1">
      <alignment horizontal="left"/>
      <protection/>
    </xf>
    <xf numFmtId="164" fontId="58" fillId="0" borderId="13" xfId="0" applyNumberFormat="1" applyFont="1" applyBorder="1" applyAlignment="1" applyProtection="1">
      <alignment/>
      <protection locked="0"/>
    </xf>
    <xf numFmtId="0" fontId="58" fillId="0" borderId="29" xfId="0" applyFont="1" applyBorder="1" applyAlignment="1" applyProtection="1">
      <alignment/>
      <protection/>
    </xf>
    <xf numFmtId="0" fontId="58" fillId="0" borderId="10" xfId="0" applyFont="1" applyFill="1" applyBorder="1" applyAlignment="1" applyProtection="1">
      <alignment horizontal="center"/>
      <protection locked="0"/>
    </xf>
    <xf numFmtId="0" fontId="0" fillId="0" borderId="0" xfId="0" applyAlignment="1" applyProtection="1">
      <alignment/>
      <protection/>
    </xf>
    <xf numFmtId="0" fontId="17" fillId="0" borderId="0" xfId="0" applyFont="1" applyFill="1" applyAlignment="1" applyProtection="1">
      <alignment/>
      <protection/>
    </xf>
    <xf numFmtId="164" fontId="58" fillId="0" borderId="30" xfId="0" applyNumberFormat="1" applyFont="1" applyBorder="1" applyAlignment="1" applyProtection="1">
      <alignment/>
      <protection locked="0"/>
    </xf>
    <xf numFmtId="164" fontId="58" fillId="0" borderId="10" xfId="0" applyNumberFormat="1" applyFont="1" applyFill="1" applyBorder="1" applyAlignment="1" applyProtection="1">
      <alignment wrapText="1"/>
      <protection locked="0"/>
    </xf>
    <xf numFmtId="164" fontId="58" fillId="0" borderId="10" xfId="0" applyNumberFormat="1" applyFont="1" applyFill="1" applyBorder="1" applyAlignment="1" applyProtection="1">
      <alignment/>
      <protection locked="0"/>
    </xf>
    <xf numFmtId="0" fontId="58" fillId="0" borderId="31" xfId="0" applyFont="1" applyFill="1" applyBorder="1" applyAlignment="1" applyProtection="1">
      <alignment horizontal="center"/>
      <protection/>
    </xf>
    <xf numFmtId="164" fontId="58" fillId="33" borderId="32" xfId="0" applyNumberFormat="1" applyFont="1" applyFill="1" applyBorder="1" applyAlignment="1" applyProtection="1">
      <alignment/>
      <protection locked="0"/>
    </xf>
    <xf numFmtId="0" fontId="58" fillId="0" borderId="10" xfId="0" applyFont="1" applyBorder="1" applyAlignment="1" applyProtection="1">
      <alignment wrapText="1"/>
      <protection locked="0"/>
    </xf>
    <xf numFmtId="0" fontId="58" fillId="0" borderId="24" xfId="0" applyFont="1" applyBorder="1" applyAlignment="1" applyProtection="1">
      <alignment horizontal="left" vertical="center"/>
      <protection locked="0"/>
    </xf>
    <xf numFmtId="164" fontId="58" fillId="0" borderId="13" xfId="0" applyNumberFormat="1" applyFont="1" applyFill="1" applyBorder="1" applyAlignment="1" applyProtection="1">
      <alignment/>
      <protection locked="0"/>
    </xf>
    <xf numFmtId="164" fontId="12" fillId="0" borderId="10" xfId="0" applyNumberFormat="1" applyFont="1" applyFill="1" applyBorder="1" applyAlignment="1" applyProtection="1">
      <alignment/>
      <protection locked="0"/>
    </xf>
    <xf numFmtId="0" fontId="59" fillId="34" borderId="14" xfId="0" applyFont="1" applyFill="1" applyBorder="1" applyAlignment="1">
      <alignment horizontal="center" wrapText="1"/>
    </xf>
    <xf numFmtId="0" fontId="58" fillId="0" borderId="0" xfId="0" applyFont="1" applyBorder="1" applyAlignment="1">
      <alignment horizontal="right"/>
    </xf>
    <xf numFmtId="165" fontId="58" fillId="0" borderId="10" xfId="0" applyNumberFormat="1" applyFont="1" applyFill="1" applyBorder="1" applyAlignment="1" applyProtection="1">
      <alignment horizontal="center"/>
      <protection locked="0"/>
    </xf>
    <xf numFmtId="171" fontId="58" fillId="0" borderId="20" xfId="59" applyNumberFormat="1" applyFont="1" applyBorder="1" applyAlignment="1">
      <alignment horizontal="center"/>
      <protection/>
    </xf>
    <xf numFmtId="0" fontId="64" fillId="0" borderId="0" xfId="0" applyFont="1" applyFill="1" applyAlignment="1">
      <alignment horizontal="left" vertical="center" indent="2"/>
    </xf>
    <xf numFmtId="3" fontId="64" fillId="0" borderId="0" xfId="0" applyNumberFormat="1" applyFont="1" applyFill="1" applyAlignment="1">
      <alignment horizontal="right" vertical="center"/>
    </xf>
    <xf numFmtId="164" fontId="58" fillId="0" borderId="32" xfId="0" applyNumberFormat="1" applyFont="1" applyFill="1" applyBorder="1" applyAlignment="1" applyProtection="1">
      <alignment/>
      <protection locked="0"/>
    </xf>
    <xf numFmtId="164" fontId="58" fillId="0" borderId="32" xfId="0" applyNumberFormat="1" applyFont="1" applyBorder="1" applyAlignment="1" applyProtection="1">
      <alignment/>
      <protection locked="0"/>
    </xf>
    <xf numFmtId="164" fontId="58" fillId="0" borderId="33" xfId="0" applyNumberFormat="1" applyFont="1" applyBorder="1" applyAlignment="1" applyProtection="1">
      <alignment/>
      <protection locked="0"/>
    </xf>
    <xf numFmtId="0" fontId="12" fillId="0" borderId="10" xfId="0" applyFont="1" applyFill="1" applyBorder="1" applyAlignment="1" applyProtection="1">
      <alignment horizontal="center"/>
      <protection locked="0"/>
    </xf>
    <xf numFmtId="164" fontId="12" fillId="0" borderId="32" xfId="0" applyNumberFormat="1" applyFont="1" applyFill="1" applyBorder="1" applyAlignment="1" applyProtection="1">
      <alignment/>
      <protection locked="0"/>
    </xf>
    <xf numFmtId="0" fontId="58" fillId="0" borderId="10" xfId="0" applyFont="1" applyFill="1" applyBorder="1" applyAlignment="1" applyProtection="1">
      <alignment wrapText="1"/>
      <protection locked="0"/>
    </xf>
    <xf numFmtId="0" fontId="58" fillId="0" borderId="10" xfId="0" applyFont="1" applyFill="1" applyBorder="1" applyAlignment="1" applyProtection="1">
      <alignment wrapText="1"/>
      <protection locked="0"/>
    </xf>
    <xf numFmtId="164" fontId="58" fillId="0" borderId="10" xfId="0" applyNumberFormat="1" applyFont="1" applyFill="1" applyBorder="1" applyAlignment="1" applyProtection="1">
      <alignment wrapText="1"/>
      <protection locked="0"/>
    </xf>
    <xf numFmtId="0" fontId="58" fillId="0" borderId="27" xfId="0" applyFont="1" applyBorder="1" applyAlignment="1" applyProtection="1">
      <alignment wrapText="1"/>
      <protection locked="0"/>
    </xf>
    <xf numFmtId="164" fontId="12" fillId="0" borderId="13" xfId="0" applyNumberFormat="1" applyFont="1" applyFill="1" applyBorder="1" applyAlignment="1" applyProtection="1">
      <alignment horizontal="right" wrapText="1"/>
      <protection locked="0"/>
    </xf>
    <xf numFmtId="164" fontId="12" fillId="0" borderId="34" xfId="0" applyNumberFormat="1" applyFont="1" applyFill="1" applyBorder="1" applyAlignment="1" applyProtection="1">
      <alignment horizontal="right" wrapText="1"/>
      <protection locked="0"/>
    </xf>
    <xf numFmtId="164" fontId="12" fillId="0" borderId="32" xfId="0" applyNumberFormat="1" applyFont="1" applyFill="1" applyBorder="1" applyAlignment="1" applyProtection="1">
      <alignment horizontal="right" wrapText="1"/>
      <protection locked="0"/>
    </xf>
    <xf numFmtId="164" fontId="12" fillId="0" borderId="35" xfId="0" applyNumberFormat="1" applyFont="1" applyFill="1" applyBorder="1" applyAlignment="1" applyProtection="1">
      <alignment horizontal="right" wrapText="1"/>
      <protection locked="0"/>
    </xf>
    <xf numFmtId="0" fontId="58" fillId="0" borderId="10" xfId="0" applyFont="1" applyFill="1" applyBorder="1" applyAlignment="1" applyProtection="1">
      <alignment/>
      <protection locked="0"/>
    </xf>
    <xf numFmtId="0" fontId="58" fillId="0" borderId="10" xfId="0" applyFont="1" applyBorder="1" applyAlignment="1" applyProtection="1">
      <alignment/>
      <protection locked="0"/>
    </xf>
    <xf numFmtId="0" fontId="58" fillId="0" borderId="24" xfId="0" applyFont="1" applyBorder="1" applyAlignment="1" applyProtection="1">
      <alignment horizontal="left" vertical="center" wrapText="1"/>
      <protection locked="0"/>
    </xf>
    <xf numFmtId="0" fontId="58" fillId="0" borderId="24" xfId="0" applyFont="1" applyBorder="1" applyAlignment="1" applyProtection="1">
      <alignment vertical="center"/>
      <protection locked="0"/>
    </xf>
    <xf numFmtId="167" fontId="58" fillId="0" borderId="24" xfId="0" applyNumberFormat="1" applyFont="1" applyBorder="1" applyAlignment="1" applyProtection="1">
      <alignment horizontal="left" vertical="center"/>
      <protection locked="0"/>
    </xf>
    <xf numFmtId="0" fontId="0" fillId="0" borderId="0" xfId="0" applyAlignment="1" applyProtection="1">
      <alignment/>
      <protection locked="0"/>
    </xf>
    <xf numFmtId="164" fontId="58" fillId="0" borderId="12" xfId="0" applyNumberFormat="1" applyFont="1" applyFill="1" applyBorder="1" applyAlignment="1" applyProtection="1">
      <alignment/>
      <protection locked="0"/>
    </xf>
    <xf numFmtId="164" fontId="58" fillId="0" borderId="36" xfId="0" applyNumberFormat="1" applyFont="1" applyFill="1" applyBorder="1" applyAlignment="1" applyProtection="1">
      <alignment/>
      <protection locked="0"/>
    </xf>
    <xf numFmtId="0" fontId="3" fillId="0" borderId="25" xfId="0" applyFont="1" applyFill="1" applyBorder="1" applyAlignment="1" applyProtection="1">
      <alignment horizontal="left"/>
      <protection/>
    </xf>
    <xf numFmtId="0" fontId="3" fillId="0" borderId="25" xfId="0" applyFont="1" applyFill="1" applyBorder="1" applyAlignment="1" applyProtection="1">
      <alignment horizontal="center"/>
      <protection/>
    </xf>
    <xf numFmtId="0" fontId="12" fillId="0" borderId="0" xfId="0" applyFont="1" applyAlignment="1" applyProtection="1">
      <alignment/>
      <protection locked="0"/>
    </xf>
    <xf numFmtId="0" fontId="8" fillId="0" borderId="0" xfId="0" applyFont="1" applyFill="1" applyBorder="1" applyAlignment="1" applyProtection="1">
      <alignment vertical="center"/>
      <protection locked="0"/>
    </xf>
    <xf numFmtId="0" fontId="65" fillId="0" borderId="0" xfId="0" applyFont="1" applyFill="1" applyAlignment="1" applyProtection="1">
      <alignment/>
      <protection locked="0"/>
    </xf>
    <xf numFmtId="0" fontId="65" fillId="0" borderId="0" xfId="0" applyFont="1" applyAlignment="1" applyProtection="1">
      <alignment vertical="center"/>
      <protection locked="0"/>
    </xf>
    <xf numFmtId="0" fontId="58" fillId="0" borderId="25" xfId="0" applyFont="1" applyFill="1" applyBorder="1" applyAlignment="1" applyProtection="1">
      <alignment vertical="center" wrapText="1"/>
      <protection locked="0"/>
    </xf>
    <xf numFmtId="0" fontId="59" fillId="0" borderId="25" xfId="0" applyFont="1" applyFill="1" applyBorder="1" applyAlignment="1" applyProtection="1">
      <alignment vertical="center" wrapText="1"/>
      <protection locked="0"/>
    </xf>
    <xf numFmtId="0" fontId="58" fillId="0" borderId="25" xfId="0" applyFont="1" applyBorder="1" applyAlignment="1" applyProtection="1">
      <alignment vertical="center" wrapText="1"/>
      <protection locked="0"/>
    </xf>
    <xf numFmtId="0" fontId="58" fillId="0" borderId="25" xfId="0" applyFont="1" applyBorder="1" applyAlignment="1" applyProtection="1">
      <alignment vertical="center" wrapText="1"/>
      <protection locked="0"/>
    </xf>
    <xf numFmtId="0" fontId="58" fillId="0" borderId="0" xfId="0" applyFont="1" applyAlignment="1" applyProtection="1">
      <alignment/>
      <protection/>
    </xf>
    <xf numFmtId="0" fontId="59" fillId="0" borderId="0" xfId="0" applyFont="1" applyAlignment="1" applyProtection="1">
      <alignment/>
      <protection/>
    </xf>
    <xf numFmtId="0" fontId="58" fillId="0" borderId="0" xfId="0" applyFont="1" applyAlignment="1" applyProtection="1">
      <alignment/>
      <protection/>
    </xf>
    <xf numFmtId="0" fontId="58" fillId="0" borderId="0" xfId="0" applyFont="1" applyAlignment="1" applyProtection="1">
      <alignment/>
      <protection/>
    </xf>
    <xf numFmtId="0" fontId="58" fillId="0" borderId="0" xfId="0" applyFont="1" applyAlignment="1" applyProtection="1">
      <alignment/>
      <protection/>
    </xf>
    <xf numFmtId="0" fontId="58" fillId="0" borderId="0" xfId="0" applyFont="1" applyAlignment="1" applyProtection="1">
      <alignment/>
      <protection/>
    </xf>
    <xf numFmtId="0" fontId="58" fillId="0" borderId="0" xfId="0" applyFont="1" applyAlignment="1" applyProtection="1">
      <alignment/>
      <protection/>
    </xf>
    <xf numFmtId="0" fontId="66" fillId="0" borderId="0" xfId="0" applyFont="1" applyAlignment="1" applyProtection="1">
      <alignment/>
      <protection locked="0"/>
    </xf>
    <xf numFmtId="0" fontId="8" fillId="0" borderId="0" xfId="0" applyFont="1" applyBorder="1" applyAlignment="1" applyProtection="1">
      <alignment vertical="center"/>
      <protection locked="0"/>
    </xf>
    <xf numFmtId="0" fontId="58" fillId="0" borderId="25" xfId="0" applyFont="1" applyBorder="1" applyAlignment="1" applyProtection="1">
      <alignment horizontal="center" vertical="center"/>
      <protection locked="0"/>
    </xf>
    <xf numFmtId="0" fontId="58" fillId="0" borderId="31" xfId="0" applyFont="1" applyBorder="1" applyAlignment="1" applyProtection="1">
      <alignment horizontal="left" vertical="center"/>
      <protection locked="0"/>
    </xf>
    <xf numFmtId="0" fontId="58" fillId="0" borderId="25" xfId="0" applyFont="1" applyBorder="1" applyAlignment="1" applyProtection="1">
      <alignment horizontal="left" vertical="center"/>
      <protection locked="0"/>
    </xf>
    <xf numFmtId="166" fontId="58" fillId="36" borderId="37" xfId="0" applyNumberFormat="1" applyFont="1" applyFill="1" applyBorder="1" applyAlignment="1" applyProtection="1">
      <alignment horizontal="left" vertical="center"/>
      <protection locked="0"/>
    </xf>
    <xf numFmtId="0" fontId="58" fillId="0" borderId="25" xfId="0" applyFont="1" applyBorder="1" applyAlignment="1" applyProtection="1">
      <alignment horizontal="left" vertical="center" wrapText="1"/>
      <protection locked="0"/>
    </xf>
    <xf numFmtId="0" fontId="58" fillId="36" borderId="37" xfId="0" applyFont="1" applyFill="1" applyBorder="1" applyAlignment="1" applyProtection="1">
      <alignment horizontal="left" vertical="center"/>
      <protection locked="0"/>
    </xf>
    <xf numFmtId="0" fontId="58" fillId="0" borderId="31" xfId="0" applyFont="1" applyBorder="1" applyAlignment="1" applyProtection="1">
      <alignment vertical="center"/>
      <protection locked="0"/>
    </xf>
    <xf numFmtId="0" fontId="38" fillId="0" borderId="0" xfId="0" applyFont="1" applyAlignment="1" applyProtection="1">
      <alignment/>
      <protection locked="0"/>
    </xf>
    <xf numFmtId="0" fontId="3" fillId="0" borderId="0" xfId="0" applyFont="1" applyFill="1" applyBorder="1" applyAlignment="1" applyProtection="1">
      <alignment vertical="center"/>
      <protection locked="0"/>
    </xf>
    <xf numFmtId="0" fontId="3" fillId="0" borderId="0" xfId="0" applyFont="1" applyFill="1" applyAlignment="1" applyProtection="1">
      <alignment/>
      <protection locked="0"/>
    </xf>
    <xf numFmtId="0" fontId="3" fillId="0" borderId="25" xfId="0" applyFont="1" applyFill="1" applyBorder="1" applyAlignment="1" applyProtection="1">
      <alignment/>
      <protection locked="0"/>
    </xf>
    <xf numFmtId="14" fontId="12" fillId="0" borderId="25" xfId="0" applyNumberFormat="1" applyFont="1" applyFill="1" applyBorder="1" applyAlignment="1" applyProtection="1">
      <alignment horizontal="center"/>
      <protection locked="0"/>
    </xf>
    <xf numFmtId="0" fontId="3" fillId="0" borderId="25" xfId="0" applyFont="1" applyFill="1" applyBorder="1" applyAlignment="1" applyProtection="1">
      <alignment horizontal="center"/>
      <protection locked="0"/>
    </xf>
    <xf numFmtId="0" fontId="3" fillId="12" borderId="31" xfId="0" applyFont="1" applyFill="1" applyBorder="1" applyAlignment="1" applyProtection="1">
      <alignment/>
      <protection locked="0"/>
    </xf>
    <xf numFmtId="0" fontId="12" fillId="12" borderId="38" xfId="0" applyFont="1" applyFill="1" applyBorder="1" applyAlignment="1" applyProtection="1">
      <alignment horizontal="right"/>
      <protection locked="0"/>
    </xf>
    <xf numFmtId="9" fontId="3" fillId="12" borderId="39" xfId="63" applyFont="1" applyFill="1" applyBorder="1" applyAlignment="1" applyProtection="1">
      <alignment horizontal="center" wrapText="1"/>
      <protection locked="0"/>
    </xf>
    <xf numFmtId="0" fontId="12" fillId="0" borderId="40" xfId="0" applyFont="1" applyFill="1" applyBorder="1" applyAlignment="1" applyProtection="1">
      <alignment horizontal="center"/>
      <protection locked="0"/>
    </xf>
    <xf numFmtId="0" fontId="12" fillId="0" borderId="31" xfId="0" applyFont="1" applyFill="1" applyBorder="1" applyAlignment="1" applyProtection="1">
      <alignment/>
      <protection locked="0"/>
    </xf>
    <xf numFmtId="0" fontId="12" fillId="0" borderId="25" xfId="0" applyFont="1" applyFill="1" applyBorder="1" applyAlignment="1" applyProtection="1">
      <alignment horizontal="center"/>
      <protection locked="0"/>
    </xf>
    <xf numFmtId="164" fontId="12" fillId="36" borderId="26" xfId="0" applyNumberFormat="1" applyFont="1" applyFill="1" applyBorder="1" applyAlignment="1" applyProtection="1">
      <alignment/>
      <protection locked="0"/>
    </xf>
    <xf numFmtId="0" fontId="12" fillId="0" borderId="25" xfId="0" applyFont="1" applyFill="1" applyBorder="1" applyAlignment="1" applyProtection="1">
      <alignment/>
      <protection locked="0"/>
    </xf>
    <xf numFmtId="0" fontId="3" fillId="12" borderId="41" xfId="0" applyFont="1" applyFill="1" applyBorder="1" applyAlignment="1" applyProtection="1">
      <alignment/>
      <protection locked="0"/>
    </xf>
    <xf numFmtId="0" fontId="0" fillId="12" borderId="38" xfId="0" applyFill="1" applyBorder="1" applyAlignment="1" applyProtection="1">
      <alignment/>
      <protection locked="0"/>
    </xf>
    <xf numFmtId="9" fontId="3" fillId="12" borderId="25" xfId="63" applyFont="1" applyFill="1" applyBorder="1" applyAlignment="1" applyProtection="1">
      <alignment horizontal="center" wrapText="1"/>
      <protection locked="0"/>
    </xf>
    <xf numFmtId="0" fontId="3" fillId="12" borderId="42" xfId="0" applyFont="1" applyFill="1" applyBorder="1" applyAlignment="1" applyProtection="1">
      <alignment/>
      <protection locked="0"/>
    </xf>
    <xf numFmtId="0" fontId="3" fillId="12" borderId="38" xfId="0" applyFont="1" applyFill="1" applyBorder="1" applyAlignment="1" applyProtection="1">
      <alignment/>
      <protection locked="0"/>
    </xf>
    <xf numFmtId="0" fontId="12" fillId="12" borderId="38" xfId="0" applyFont="1" applyFill="1" applyBorder="1" applyAlignment="1" applyProtection="1">
      <alignment/>
      <protection locked="0"/>
    </xf>
    <xf numFmtId="0" fontId="12" fillId="12" borderId="42" xfId="0" applyFont="1" applyFill="1" applyBorder="1" applyAlignment="1" applyProtection="1">
      <alignment/>
      <protection locked="0"/>
    </xf>
    <xf numFmtId="0" fontId="12" fillId="12" borderId="26" xfId="0" applyFont="1" applyFill="1" applyBorder="1" applyAlignment="1" applyProtection="1">
      <alignment/>
      <protection locked="0"/>
    </xf>
    <xf numFmtId="0" fontId="12" fillId="0" borderId="43" xfId="0" applyFont="1" applyFill="1" applyBorder="1" applyAlignment="1" applyProtection="1">
      <alignment/>
      <protection locked="0"/>
    </xf>
    <xf numFmtId="164" fontId="12" fillId="36" borderId="25" xfId="0" applyNumberFormat="1" applyFont="1" applyFill="1" applyBorder="1" applyAlignment="1" applyProtection="1">
      <alignment/>
      <protection locked="0"/>
    </xf>
    <xf numFmtId="164" fontId="12" fillId="36" borderId="40" xfId="0" applyNumberFormat="1" applyFont="1" applyFill="1" applyBorder="1" applyAlignment="1" applyProtection="1">
      <alignment/>
      <protection locked="0"/>
    </xf>
    <xf numFmtId="164" fontId="12" fillId="0" borderId="40" xfId="0" applyNumberFormat="1" applyFont="1" applyFill="1" applyBorder="1" applyAlignment="1" applyProtection="1">
      <alignment/>
      <protection locked="0"/>
    </xf>
    <xf numFmtId="164" fontId="12" fillId="0" borderId="44" xfId="0" applyNumberFormat="1" applyFont="1" applyFill="1" applyBorder="1" applyAlignment="1" applyProtection="1">
      <alignment/>
      <protection locked="0"/>
    </xf>
    <xf numFmtId="164" fontId="12" fillId="0" borderId="43" xfId="0" applyNumberFormat="1" applyFont="1" applyFill="1" applyBorder="1" applyAlignment="1" applyProtection="1">
      <alignment/>
      <protection locked="0"/>
    </xf>
    <xf numFmtId="164" fontId="12" fillId="0" borderId="25" xfId="0" applyNumberFormat="1" applyFont="1" applyFill="1" applyBorder="1" applyAlignment="1" applyProtection="1">
      <alignment/>
      <protection locked="0"/>
    </xf>
    <xf numFmtId="0" fontId="3" fillId="0" borderId="25" xfId="0" applyFont="1" applyFill="1" applyBorder="1" applyAlignment="1" applyProtection="1">
      <alignment/>
      <protection locked="0"/>
    </xf>
    <xf numFmtId="164" fontId="3" fillId="0" borderId="40" xfId="0" applyNumberFormat="1" applyFont="1" applyFill="1" applyBorder="1" applyAlignment="1" applyProtection="1">
      <alignment/>
      <protection locked="0"/>
    </xf>
    <xf numFmtId="164" fontId="3" fillId="0" borderId="44" xfId="0" applyNumberFormat="1" applyFont="1" applyFill="1" applyBorder="1" applyAlignment="1" applyProtection="1">
      <alignment/>
      <protection locked="0"/>
    </xf>
    <xf numFmtId="0" fontId="3" fillId="12" borderId="42" xfId="0" applyFont="1" applyFill="1" applyBorder="1" applyAlignment="1" applyProtection="1">
      <alignment horizontal="left"/>
      <protection locked="0"/>
    </xf>
    <xf numFmtId="0" fontId="3" fillId="12" borderId="42" xfId="0" applyFont="1" applyFill="1" applyBorder="1" applyAlignment="1" applyProtection="1">
      <alignment/>
      <protection locked="0"/>
    </xf>
    <xf numFmtId="0" fontId="3" fillId="12" borderId="26" xfId="0" applyFont="1" applyFill="1" applyBorder="1" applyAlignment="1" applyProtection="1">
      <alignment/>
      <protection locked="0"/>
    </xf>
    <xf numFmtId="0" fontId="12" fillId="0" borderId="40" xfId="0" applyFont="1" applyFill="1" applyBorder="1" applyAlignment="1" applyProtection="1">
      <alignment/>
      <protection locked="0"/>
    </xf>
    <xf numFmtId="164" fontId="3" fillId="36" borderId="25" xfId="0" applyNumberFormat="1" applyFont="1" applyFill="1" applyBorder="1" applyAlignment="1" applyProtection="1">
      <alignment/>
      <protection locked="0"/>
    </xf>
    <xf numFmtId="164" fontId="3" fillId="0" borderId="25" xfId="0" applyNumberFormat="1" applyFont="1" applyFill="1" applyBorder="1" applyAlignment="1" applyProtection="1">
      <alignment/>
      <protection locked="0"/>
    </xf>
    <xf numFmtId="0" fontId="3" fillId="0" borderId="25" xfId="0" applyFont="1" applyFill="1" applyBorder="1" applyAlignment="1" applyProtection="1">
      <alignment horizontal="left"/>
      <protection locked="0"/>
    </xf>
    <xf numFmtId="164" fontId="12" fillId="0" borderId="25" xfId="44" applyNumberFormat="1" applyFont="1" applyFill="1" applyBorder="1" applyAlignment="1" applyProtection="1">
      <alignment/>
      <protection locked="0"/>
    </xf>
    <xf numFmtId="0" fontId="12" fillId="0" borderId="0" xfId="0" applyFont="1" applyFill="1" applyAlignment="1" applyProtection="1">
      <alignment/>
      <protection locked="0"/>
    </xf>
    <xf numFmtId="0" fontId="66" fillId="0" borderId="0" xfId="0" applyFont="1" applyBorder="1" applyAlignment="1" applyProtection="1">
      <alignment/>
      <protection locked="0"/>
    </xf>
    <xf numFmtId="0" fontId="18" fillId="0" borderId="0" xfId="0" applyFont="1" applyAlignment="1" applyProtection="1">
      <alignment/>
      <protection locked="0"/>
    </xf>
    <xf numFmtId="0" fontId="12" fillId="36" borderId="25" xfId="0" applyFont="1" applyFill="1" applyBorder="1" applyAlignment="1" applyProtection="1">
      <alignment horizontal="center"/>
      <protection locked="0"/>
    </xf>
    <xf numFmtId="14" fontId="58" fillId="36" borderId="25" xfId="0" applyNumberFormat="1" applyFont="1" applyFill="1" applyBorder="1" applyAlignment="1" applyProtection="1">
      <alignment horizontal="center"/>
      <protection locked="0"/>
    </xf>
    <xf numFmtId="0" fontId="8" fillId="0" borderId="11" xfId="0" applyFont="1" applyFill="1" applyBorder="1" applyAlignment="1" applyProtection="1">
      <alignment horizontal="left"/>
      <protection locked="0"/>
    </xf>
    <xf numFmtId="0" fontId="58" fillId="0" borderId="25" xfId="0" applyFont="1" applyBorder="1" applyAlignment="1" applyProtection="1">
      <alignment horizontal="center"/>
      <protection locked="0"/>
    </xf>
    <xf numFmtId="14" fontId="58" fillId="0" borderId="26" xfId="0" applyNumberFormat="1" applyFont="1" applyFill="1" applyBorder="1" applyAlignment="1" applyProtection="1">
      <alignment horizontal="center"/>
      <protection locked="0"/>
    </xf>
    <xf numFmtId="0" fontId="58" fillId="36" borderId="25" xfId="0" applyFont="1" applyFill="1" applyBorder="1" applyAlignment="1" applyProtection="1">
      <alignment/>
      <protection locked="0"/>
    </xf>
    <xf numFmtId="0" fontId="59" fillId="0" borderId="39" xfId="0" applyFont="1" applyFill="1" applyBorder="1" applyAlignment="1" applyProtection="1">
      <alignment horizontal="center" vertical="center" wrapText="1"/>
      <protection locked="0"/>
    </xf>
    <xf numFmtId="0" fontId="3" fillId="0" borderId="39" xfId="0" applyFont="1" applyFill="1" applyBorder="1" applyAlignment="1" applyProtection="1">
      <alignment horizontal="center" vertical="center" wrapText="1"/>
      <protection locked="0"/>
    </xf>
    <xf numFmtId="0" fontId="3" fillId="0" borderId="45" xfId="0" applyFont="1" applyFill="1" applyBorder="1" applyAlignment="1" applyProtection="1">
      <alignment horizontal="center" vertical="center" wrapText="1"/>
      <protection locked="0"/>
    </xf>
    <xf numFmtId="0" fontId="59" fillId="36" borderId="25" xfId="0" applyFont="1" applyFill="1" applyBorder="1" applyAlignment="1" applyProtection="1">
      <alignment horizontal="center" vertical="center"/>
      <protection locked="0"/>
    </xf>
    <xf numFmtId="164" fontId="58" fillId="36" borderId="26" xfId="0" applyNumberFormat="1" applyFont="1" applyFill="1" applyBorder="1" applyAlignment="1" applyProtection="1">
      <alignment/>
      <protection locked="0"/>
    </xf>
    <xf numFmtId="164" fontId="58" fillId="36" borderId="40" xfId="0" applyNumberFormat="1" applyFont="1" applyFill="1" applyBorder="1" applyAlignment="1" applyProtection="1">
      <alignment/>
      <protection locked="0"/>
    </xf>
    <xf numFmtId="164" fontId="58" fillId="36" borderId="25" xfId="0" applyNumberFormat="1" applyFont="1" applyFill="1" applyBorder="1" applyAlignment="1" applyProtection="1">
      <alignment/>
      <protection locked="0"/>
    </xf>
    <xf numFmtId="0" fontId="58" fillId="0" borderId="25" xfId="0" applyFont="1" applyFill="1" applyBorder="1" applyAlignment="1" applyProtection="1">
      <alignment horizontal="center"/>
      <protection locked="0"/>
    </xf>
    <xf numFmtId="164" fontId="3" fillId="36" borderId="26" xfId="0" applyNumberFormat="1" applyFont="1" applyFill="1" applyBorder="1" applyAlignment="1" applyProtection="1">
      <alignment/>
      <protection locked="0"/>
    </xf>
    <xf numFmtId="164" fontId="3" fillId="36" borderId="31" xfId="0" applyNumberFormat="1" applyFont="1" applyFill="1" applyBorder="1" applyAlignment="1" applyProtection="1">
      <alignment/>
      <protection locked="0"/>
    </xf>
    <xf numFmtId="0" fontId="58" fillId="0" borderId="0" xfId="0" applyFont="1" applyBorder="1" applyAlignment="1" applyProtection="1">
      <alignment/>
      <protection locked="0"/>
    </xf>
    <xf numFmtId="0" fontId="65" fillId="0" borderId="11" xfId="0" applyFont="1" applyBorder="1" applyAlignment="1" applyProtection="1">
      <alignment/>
      <protection locked="0"/>
    </xf>
    <xf numFmtId="0" fontId="59" fillId="0" borderId="25" xfId="0" applyFont="1" applyBorder="1" applyAlignment="1" applyProtection="1">
      <alignment horizontal="center"/>
      <protection locked="0"/>
    </xf>
    <xf numFmtId="0" fontId="3" fillId="36" borderId="25" xfId="0" applyFont="1" applyFill="1" applyBorder="1" applyAlignment="1" applyProtection="1">
      <alignment/>
      <protection locked="0"/>
    </xf>
    <xf numFmtId="0" fontId="3" fillId="0" borderId="31" xfId="63" applyNumberFormat="1" applyFont="1" applyFill="1" applyBorder="1" applyAlignment="1" applyProtection="1">
      <alignment horizontal="center" vertical="center" wrapText="1"/>
      <protection locked="0"/>
    </xf>
    <xf numFmtId="0" fontId="3" fillId="0" borderId="25" xfId="63" applyNumberFormat="1" applyFont="1" applyFill="1" applyBorder="1" applyAlignment="1" applyProtection="1">
      <alignment horizontal="center" vertical="center" wrapText="1"/>
      <protection locked="0"/>
    </xf>
    <xf numFmtId="0" fontId="3" fillId="0" borderId="39" xfId="63" applyNumberFormat="1" applyFont="1" applyFill="1" applyBorder="1" applyAlignment="1" applyProtection="1">
      <alignment horizontal="center" vertical="center" wrapText="1"/>
      <protection locked="0"/>
    </xf>
    <xf numFmtId="0" fontId="3" fillId="0" borderId="41" xfId="63" applyNumberFormat="1" applyFont="1" applyFill="1" applyBorder="1" applyAlignment="1" applyProtection="1">
      <alignment horizontal="center" vertical="center" wrapText="1"/>
      <protection locked="0"/>
    </xf>
    <xf numFmtId="0" fontId="58" fillId="0" borderId="31" xfId="0" applyNumberFormat="1" applyFont="1" applyFill="1" applyBorder="1" applyAlignment="1" applyProtection="1">
      <alignment horizontal="center"/>
      <protection locked="0"/>
    </xf>
    <xf numFmtId="165" fontId="58" fillId="36" borderId="31" xfId="0" applyNumberFormat="1" applyFont="1" applyFill="1" applyBorder="1" applyAlignment="1" applyProtection="1">
      <alignment horizontal="center"/>
      <protection locked="0"/>
    </xf>
    <xf numFmtId="0" fontId="58" fillId="0" borderId="0" xfId="0" applyFont="1" applyAlignment="1" applyProtection="1">
      <alignment/>
      <protection locked="0"/>
    </xf>
    <xf numFmtId="0" fontId="57" fillId="0" borderId="0" xfId="0" applyFont="1" applyAlignment="1" applyProtection="1">
      <alignment/>
      <protection/>
    </xf>
    <xf numFmtId="0" fontId="64" fillId="0" borderId="0" xfId="0" applyFont="1" applyAlignment="1" applyProtection="1">
      <alignment/>
      <protection/>
    </xf>
    <xf numFmtId="0" fontId="58" fillId="0" borderId="0" xfId="0" applyFont="1" applyBorder="1" applyAlignment="1" applyProtection="1">
      <alignment/>
      <protection locked="0"/>
    </xf>
    <xf numFmtId="0" fontId="8" fillId="0" borderId="0" xfId="0" applyFont="1" applyBorder="1" applyAlignment="1" applyProtection="1">
      <alignment horizontal="left" vertical="center"/>
      <protection locked="0"/>
    </xf>
    <xf numFmtId="14" fontId="58" fillId="36" borderId="25" xfId="0" applyNumberFormat="1" applyFont="1" applyFill="1" applyBorder="1" applyAlignment="1" applyProtection="1">
      <alignment horizontal="center"/>
      <protection locked="0"/>
    </xf>
    <xf numFmtId="0" fontId="58" fillId="0" borderId="39" xfId="0" applyFont="1" applyFill="1" applyBorder="1" applyAlignment="1" applyProtection="1">
      <alignment horizontal="center"/>
      <protection locked="0"/>
    </xf>
    <xf numFmtId="14" fontId="58" fillId="0" borderId="25" xfId="0" applyNumberFormat="1" applyFont="1" applyFill="1" applyBorder="1" applyAlignment="1" applyProtection="1">
      <alignment horizontal="center"/>
      <protection locked="0"/>
    </xf>
    <xf numFmtId="0" fontId="58" fillId="0" borderId="45" xfId="0" applyFont="1" applyBorder="1" applyAlignment="1" applyProtection="1">
      <alignment horizontal="center"/>
      <protection locked="0"/>
    </xf>
    <xf numFmtId="0" fontId="3" fillId="0" borderId="31" xfId="0" applyFont="1" applyFill="1" applyBorder="1" applyAlignment="1" applyProtection="1">
      <alignment horizontal="center"/>
      <protection locked="0"/>
    </xf>
    <xf numFmtId="0" fontId="59" fillId="36" borderId="26" xfId="0" applyFont="1" applyFill="1" applyBorder="1" applyAlignment="1" applyProtection="1">
      <alignment horizontal="center" vertical="center" wrapText="1"/>
      <protection locked="0"/>
    </xf>
    <xf numFmtId="164" fontId="58" fillId="36" borderId="25" xfId="0" applyNumberFormat="1" applyFont="1" applyFill="1" applyBorder="1" applyAlignment="1" applyProtection="1">
      <alignment/>
      <protection locked="0"/>
    </xf>
    <xf numFmtId="164" fontId="58" fillId="36" borderId="43" xfId="0" applyNumberFormat="1" applyFont="1" applyFill="1" applyBorder="1" applyAlignment="1" applyProtection="1">
      <alignment/>
      <protection locked="0"/>
    </xf>
    <xf numFmtId="164" fontId="58" fillId="36" borderId="25" xfId="0" applyNumberFormat="1" applyFont="1" applyFill="1" applyBorder="1" applyAlignment="1" applyProtection="1">
      <alignment/>
      <protection locked="0"/>
    </xf>
    <xf numFmtId="0" fontId="58" fillId="0" borderId="25" xfId="0" applyFont="1" applyFill="1" applyBorder="1" applyAlignment="1" applyProtection="1">
      <alignment horizontal="center"/>
      <protection locked="0"/>
    </xf>
    <xf numFmtId="164" fontId="59" fillId="36" borderId="25" xfId="0" applyNumberFormat="1" applyFont="1" applyFill="1" applyBorder="1" applyAlignment="1" applyProtection="1">
      <alignment/>
      <protection locked="0"/>
    </xf>
    <xf numFmtId="164" fontId="12" fillId="0" borderId="25" xfId="0" applyNumberFormat="1" applyFont="1" applyFill="1" applyBorder="1" applyAlignment="1" applyProtection="1">
      <alignment horizontal="center"/>
      <protection locked="0"/>
    </xf>
    <xf numFmtId="10" fontId="3" fillId="36" borderId="31" xfId="63" applyNumberFormat="1" applyFont="1" applyFill="1" applyBorder="1" applyAlignment="1" applyProtection="1">
      <alignment horizontal="center"/>
      <protection locked="0"/>
    </xf>
    <xf numFmtId="0" fontId="12" fillId="0" borderId="25" xfId="0" applyFont="1" applyFill="1" applyBorder="1" applyAlignment="1" applyProtection="1">
      <alignment horizontal="center" wrapText="1"/>
      <protection locked="0"/>
    </xf>
    <xf numFmtId="0" fontId="59" fillId="0" borderId="25" xfId="0" applyFont="1" applyBorder="1" applyAlignment="1" applyProtection="1">
      <alignment horizontal="center" vertical="center"/>
      <protection locked="0"/>
    </xf>
    <xf numFmtId="0" fontId="59" fillId="0" borderId="39" xfId="0" applyFont="1" applyBorder="1" applyAlignment="1" applyProtection="1">
      <alignment horizontal="center" vertical="center"/>
      <protection locked="0"/>
    </xf>
    <xf numFmtId="9" fontId="3" fillId="0" borderId="39" xfId="63" applyFont="1" applyFill="1" applyBorder="1" applyAlignment="1" applyProtection="1">
      <alignment horizontal="center" vertical="center" wrapText="1"/>
      <protection locked="0"/>
    </xf>
    <xf numFmtId="9" fontId="3" fillId="0" borderId="25" xfId="63" applyFont="1" applyFill="1" applyBorder="1" applyAlignment="1" applyProtection="1">
      <alignment horizontal="center" vertical="center" wrapText="1"/>
      <protection locked="0"/>
    </xf>
    <xf numFmtId="9" fontId="3" fillId="0" borderId="45" xfId="63" applyFont="1" applyFill="1" applyBorder="1" applyAlignment="1" applyProtection="1">
      <alignment horizontal="center" vertical="center" wrapText="1"/>
      <protection locked="0"/>
    </xf>
    <xf numFmtId="0" fontId="59" fillId="36" borderId="25" xfId="0" applyFont="1" applyFill="1" applyBorder="1" applyAlignment="1" applyProtection="1">
      <alignment horizontal="center" vertical="center" wrapText="1"/>
      <protection locked="0"/>
    </xf>
    <xf numFmtId="9" fontId="66" fillId="0" borderId="0" xfId="63" applyFont="1" applyFill="1" applyBorder="1" applyAlignment="1" applyProtection="1">
      <alignment horizontal="center" wrapText="1"/>
      <protection locked="0"/>
    </xf>
    <xf numFmtId="9" fontId="12" fillId="0" borderId="0" xfId="63" applyFont="1" applyFill="1" applyBorder="1" applyAlignment="1" applyProtection="1">
      <alignment horizontal="center" wrapText="1"/>
      <protection locked="0"/>
    </xf>
    <xf numFmtId="0" fontId="58" fillId="0" borderId="0" xfId="0" applyFont="1" applyBorder="1" applyAlignment="1" applyProtection="1">
      <alignment vertical="center"/>
      <protection locked="0"/>
    </xf>
    <xf numFmtId="0" fontId="58" fillId="0" borderId="25" xfId="0" applyFont="1" applyBorder="1" applyAlignment="1" applyProtection="1">
      <alignment horizontal="center"/>
      <protection locked="0"/>
    </xf>
    <xf numFmtId="0" fontId="58" fillId="36" borderId="31" xfId="0" applyFont="1" applyFill="1" applyBorder="1" applyAlignment="1" applyProtection="1">
      <alignment horizontal="center"/>
      <protection locked="0"/>
    </xf>
    <xf numFmtId="169" fontId="58" fillId="36" borderId="42" xfId="63" applyNumberFormat="1" applyFont="1" applyFill="1" applyBorder="1" applyAlignment="1" applyProtection="1">
      <alignment/>
      <protection locked="0"/>
    </xf>
    <xf numFmtId="164" fontId="58" fillId="36" borderId="44" xfId="0" applyNumberFormat="1" applyFont="1" applyFill="1" applyBorder="1" applyAlignment="1" applyProtection="1">
      <alignment/>
      <protection locked="0"/>
    </xf>
    <xf numFmtId="9" fontId="38" fillId="0" borderId="0" xfId="63" applyFont="1" applyAlignment="1" applyProtection="1">
      <alignment horizontal="center"/>
      <protection locked="0"/>
    </xf>
    <xf numFmtId="0" fontId="0" fillId="0" borderId="0" xfId="0" applyAlignment="1" applyProtection="1">
      <alignment horizontal="center"/>
      <protection locked="0"/>
    </xf>
    <xf numFmtId="0" fontId="58" fillId="0" borderId="0" xfId="0" applyFont="1" applyBorder="1" applyAlignment="1" applyProtection="1">
      <alignment horizontal="left"/>
      <protection locked="0"/>
    </xf>
    <xf numFmtId="0" fontId="57" fillId="0" borderId="0" xfId="0" applyFont="1" applyAlignment="1" applyProtection="1">
      <alignment/>
      <protection locked="0"/>
    </xf>
    <xf numFmtId="0" fontId="0" fillId="0" borderId="46" xfId="0" applyBorder="1" applyAlignment="1" applyProtection="1">
      <alignment/>
      <protection/>
    </xf>
    <xf numFmtId="0" fontId="8" fillId="0" borderId="0" xfId="0" applyFont="1" applyFill="1" applyBorder="1" applyAlignment="1" applyProtection="1">
      <alignment/>
      <protection locked="0"/>
    </xf>
    <xf numFmtId="0" fontId="8" fillId="0" borderId="0" xfId="0" applyFont="1" applyFill="1" applyBorder="1" applyAlignment="1" applyProtection="1">
      <alignment vertical="top"/>
      <protection locked="0"/>
    </xf>
    <xf numFmtId="0" fontId="65" fillId="0" borderId="11" xfId="0" applyFont="1" applyFill="1" applyBorder="1" applyAlignment="1" applyProtection="1">
      <alignment/>
      <protection locked="0"/>
    </xf>
    <xf numFmtId="164" fontId="12" fillId="36" borderId="25" xfId="0" applyNumberFormat="1" applyFont="1" applyFill="1" applyBorder="1" applyAlignment="1" applyProtection="1">
      <alignment horizontal="right" wrapText="1"/>
      <protection locked="0"/>
    </xf>
    <xf numFmtId="164" fontId="12" fillId="36" borderId="40" xfId="0" applyNumberFormat="1" applyFont="1" applyFill="1" applyBorder="1" applyAlignment="1" applyProtection="1">
      <alignment horizontal="right" wrapText="1"/>
      <protection locked="0"/>
    </xf>
    <xf numFmtId="164" fontId="12" fillId="36" borderId="44" xfId="0" applyNumberFormat="1" applyFont="1" applyFill="1" applyBorder="1" applyAlignment="1" applyProtection="1">
      <alignment horizontal="right" wrapText="1"/>
      <protection locked="0"/>
    </xf>
    <xf numFmtId="164" fontId="12" fillId="36" borderId="26" xfId="0" applyNumberFormat="1" applyFont="1" applyFill="1" applyBorder="1" applyAlignment="1" applyProtection="1">
      <alignment horizontal="right" wrapText="1"/>
      <protection locked="0"/>
    </xf>
    <xf numFmtId="164" fontId="12" fillId="36" borderId="25" xfId="0" applyNumberFormat="1" applyFont="1" applyFill="1" applyBorder="1" applyAlignment="1" applyProtection="1">
      <alignment/>
      <protection locked="0"/>
    </xf>
    <xf numFmtId="164" fontId="12" fillId="36" borderId="26" xfId="0" applyNumberFormat="1" applyFont="1" applyFill="1" applyBorder="1" applyAlignment="1" applyProtection="1">
      <alignment/>
      <protection locked="0"/>
    </xf>
    <xf numFmtId="164" fontId="12" fillId="36" borderId="25" xfId="0" applyNumberFormat="1" applyFont="1" applyFill="1" applyBorder="1" applyAlignment="1" applyProtection="1">
      <alignment horizontal="right"/>
      <protection locked="0"/>
    </xf>
    <xf numFmtId="0" fontId="58" fillId="0" borderId="31" xfId="0" applyFont="1" applyBorder="1" applyAlignment="1" applyProtection="1">
      <alignment horizontal="center"/>
      <protection locked="0"/>
    </xf>
    <xf numFmtId="0" fontId="59" fillId="0" borderId="25" xfId="0" applyFont="1" applyFill="1" applyBorder="1" applyAlignment="1" applyProtection="1">
      <alignment/>
      <protection locked="0"/>
    </xf>
    <xf numFmtId="0" fontId="3" fillId="36" borderId="26" xfId="0" applyFont="1" applyFill="1" applyBorder="1" applyAlignment="1" applyProtection="1">
      <alignment/>
      <protection locked="0"/>
    </xf>
    <xf numFmtId="0" fontId="58" fillId="0" borderId="25" xfId="0" applyFont="1" applyFill="1" applyBorder="1" applyAlignment="1" applyProtection="1">
      <alignment horizontal="center" vertical="center"/>
      <protection locked="0"/>
    </xf>
    <xf numFmtId="0" fontId="3" fillId="0" borderId="25" xfId="0" applyFont="1" applyFill="1" applyBorder="1" applyAlignment="1" applyProtection="1">
      <alignment horizontal="center" vertical="center"/>
      <protection locked="0"/>
    </xf>
    <xf numFmtId="0" fontId="3" fillId="0" borderId="39" xfId="0" applyFont="1" applyFill="1" applyBorder="1" applyAlignment="1" applyProtection="1">
      <alignment horizontal="center" vertical="center"/>
      <protection locked="0"/>
    </xf>
    <xf numFmtId="0" fontId="3" fillId="0" borderId="25" xfId="0" applyFont="1" applyFill="1" applyBorder="1" applyAlignment="1" applyProtection="1">
      <alignment horizontal="center" vertical="center" wrapText="1"/>
      <protection locked="0"/>
    </xf>
    <xf numFmtId="9" fontId="3" fillId="0" borderId="41" xfId="63" applyFont="1" applyFill="1" applyBorder="1" applyAlignment="1" applyProtection="1">
      <alignment horizontal="center" vertical="center" wrapText="1"/>
      <protection locked="0"/>
    </xf>
    <xf numFmtId="0" fontId="58" fillId="36" borderId="31" xfId="0" applyNumberFormat="1" applyFont="1" applyFill="1" applyBorder="1" applyAlignment="1" applyProtection="1">
      <alignment horizontal="center"/>
      <protection locked="0"/>
    </xf>
    <xf numFmtId="164" fontId="58" fillId="36" borderId="26" xfId="0" applyNumberFormat="1" applyFont="1" applyFill="1" applyBorder="1" applyAlignment="1" applyProtection="1">
      <alignment/>
      <protection locked="0"/>
    </xf>
    <xf numFmtId="0" fontId="58" fillId="36" borderId="25" xfId="0" applyNumberFormat="1" applyFont="1" applyFill="1" applyBorder="1" applyAlignment="1" applyProtection="1">
      <alignment horizontal="center"/>
      <protection locked="0"/>
    </xf>
    <xf numFmtId="0" fontId="58" fillId="36" borderId="40" xfId="0" applyFont="1" applyFill="1" applyBorder="1" applyAlignment="1" applyProtection="1">
      <alignment wrapText="1"/>
      <protection locked="0"/>
    </xf>
    <xf numFmtId="14" fontId="58" fillId="36" borderId="40" xfId="0" applyNumberFormat="1" applyFont="1" applyFill="1" applyBorder="1" applyAlignment="1" applyProtection="1">
      <alignment/>
      <protection locked="0"/>
    </xf>
    <xf numFmtId="164" fontId="58" fillId="36" borderId="40" xfId="0" applyNumberFormat="1" applyFont="1" applyFill="1" applyBorder="1" applyAlignment="1" applyProtection="1">
      <alignment/>
      <protection locked="0"/>
    </xf>
    <xf numFmtId="0" fontId="58" fillId="36" borderId="25" xfId="0" applyFont="1" applyFill="1" applyBorder="1" applyAlignment="1" applyProtection="1">
      <alignment wrapText="1"/>
      <protection locked="0"/>
    </xf>
    <xf numFmtId="14" fontId="58" fillId="36" borderId="25" xfId="0" applyNumberFormat="1" applyFont="1" applyFill="1" applyBorder="1" applyAlignment="1" applyProtection="1">
      <alignment/>
      <protection locked="0"/>
    </xf>
    <xf numFmtId="0" fontId="59" fillId="0" borderId="25" xfId="0" applyFont="1" applyFill="1" applyBorder="1" applyAlignment="1" applyProtection="1">
      <alignment horizontal="center"/>
      <protection locked="0"/>
    </xf>
    <xf numFmtId="0" fontId="59" fillId="36" borderId="25" xfId="0" applyNumberFormat="1" applyFont="1" applyFill="1" applyBorder="1" applyAlignment="1" applyProtection="1">
      <alignment horizontal="center"/>
      <protection locked="0"/>
    </xf>
    <xf numFmtId="0" fontId="59" fillId="36" borderId="39" xfId="0" applyFont="1" applyFill="1" applyBorder="1" applyAlignment="1" applyProtection="1">
      <alignment wrapText="1"/>
      <protection locked="0"/>
    </xf>
    <xf numFmtId="14" fontId="59" fillId="36" borderId="39" xfId="0" applyNumberFormat="1" applyFont="1" applyFill="1" applyBorder="1" applyAlignment="1" applyProtection="1">
      <alignment/>
      <protection locked="0"/>
    </xf>
    <xf numFmtId="164" fontId="59" fillId="36" borderId="39" xfId="0" applyNumberFormat="1" applyFont="1" applyFill="1" applyBorder="1" applyAlignment="1" applyProtection="1">
      <alignment/>
      <protection locked="0"/>
    </xf>
    <xf numFmtId="164" fontId="59" fillId="36" borderId="28" xfId="0" applyNumberFormat="1" applyFont="1" applyFill="1" applyBorder="1" applyAlignment="1" applyProtection="1">
      <alignment/>
      <protection locked="0"/>
    </xf>
    <xf numFmtId="164" fontId="59" fillId="36" borderId="37" xfId="0" applyNumberFormat="1" applyFont="1" applyFill="1" applyBorder="1" applyAlignment="1" applyProtection="1">
      <alignment/>
      <protection locked="0"/>
    </xf>
    <xf numFmtId="164" fontId="59" fillId="36" borderId="46" xfId="0" applyNumberFormat="1" applyFont="1" applyFill="1" applyBorder="1" applyAlignment="1" applyProtection="1">
      <alignment/>
      <protection locked="0"/>
    </xf>
    <xf numFmtId="0" fontId="59" fillId="36" borderId="25" xfId="0" applyFont="1" applyFill="1" applyBorder="1" applyAlignment="1" applyProtection="1">
      <alignment wrapText="1"/>
      <protection locked="0"/>
    </xf>
    <xf numFmtId="14" fontId="59" fillId="36" borderId="25" xfId="0" applyNumberFormat="1" applyFont="1" applyFill="1" applyBorder="1" applyAlignment="1" applyProtection="1">
      <alignment/>
      <protection locked="0"/>
    </xf>
    <xf numFmtId="164" fontId="59" fillId="36" borderId="44" xfId="0" applyNumberFormat="1" applyFont="1" applyFill="1" applyBorder="1" applyAlignment="1" applyProtection="1">
      <alignment/>
      <protection locked="0"/>
    </xf>
    <xf numFmtId="164" fontId="59" fillId="36" borderId="40" xfId="0" applyNumberFormat="1" applyFont="1" applyFill="1" applyBorder="1" applyAlignment="1" applyProtection="1">
      <alignment/>
      <protection locked="0"/>
    </xf>
    <xf numFmtId="164" fontId="59" fillId="36" borderId="47" xfId="0" applyNumberFormat="1" applyFont="1" applyFill="1" applyBorder="1" applyAlignment="1" applyProtection="1">
      <alignment/>
      <protection locked="0"/>
    </xf>
    <xf numFmtId="0" fontId="58" fillId="0" borderId="0" xfId="0" applyFont="1" applyFill="1" applyBorder="1" applyAlignment="1" applyProtection="1">
      <alignment/>
      <protection locked="0"/>
    </xf>
    <xf numFmtId="14" fontId="12" fillId="36" borderId="25" xfId="0" applyNumberFormat="1" applyFont="1" applyFill="1" applyBorder="1" applyAlignment="1" applyProtection="1">
      <alignment horizontal="center"/>
      <protection locked="0"/>
    </xf>
    <xf numFmtId="0" fontId="59" fillId="36" borderId="25" xfId="0" applyFont="1" applyFill="1" applyBorder="1" applyAlignment="1" applyProtection="1">
      <alignment/>
      <protection locked="0"/>
    </xf>
    <xf numFmtId="164" fontId="58" fillId="36" borderId="44" xfId="0" applyNumberFormat="1" applyFont="1" applyFill="1" applyBorder="1" applyAlignment="1" applyProtection="1">
      <alignment/>
      <protection locked="0"/>
    </xf>
    <xf numFmtId="0" fontId="58" fillId="0" borderId="26" xfId="0" applyFont="1" applyBorder="1" applyAlignment="1" applyProtection="1">
      <alignment horizontal="center"/>
      <protection locked="0"/>
    </xf>
    <xf numFmtId="0" fontId="59" fillId="0" borderId="31" xfId="0" applyFont="1" applyBorder="1" applyAlignment="1" applyProtection="1">
      <alignment/>
      <protection locked="0"/>
    </xf>
    <xf numFmtId="0" fontId="59" fillId="0" borderId="31" xfId="0" applyFont="1" applyBorder="1" applyAlignment="1" applyProtection="1">
      <alignment horizontal="center"/>
      <protection locked="0"/>
    </xf>
    <xf numFmtId="0" fontId="3" fillId="0" borderId="45" xfId="63" applyNumberFormat="1" applyFont="1" applyFill="1" applyBorder="1" applyAlignment="1" applyProtection="1">
      <alignment horizontal="center" vertical="center" wrapText="1"/>
      <protection locked="0"/>
    </xf>
    <xf numFmtId="0" fontId="58" fillId="0" borderId="25" xfId="0" applyNumberFormat="1" applyFont="1" applyBorder="1" applyAlignment="1" applyProtection="1">
      <alignment horizontal="center"/>
      <protection locked="0"/>
    </xf>
    <xf numFmtId="0" fontId="58" fillId="0" borderId="25" xfId="0" applyFont="1" applyFill="1" applyBorder="1" applyAlignment="1" applyProtection="1">
      <alignment/>
      <protection locked="0"/>
    </xf>
    <xf numFmtId="0" fontId="58" fillId="0" borderId="0" xfId="0" applyFont="1" applyAlignment="1" applyProtection="1">
      <alignment/>
      <protection locked="0"/>
    </xf>
    <xf numFmtId="0" fontId="58" fillId="0" borderId="25" xfId="0" applyFont="1" applyBorder="1" applyAlignment="1" applyProtection="1">
      <alignment/>
      <protection locked="0"/>
    </xf>
    <xf numFmtId="0" fontId="12" fillId="36" borderId="25" xfId="0" applyFont="1" applyFill="1" applyBorder="1" applyAlignment="1" applyProtection="1">
      <alignment horizontal="left"/>
      <protection locked="0"/>
    </xf>
    <xf numFmtId="0" fontId="65" fillId="0" borderId="11" xfId="0" applyFont="1" applyBorder="1" applyAlignment="1" applyProtection="1">
      <alignment horizontal="left"/>
      <protection locked="0"/>
    </xf>
    <xf numFmtId="0" fontId="59" fillId="0" borderId="25" xfId="0" applyFont="1" applyBorder="1" applyAlignment="1" applyProtection="1">
      <alignment/>
      <protection locked="0"/>
    </xf>
    <xf numFmtId="164" fontId="58" fillId="36" borderId="48" xfId="0" applyNumberFormat="1" applyFont="1" applyFill="1" applyBorder="1" applyAlignment="1" applyProtection="1">
      <alignment/>
      <protection locked="0"/>
    </xf>
    <xf numFmtId="0" fontId="58" fillId="0" borderId="26" xfId="0" applyFont="1" applyBorder="1" applyAlignment="1" applyProtection="1">
      <alignment horizontal="center"/>
      <protection locked="0"/>
    </xf>
    <xf numFmtId="0" fontId="58" fillId="0" borderId="31" xfId="0" applyFont="1" applyBorder="1" applyAlignment="1" applyProtection="1">
      <alignment horizontal="center"/>
      <protection locked="0"/>
    </xf>
    <xf numFmtId="0" fontId="59" fillId="0" borderId="25" xfId="0" applyFont="1" applyBorder="1" applyAlignment="1" applyProtection="1">
      <alignment horizontal="center" vertical="center" wrapText="1"/>
      <protection locked="0"/>
    </xf>
    <xf numFmtId="0" fontId="12" fillId="0" borderId="25" xfId="0" applyFont="1" applyFill="1" applyBorder="1" applyAlignment="1" applyProtection="1">
      <alignment/>
      <protection locked="0"/>
    </xf>
    <xf numFmtId="0" fontId="12" fillId="0" borderId="0" xfId="0" applyFont="1" applyFill="1" applyBorder="1" applyAlignment="1" applyProtection="1">
      <alignment horizontal="left"/>
      <protection locked="0"/>
    </xf>
    <xf numFmtId="164" fontId="12" fillId="0" borderId="0" xfId="0" applyNumberFormat="1" applyFont="1" applyFill="1" applyBorder="1" applyAlignment="1" applyProtection="1">
      <alignment/>
      <protection locked="0"/>
    </xf>
    <xf numFmtId="0" fontId="12" fillId="0" borderId="39" xfId="0" applyFont="1" applyFill="1" applyBorder="1" applyAlignment="1" applyProtection="1">
      <alignment horizontal="center"/>
      <protection locked="0"/>
    </xf>
    <xf numFmtId="0" fontId="58" fillId="0" borderId="39" xfId="0" applyFont="1" applyBorder="1" applyAlignment="1" applyProtection="1">
      <alignment horizontal="center"/>
      <protection locked="0"/>
    </xf>
    <xf numFmtId="165" fontId="58" fillId="0" borderId="31" xfId="0" applyNumberFormat="1" applyFont="1" applyFill="1" applyBorder="1" applyAlignment="1" applyProtection="1">
      <alignment horizontal="center"/>
      <protection locked="0"/>
    </xf>
    <xf numFmtId="165" fontId="58" fillId="0" borderId="39" xfId="0" applyNumberFormat="1" applyFont="1" applyFill="1" applyBorder="1" applyAlignment="1" applyProtection="1">
      <alignment horizontal="center"/>
      <protection locked="0"/>
    </xf>
    <xf numFmtId="165" fontId="58" fillId="0" borderId="31" xfId="0" applyNumberFormat="1" applyFont="1" applyFill="1" applyBorder="1" applyAlignment="1" applyProtection="1">
      <alignment horizontal="center"/>
      <protection locked="0"/>
    </xf>
    <xf numFmtId="0" fontId="8" fillId="0" borderId="0" xfId="0" applyFont="1" applyFill="1" applyBorder="1" applyAlignment="1" applyProtection="1">
      <alignment horizontal="left" vertical="center"/>
      <protection locked="0"/>
    </xf>
    <xf numFmtId="0" fontId="8" fillId="0" borderId="11" xfId="0" applyFont="1" applyFill="1" applyBorder="1" applyAlignment="1" applyProtection="1">
      <alignment/>
      <protection locked="0"/>
    </xf>
    <xf numFmtId="0" fontId="67" fillId="0" borderId="0" xfId="53" applyFont="1" applyBorder="1" applyAlignment="1" applyProtection="1">
      <alignment/>
      <protection locked="0"/>
    </xf>
    <xf numFmtId="0" fontId="58" fillId="0" borderId="25" xfId="0" applyFont="1" applyBorder="1" applyAlignment="1" applyProtection="1">
      <alignment horizontal="center"/>
      <protection locked="0"/>
    </xf>
    <xf numFmtId="0" fontId="58" fillId="0" borderId="31" xfId="0" applyFont="1" applyBorder="1" applyAlignment="1" applyProtection="1">
      <alignment horizontal="center"/>
      <protection locked="0"/>
    </xf>
    <xf numFmtId="0" fontId="58" fillId="0" borderId="0" xfId="0" applyFont="1" applyAlignment="1" applyProtection="1">
      <alignment/>
      <protection locked="0"/>
    </xf>
    <xf numFmtId="0" fontId="58" fillId="0" borderId="0" xfId="0" applyFont="1" applyAlignment="1" applyProtection="1">
      <alignment/>
      <protection locked="0"/>
    </xf>
    <xf numFmtId="0" fontId="58" fillId="0" borderId="0" xfId="0" applyFont="1" applyAlignment="1" applyProtection="1">
      <alignment/>
      <protection locked="0"/>
    </xf>
    <xf numFmtId="0" fontId="58" fillId="0" borderId="39" xfId="0" applyFont="1" applyBorder="1" applyAlignment="1" applyProtection="1">
      <alignment vertical="center" wrapText="1"/>
      <protection locked="0"/>
    </xf>
    <xf numFmtId="0" fontId="58" fillId="0" borderId="37" xfId="0" applyFont="1" applyBorder="1" applyAlignment="1" applyProtection="1">
      <alignment vertical="center" wrapText="1"/>
      <protection locked="0"/>
    </xf>
    <xf numFmtId="0" fontId="58" fillId="0" borderId="40" xfId="0" applyFont="1" applyBorder="1" applyAlignment="1" applyProtection="1">
      <alignment vertical="center" wrapText="1"/>
      <protection locked="0"/>
    </xf>
    <xf numFmtId="0" fontId="58" fillId="0" borderId="25" xfId="0" applyFont="1" applyBorder="1" applyAlignment="1" applyProtection="1">
      <alignment vertical="center" wrapText="1"/>
      <protection locked="0"/>
    </xf>
    <xf numFmtId="0" fontId="58" fillId="0" borderId="25" xfId="0" applyFont="1" applyBorder="1" applyAlignment="1" applyProtection="1">
      <alignment vertical="center" wrapText="1"/>
      <protection locked="0"/>
    </xf>
    <xf numFmtId="0" fontId="58" fillId="0" borderId="25" xfId="0" applyFont="1" applyBorder="1" applyAlignment="1" applyProtection="1">
      <alignment vertical="center" wrapText="1"/>
      <protection locked="0"/>
    </xf>
    <xf numFmtId="0" fontId="58" fillId="0" borderId="25" xfId="0" applyFont="1" applyBorder="1" applyAlignment="1" applyProtection="1">
      <alignment horizontal="left" vertical="center" wrapText="1"/>
      <protection locked="0"/>
    </xf>
    <xf numFmtId="0" fontId="58" fillId="0" borderId="25" xfId="0" applyFont="1" applyBorder="1" applyAlignment="1" applyProtection="1">
      <alignment horizontal="left" vertical="center" wrapText="1"/>
      <protection locked="0"/>
    </xf>
    <xf numFmtId="0" fontId="3" fillId="36" borderId="31" xfId="0" applyFont="1" applyFill="1" applyBorder="1" applyAlignment="1" applyProtection="1">
      <alignment horizontal="left" vertical="center" wrapText="1"/>
      <protection locked="0"/>
    </xf>
    <xf numFmtId="0" fontId="3" fillId="36" borderId="42" xfId="0" applyFont="1" applyFill="1" applyBorder="1" applyAlignment="1" applyProtection="1">
      <alignment horizontal="left" vertical="center" wrapText="1"/>
      <protection locked="0"/>
    </xf>
    <xf numFmtId="0" fontId="3" fillId="36" borderId="26" xfId="0" applyFont="1" applyFill="1" applyBorder="1" applyAlignment="1" applyProtection="1">
      <alignment horizontal="left" vertical="center" wrapText="1"/>
      <protection locked="0"/>
    </xf>
    <xf numFmtId="0" fontId="59" fillId="0" borderId="31" xfId="0" applyFont="1" applyFill="1" applyBorder="1" applyAlignment="1" applyProtection="1">
      <alignment horizontal="center"/>
      <protection locked="0"/>
    </xf>
    <xf numFmtId="0" fontId="59" fillId="0" borderId="42" xfId="0" applyFont="1" applyFill="1" applyBorder="1" applyAlignment="1" applyProtection="1">
      <alignment horizontal="center"/>
      <protection locked="0"/>
    </xf>
    <xf numFmtId="0" fontId="59" fillId="0" borderId="26" xfId="0" applyFont="1" applyFill="1" applyBorder="1" applyAlignment="1" applyProtection="1">
      <alignment horizontal="center"/>
      <protection locked="0"/>
    </xf>
    <xf numFmtId="0" fontId="3" fillId="0" borderId="42" xfId="0" applyFont="1" applyFill="1" applyBorder="1" applyAlignment="1" applyProtection="1">
      <alignment horizontal="center"/>
      <protection locked="0"/>
    </xf>
    <xf numFmtId="0" fontId="3" fillId="36" borderId="25" xfId="0" applyFont="1" applyFill="1" applyBorder="1" applyAlignment="1" applyProtection="1">
      <alignment horizontal="left" vertical="center" wrapText="1"/>
      <protection locked="0"/>
    </xf>
    <xf numFmtId="0" fontId="3" fillId="0" borderId="31" xfId="0" applyFont="1" applyFill="1" applyBorder="1" applyAlignment="1" applyProtection="1">
      <alignment horizontal="center"/>
      <protection locked="0"/>
    </xf>
    <xf numFmtId="0" fontId="3" fillId="0" borderId="26" xfId="0" applyFont="1" applyFill="1" applyBorder="1" applyAlignment="1" applyProtection="1">
      <alignment horizontal="center"/>
      <protection locked="0"/>
    </xf>
    <xf numFmtId="0" fontId="3" fillId="0" borderId="31" xfId="0" applyFont="1" applyFill="1" applyBorder="1" applyAlignment="1" applyProtection="1">
      <alignment horizontal="left"/>
      <protection locked="0"/>
    </xf>
    <xf numFmtId="0" fontId="3" fillId="0" borderId="42" xfId="0" applyFont="1" applyFill="1" applyBorder="1" applyAlignment="1" applyProtection="1">
      <alignment horizontal="left"/>
      <protection locked="0"/>
    </xf>
    <xf numFmtId="0" fontId="3" fillId="0" borderId="26" xfId="0" applyFont="1" applyFill="1" applyBorder="1" applyAlignment="1" applyProtection="1">
      <alignment horizontal="left"/>
      <protection locked="0"/>
    </xf>
    <xf numFmtId="0" fontId="3" fillId="0" borderId="25" xfId="0" applyFont="1" applyFill="1" applyBorder="1" applyAlignment="1" applyProtection="1">
      <alignment horizontal="left" wrapText="1"/>
      <protection locked="0"/>
    </xf>
    <xf numFmtId="0" fontId="3" fillId="0" borderId="25" xfId="0" applyFont="1" applyFill="1" applyBorder="1" applyAlignment="1" applyProtection="1">
      <alignment horizontal="left"/>
      <protection locked="0"/>
    </xf>
    <xf numFmtId="0" fontId="0" fillId="0" borderId="0" xfId="0" applyAlignment="1" applyProtection="1">
      <alignment/>
      <protection/>
    </xf>
    <xf numFmtId="0" fontId="3" fillId="0" borderId="25" xfId="0" applyFont="1" applyFill="1" applyBorder="1" applyAlignment="1" applyProtection="1">
      <alignment horizontal="center"/>
      <protection locked="0"/>
    </xf>
    <xf numFmtId="0" fontId="3" fillId="0" borderId="31" xfId="0" applyFont="1" applyFill="1" applyBorder="1" applyAlignment="1" applyProtection="1">
      <alignment horizontal="center"/>
      <protection/>
    </xf>
    <xf numFmtId="0" fontId="3" fillId="0" borderId="42" xfId="0" applyFont="1" applyFill="1" applyBorder="1" applyAlignment="1" applyProtection="1">
      <alignment horizontal="center"/>
      <protection/>
    </xf>
    <xf numFmtId="0" fontId="3" fillId="0" borderId="26" xfId="0" applyFont="1" applyFill="1" applyBorder="1" applyAlignment="1" applyProtection="1">
      <alignment horizontal="center"/>
      <protection/>
    </xf>
    <xf numFmtId="0" fontId="3" fillId="0" borderId="31" xfId="0" applyFont="1" applyFill="1" applyBorder="1" applyAlignment="1" applyProtection="1">
      <alignment horizontal="center" vertical="center" wrapText="1"/>
      <protection locked="0"/>
    </xf>
    <xf numFmtId="0" fontId="3" fillId="0" borderId="42" xfId="0" applyFont="1" applyFill="1" applyBorder="1" applyAlignment="1" applyProtection="1">
      <alignment horizontal="center" vertical="center" wrapText="1"/>
      <protection locked="0"/>
    </xf>
    <xf numFmtId="0" fontId="3" fillId="0" borderId="26" xfId="0" applyFont="1" applyFill="1" applyBorder="1" applyAlignment="1" applyProtection="1">
      <alignment horizontal="center" vertical="center" wrapText="1"/>
      <protection locked="0"/>
    </xf>
    <xf numFmtId="0" fontId="58" fillId="0" borderId="0" xfId="0" applyFont="1" applyBorder="1" applyAlignment="1" applyProtection="1">
      <alignment horizontal="center"/>
      <protection/>
    </xf>
    <xf numFmtId="0" fontId="3" fillId="0" borderId="25" xfId="0" applyFont="1" applyFill="1" applyBorder="1" applyAlignment="1" applyProtection="1">
      <alignment/>
      <protection locked="0"/>
    </xf>
    <xf numFmtId="0" fontId="3" fillId="0" borderId="31" xfId="0" applyFont="1" applyFill="1" applyBorder="1" applyAlignment="1" applyProtection="1">
      <alignment/>
      <protection locked="0"/>
    </xf>
    <xf numFmtId="0" fontId="3" fillId="0" borderId="25" xfId="0" applyFont="1" applyFill="1" applyBorder="1" applyAlignment="1" applyProtection="1">
      <alignment horizontal="center" wrapText="1"/>
      <protection locked="0"/>
    </xf>
    <xf numFmtId="0" fontId="3" fillId="0" borderId="39" xfId="0" applyFont="1" applyFill="1" applyBorder="1" applyAlignment="1" applyProtection="1">
      <alignment horizontal="center" wrapText="1"/>
      <protection locked="0"/>
    </xf>
    <xf numFmtId="0" fontId="59" fillId="0" borderId="25" xfId="0" applyFont="1" applyBorder="1" applyAlignment="1" applyProtection="1">
      <alignment horizontal="center" wrapText="1"/>
      <protection locked="0"/>
    </xf>
    <xf numFmtId="0" fontId="3" fillId="36" borderId="25" xfId="0" applyFont="1" applyFill="1" applyBorder="1" applyAlignment="1" applyProtection="1">
      <alignment horizontal="left" wrapText="1"/>
      <protection locked="0"/>
    </xf>
    <xf numFmtId="0" fontId="59" fillId="0" borderId="25" xfId="0" applyFont="1" applyFill="1" applyBorder="1" applyAlignment="1" applyProtection="1">
      <alignment horizontal="center"/>
      <protection locked="0"/>
    </xf>
    <xf numFmtId="0" fontId="60" fillId="0" borderId="0" xfId="53" applyFont="1" applyBorder="1" applyAlignment="1" applyProtection="1">
      <alignment horizontal="left"/>
      <protection/>
    </xf>
    <xf numFmtId="0" fontId="3" fillId="0" borderId="25" xfId="0" applyFont="1" applyFill="1" applyBorder="1" applyAlignment="1" applyProtection="1">
      <alignment horizontal="right"/>
      <protection locked="0"/>
    </xf>
    <xf numFmtId="0" fontId="58" fillId="0" borderId="0" xfId="0" applyFont="1" applyFill="1" applyBorder="1" applyAlignment="1" applyProtection="1">
      <alignment horizontal="center"/>
      <protection/>
    </xf>
    <xf numFmtId="14" fontId="3" fillId="0" borderId="31" xfId="0" applyNumberFormat="1" applyFont="1" applyFill="1" applyBorder="1" applyAlignment="1" applyProtection="1">
      <alignment horizontal="center"/>
      <protection locked="0"/>
    </xf>
    <xf numFmtId="14" fontId="3" fillId="0" borderId="42" xfId="0" applyNumberFormat="1" applyFont="1" applyFill="1" applyBorder="1" applyAlignment="1" applyProtection="1">
      <alignment horizontal="center"/>
      <protection locked="0"/>
    </xf>
    <xf numFmtId="14" fontId="3" fillId="0" borderId="26" xfId="0" applyNumberFormat="1" applyFont="1" applyFill="1" applyBorder="1" applyAlignment="1" applyProtection="1">
      <alignment horizontal="center"/>
      <protection locked="0"/>
    </xf>
    <xf numFmtId="0" fontId="59" fillId="0" borderId="25" xfId="0" applyFont="1" applyBorder="1" applyAlignment="1" applyProtection="1">
      <alignment horizontal="center"/>
      <protection locked="0"/>
    </xf>
    <xf numFmtId="0" fontId="3" fillId="36" borderId="25" xfId="0" applyFont="1" applyFill="1" applyBorder="1" applyAlignment="1" applyProtection="1">
      <alignment horizontal="left"/>
      <protection locked="0"/>
    </xf>
    <xf numFmtId="0" fontId="59" fillId="34" borderId="49" xfId="0" applyFont="1" applyFill="1" applyBorder="1" applyAlignment="1">
      <alignment horizontal="center"/>
    </xf>
    <xf numFmtId="0" fontId="59" fillId="34" borderId="14" xfId="0" applyFont="1" applyFill="1" applyBorder="1" applyAlignment="1">
      <alignment horizontal="center"/>
    </xf>
    <xf numFmtId="0" fontId="10" fillId="0" borderId="22" xfId="58" applyFont="1" applyBorder="1" applyAlignment="1">
      <alignment horizontal="center"/>
      <protection/>
    </xf>
    <xf numFmtId="0" fontId="3" fillId="0" borderId="0" xfId="58" applyFont="1" applyBorder="1" applyAlignment="1">
      <alignment horizontal="center"/>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6" xfId="60"/>
    <cellStyle name="Note" xfId="61"/>
    <cellStyle name="Output" xfId="62"/>
    <cellStyle name="Percent" xfId="63"/>
    <cellStyle name="Title" xfId="64"/>
    <cellStyle name="Total" xfId="65"/>
    <cellStyle name="Warning Tex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200025</xdr:colOff>
      <xdr:row>11</xdr:row>
      <xdr:rowOff>228600</xdr:rowOff>
    </xdr:from>
    <xdr:to>
      <xdr:col>12</xdr:col>
      <xdr:colOff>180975</xdr:colOff>
      <xdr:row>18</xdr:row>
      <xdr:rowOff>342900</xdr:rowOff>
    </xdr:to>
    <xdr:pic>
      <xdr:nvPicPr>
        <xdr:cNvPr id="1" name="Diagram 1" descr="Step 1 Information worksheet.&#10;Step 2 Section 1 and 2 is component summary worksheet.   &#10;Step 3 Component and adjustment worksheets. &#10;Step 4 Section 3 through 7 is component summary worksheet. &#10;"/>
        <xdr:cNvPicPr preferRelativeResize="1">
          <a:picLocks noChangeAspect="0"/>
        </xdr:cNvPicPr>
      </xdr:nvPicPr>
      <xdr:blipFill>
        <a:blip r:embed="rId1"/>
        <a:stretch>
          <a:fillRect/>
        </a:stretch>
      </xdr:blipFill>
      <xdr:spPr>
        <a:xfrm>
          <a:off x="9925050" y="3943350"/>
          <a:ext cx="5467350" cy="45529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hsintra\dhcs\NDMC\SOC_Shr\Revenue%20&amp;%20Expenditure%20Reports%20(RER)\Reversion\Reversion%20Calculation%20with%2011-15\Reversion%20Tables.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H:\Reversion%20Tables\x%20Funds%20Subject%20to%20Reversion%20CSS,%20PEI,%20INN,%20WET,%20CFTN.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tes"/>
      <sheetName val="0506 RER"/>
      <sheetName val="0607 RER"/>
      <sheetName val="0708 RER"/>
      <sheetName val="0809 RER"/>
      <sheetName val="0910 RER"/>
      <sheetName val="1011 RER"/>
      <sheetName val="1112 RER"/>
      <sheetName val="1213 RER"/>
      <sheetName val="1314 RER"/>
      <sheetName val="1415 RER"/>
      <sheetName val="1516 RER"/>
      <sheetName val="1617 RER"/>
      <sheetName val="1718 RER"/>
      <sheetName val="1819 RER"/>
      <sheetName val="1920 RER"/>
      <sheetName val="2021 RER"/>
      <sheetName val="Reversion By County (Backup)"/>
      <sheetName val="Reversion By County (0506-0708)"/>
      <sheetName val="Reversion By County"/>
      <sheetName val="Schedule-CSS"/>
      <sheetName val="Schedule-PEI"/>
      <sheetName val="Schedule-INN"/>
      <sheetName val="Schedule-WET"/>
      <sheetName val="Schedule-WET OLD"/>
      <sheetName val="Schedule-CFTN"/>
      <sheetName val="Reversion Statewide 0506-0708"/>
      <sheetName val="Unspent 1516"/>
      <sheetName val="Unspent 1617"/>
      <sheetName val="Reversion Statewide"/>
      <sheetName val="Reversion Statewide Redacted"/>
      <sheetName val="0506 CSS"/>
      <sheetName val="0607 CSS"/>
      <sheetName val="0708 CSS"/>
      <sheetName val="0809 CSS"/>
      <sheetName val="0910 CSS"/>
      <sheetName val="1011 CSS"/>
      <sheetName val="1112 CSS"/>
      <sheetName val="1213 CSS"/>
      <sheetName val="1314 CSS"/>
      <sheetName val="1415 CSS"/>
      <sheetName val="1516 CSS"/>
      <sheetName val="1617 CSS"/>
      <sheetName val="0708 PEI"/>
      <sheetName val="0809 PEI"/>
      <sheetName val="0910 PEI"/>
      <sheetName val="1011 PEI"/>
      <sheetName val="1112 PEI"/>
      <sheetName val="1213 PEI"/>
      <sheetName val="1314 PEI"/>
      <sheetName val="1415 PEI"/>
      <sheetName val="1516 PEI"/>
      <sheetName val="1617 PEI"/>
      <sheetName val="0809 INN"/>
      <sheetName val="0910 INN"/>
      <sheetName val="1011 INN"/>
      <sheetName val="1112 INN"/>
      <sheetName val="1213 INN"/>
      <sheetName val="1314 INN"/>
      <sheetName val="1415 INN"/>
      <sheetName val="1516 INN"/>
      <sheetName val="1617 INN"/>
      <sheetName val="0607-0708 WET"/>
      <sheetName val="0607 WET"/>
      <sheetName val="0708 WET"/>
      <sheetName val="0708 CFTN"/>
      <sheetName val="Reversion Statewide OLD"/>
      <sheetName val="Reversion Amounts-CSS"/>
      <sheetName val="Reversion Amounts-PEI"/>
      <sheetName val="Reversion Amounts-INN"/>
      <sheetName val="Reversion Amounts-WET"/>
      <sheetName val="Reversion Amounts-CFTN"/>
      <sheetName val="Rev &amp; Exp"/>
      <sheetName val="0506 Planning"/>
      <sheetName val="0607 Planning"/>
      <sheetName val="0708 Planning"/>
      <sheetName val="0809 Planning"/>
      <sheetName val="0910 Planning"/>
      <sheetName val="1011 Planning"/>
      <sheetName val="1112 Planning"/>
      <sheetName val="1213 Allocation"/>
      <sheetName val="1314 Allocation"/>
      <sheetName val="1415 Allocation"/>
      <sheetName val="1516 Allocation"/>
      <sheetName val="1617 Allocation"/>
      <sheetName val="1718 Allocation"/>
      <sheetName val="1819 Allocation"/>
    </sheetNames>
    <sheetDataSet>
      <sheetData sheetId="20">
        <row r="6">
          <cell r="I6" t="str">
            <v>Alameda</v>
          </cell>
        </row>
        <row r="7">
          <cell r="I7" t="str">
            <v>Alpine </v>
          </cell>
        </row>
        <row r="8">
          <cell r="I8" t="str">
            <v>Amador</v>
          </cell>
        </row>
        <row r="9">
          <cell r="I9" t="str">
            <v>Berkeley City</v>
          </cell>
        </row>
        <row r="10">
          <cell r="I10" t="str">
            <v>Butte</v>
          </cell>
        </row>
        <row r="11">
          <cell r="I11" t="str">
            <v>Calaveras</v>
          </cell>
        </row>
        <row r="12">
          <cell r="I12" t="str">
            <v>Colusa</v>
          </cell>
        </row>
        <row r="13">
          <cell r="I13" t="str">
            <v>Contra Costa</v>
          </cell>
        </row>
        <row r="14">
          <cell r="I14" t="str">
            <v>Del Norte</v>
          </cell>
        </row>
        <row r="15">
          <cell r="I15" t="str">
            <v>El Dorado</v>
          </cell>
        </row>
        <row r="16">
          <cell r="I16" t="str">
            <v>Fresno</v>
          </cell>
        </row>
        <row r="17">
          <cell r="I17" t="str">
            <v>Glenn</v>
          </cell>
        </row>
        <row r="18">
          <cell r="I18" t="str">
            <v>Humboldt</v>
          </cell>
        </row>
        <row r="19">
          <cell r="I19" t="str">
            <v>Imperial</v>
          </cell>
        </row>
        <row r="20">
          <cell r="I20" t="str">
            <v>Inyo</v>
          </cell>
        </row>
        <row r="21">
          <cell r="I21" t="str">
            <v>Kern</v>
          </cell>
        </row>
        <row r="22">
          <cell r="I22" t="str">
            <v>Kings</v>
          </cell>
        </row>
        <row r="23">
          <cell r="I23" t="str">
            <v>Lake</v>
          </cell>
        </row>
        <row r="24">
          <cell r="I24" t="str">
            <v>Lassen</v>
          </cell>
        </row>
        <row r="25">
          <cell r="I25" t="str">
            <v>Los Angeles</v>
          </cell>
        </row>
        <row r="26">
          <cell r="I26" t="str">
            <v>Madera</v>
          </cell>
        </row>
        <row r="27">
          <cell r="I27" t="str">
            <v>Marin</v>
          </cell>
        </row>
        <row r="28">
          <cell r="I28" t="str">
            <v>Mariposa</v>
          </cell>
        </row>
        <row r="29">
          <cell r="I29" t="str">
            <v>Mendocino</v>
          </cell>
        </row>
        <row r="30">
          <cell r="I30" t="str">
            <v>Merced</v>
          </cell>
        </row>
        <row r="31">
          <cell r="I31" t="str">
            <v>Modoc</v>
          </cell>
        </row>
        <row r="32">
          <cell r="I32" t="str">
            <v>Mono</v>
          </cell>
        </row>
        <row r="33">
          <cell r="I33" t="str">
            <v>Monterey</v>
          </cell>
        </row>
        <row r="34">
          <cell r="I34" t="str">
            <v>Napa</v>
          </cell>
        </row>
        <row r="35">
          <cell r="I35" t="str">
            <v>Nevada</v>
          </cell>
        </row>
        <row r="36">
          <cell r="I36" t="str">
            <v>Orange</v>
          </cell>
        </row>
        <row r="37">
          <cell r="I37" t="str">
            <v>Placer</v>
          </cell>
        </row>
        <row r="38">
          <cell r="I38" t="str">
            <v>Plumas</v>
          </cell>
        </row>
        <row r="39">
          <cell r="I39" t="str">
            <v>Riverside</v>
          </cell>
        </row>
        <row r="40">
          <cell r="I40" t="str">
            <v>Sacramento</v>
          </cell>
        </row>
        <row r="41">
          <cell r="I41" t="str">
            <v>San Benito</v>
          </cell>
        </row>
        <row r="42">
          <cell r="I42" t="str">
            <v>San Bernardino</v>
          </cell>
        </row>
        <row r="43">
          <cell r="I43" t="str">
            <v>San Diego</v>
          </cell>
        </row>
        <row r="44">
          <cell r="I44" t="str">
            <v>San Francisco</v>
          </cell>
        </row>
        <row r="45">
          <cell r="I45" t="str">
            <v>San Joaquin</v>
          </cell>
        </row>
        <row r="46">
          <cell r="I46" t="str">
            <v>San Luis Obispo</v>
          </cell>
        </row>
        <row r="47">
          <cell r="I47" t="str">
            <v>San Mateo</v>
          </cell>
        </row>
        <row r="48">
          <cell r="I48" t="str">
            <v>Santa Barbara</v>
          </cell>
        </row>
        <row r="49">
          <cell r="I49" t="str">
            <v>Santa Clara</v>
          </cell>
        </row>
        <row r="50">
          <cell r="I50" t="str">
            <v>Santa Cruz</v>
          </cell>
        </row>
        <row r="51">
          <cell r="I51" t="str">
            <v>Shasta</v>
          </cell>
        </row>
        <row r="52">
          <cell r="I52" t="str">
            <v>Sierra</v>
          </cell>
        </row>
        <row r="53">
          <cell r="I53" t="str">
            <v>Siskiyou</v>
          </cell>
        </row>
        <row r="54">
          <cell r="I54" t="str">
            <v>Solano</v>
          </cell>
        </row>
        <row r="55">
          <cell r="I55" t="str">
            <v>Sonoma</v>
          </cell>
        </row>
        <row r="56">
          <cell r="I56" t="str">
            <v>Stanislaus</v>
          </cell>
        </row>
        <row r="57">
          <cell r="I57" t="str">
            <v>Sutter-Yuba</v>
          </cell>
        </row>
        <row r="58">
          <cell r="I58" t="str">
            <v>Tehama</v>
          </cell>
        </row>
        <row r="59">
          <cell r="I59" t="str">
            <v>Tri-City</v>
          </cell>
        </row>
        <row r="60">
          <cell r="I60" t="str">
            <v>Trinity</v>
          </cell>
        </row>
        <row r="61">
          <cell r="I61" t="str">
            <v>Tulare</v>
          </cell>
        </row>
        <row r="62">
          <cell r="I62" t="str">
            <v>Tuolumne</v>
          </cell>
        </row>
        <row r="63">
          <cell r="I63" t="str">
            <v>Ventura</v>
          </cell>
        </row>
        <row r="64">
          <cell r="I64" t="str">
            <v>Yolo</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version Statewide"/>
      <sheetName val="Notes"/>
      <sheetName val="OLD MHSA REVERSION AMOUNTS"/>
      <sheetName val="Redacted 1"/>
      <sheetName val="OLD By County"/>
      <sheetName val="CSS Reversion Amounts"/>
      <sheetName val="PEI Reversion Amounts"/>
      <sheetName val="INN Reversion Amounts"/>
      <sheetName val="WET Reversion Amounts"/>
      <sheetName val="CFTN Reversion Amounts"/>
      <sheetName val="Data"/>
      <sheetName val="Reversion Statewide old"/>
      <sheetName val="Sheet1"/>
      <sheetName val="Redacted 2.21.18"/>
      <sheetName val="Reversion By County (2)"/>
      <sheetName val="Reversion By County"/>
      <sheetName val="Crosschecks"/>
      <sheetName val="Data2"/>
      <sheetName val="Fields"/>
    </sheetNames>
    <sheetDataSet>
      <sheetData sheetId="10">
        <row r="3">
          <cell r="A3" t="str">
            <v>Alameda</v>
          </cell>
          <cell r="B3">
            <v>0</v>
          </cell>
          <cell r="C3">
            <v>0</v>
          </cell>
          <cell r="D3">
            <v>0</v>
          </cell>
          <cell r="E3">
            <v>0</v>
          </cell>
          <cell r="F3">
            <v>0</v>
          </cell>
          <cell r="G3">
            <v>0</v>
          </cell>
          <cell r="H3">
            <v>0</v>
          </cell>
          <cell r="I3">
            <v>0</v>
          </cell>
          <cell r="J3">
            <v>0</v>
          </cell>
          <cell r="K3">
            <v>0</v>
          </cell>
          <cell r="L3">
            <v>0</v>
          </cell>
          <cell r="M3">
            <v>0</v>
          </cell>
          <cell r="N3">
            <v>0</v>
          </cell>
          <cell r="O3">
            <v>0</v>
          </cell>
          <cell r="P3">
            <v>0</v>
          </cell>
          <cell r="Q3">
            <v>0</v>
          </cell>
          <cell r="R3">
            <v>0</v>
          </cell>
          <cell r="S3">
            <v>0</v>
          </cell>
          <cell r="T3">
            <v>1704995</v>
          </cell>
          <cell r="U3">
            <v>1285017</v>
          </cell>
          <cell r="V3">
            <v>2023342</v>
          </cell>
          <cell r="W3">
            <v>0</v>
          </cell>
          <cell r="X3">
            <v>0</v>
          </cell>
          <cell r="Y3">
            <v>0</v>
          </cell>
          <cell r="Z3">
            <v>0</v>
          </cell>
          <cell r="AA3">
            <v>2455221</v>
          </cell>
          <cell r="AB3">
            <v>7530171</v>
          </cell>
          <cell r="AC3">
            <v>11035300</v>
          </cell>
          <cell r="AD3">
            <v>11658589</v>
          </cell>
          <cell r="AE3">
            <v>19127084</v>
          </cell>
          <cell r="AF3">
            <v>23213216</v>
          </cell>
          <cell r="AG3">
            <v>31958251</v>
          </cell>
          <cell r="AH3">
            <v>28063717</v>
          </cell>
          <cell r="AI3">
            <v>26518591</v>
          </cell>
          <cell r="AJ3">
            <v>39381426</v>
          </cell>
          <cell r="AK3">
            <v>33240046</v>
          </cell>
          <cell r="AL3">
            <v>46169325</v>
          </cell>
          <cell r="AM3">
            <v>0</v>
          </cell>
          <cell r="AN3">
            <v>0</v>
          </cell>
          <cell r="AO3">
            <v>4301000</v>
          </cell>
          <cell r="AP3">
            <v>8943796</v>
          </cell>
          <cell r="AQ3">
            <v>12485173</v>
          </cell>
          <cell r="AR3">
            <v>8346154</v>
          </cell>
          <cell r="AS3">
            <v>7189697</v>
          </cell>
          <cell r="AT3">
            <v>9858306</v>
          </cell>
          <cell r="AU3">
            <v>8314092</v>
          </cell>
          <cell r="AV3">
            <v>11599914</v>
          </cell>
          <cell r="AW3">
            <v>0</v>
          </cell>
          <cell r="AX3">
            <v>0</v>
          </cell>
          <cell r="AY3">
            <v>2543800</v>
          </cell>
          <cell r="AZ3">
            <v>2549684</v>
          </cell>
          <cell r="BA3">
            <v>4314279</v>
          </cell>
          <cell r="BB3">
            <v>1769107</v>
          </cell>
          <cell r="BC3">
            <v>2606482</v>
          </cell>
          <cell r="BD3">
            <v>2198801</v>
          </cell>
          <cell r="BE3">
            <v>3037456</v>
          </cell>
          <cell r="BF3">
            <v>0</v>
          </cell>
          <cell r="BG3">
            <v>0</v>
          </cell>
          <cell r="BH3">
            <v>7556650</v>
          </cell>
          <cell r="BI3">
            <v>16200300</v>
          </cell>
        </row>
        <row r="4">
          <cell r="A4" t="str">
            <v>Alpine </v>
          </cell>
          <cell r="B4">
            <v>0</v>
          </cell>
          <cell r="C4">
            <v>0</v>
          </cell>
          <cell r="D4">
            <v>0</v>
          </cell>
          <cell r="E4">
            <v>0</v>
          </cell>
          <cell r="F4">
            <v>544795</v>
          </cell>
          <cell r="G4">
            <v>100071</v>
          </cell>
          <cell r="H4">
            <v>38042</v>
          </cell>
          <cell r="I4">
            <v>15460</v>
          </cell>
          <cell r="J4">
            <v>0</v>
          </cell>
          <cell r="K4">
            <v>804636</v>
          </cell>
          <cell r="L4">
            <v>86107</v>
          </cell>
          <cell r="M4">
            <v>125200</v>
          </cell>
          <cell r="N4">
            <v>181410</v>
          </cell>
          <cell r="O4">
            <v>113696</v>
          </cell>
          <cell r="P4">
            <v>83413</v>
          </cell>
          <cell r="Q4">
            <v>228355</v>
          </cell>
          <cell r="R4">
            <v>172498</v>
          </cell>
          <cell r="S4">
            <v>297838</v>
          </cell>
          <cell r="T4">
            <v>62000</v>
          </cell>
          <cell r="U4">
            <v>62000</v>
          </cell>
          <cell r="V4">
            <v>108600</v>
          </cell>
          <cell r="W4">
            <v>45151</v>
          </cell>
          <cell r="X4">
            <v>67511</v>
          </cell>
          <cell r="Y4">
            <v>56463</v>
          </cell>
          <cell r="Z4">
            <v>78813</v>
          </cell>
          <cell r="AA4">
            <v>450000</v>
          </cell>
          <cell r="AB4">
            <v>788500</v>
          </cell>
          <cell r="AC4">
            <v>252400</v>
          </cell>
          <cell r="AD4">
            <v>254927</v>
          </cell>
          <cell r="AE4">
            <v>342600</v>
          </cell>
          <cell r="AF4">
            <v>626374</v>
          </cell>
          <cell r="AG4">
            <v>889218</v>
          </cell>
          <cell r="AH4">
            <v>780502</v>
          </cell>
          <cell r="AI4">
            <v>741553</v>
          </cell>
          <cell r="AJ4">
            <v>1011081</v>
          </cell>
          <cell r="AK4">
            <v>852923</v>
          </cell>
          <cell r="AL4">
            <v>1188373</v>
          </cell>
          <cell r="AM4">
            <v>0</v>
          </cell>
          <cell r="AN4">
            <v>0</v>
          </cell>
          <cell r="AO4">
            <v>100000</v>
          </cell>
          <cell r="AP4">
            <v>125200</v>
          </cell>
          <cell r="AQ4">
            <v>225200</v>
          </cell>
          <cell r="AR4">
            <v>147600</v>
          </cell>
          <cell r="AS4">
            <v>129084</v>
          </cell>
          <cell r="AT4">
            <v>255115</v>
          </cell>
          <cell r="AU4">
            <v>213442</v>
          </cell>
          <cell r="AV4">
            <v>297838</v>
          </cell>
          <cell r="AW4">
            <v>0</v>
          </cell>
          <cell r="AX4">
            <v>0</v>
          </cell>
          <cell r="AY4">
            <v>62000</v>
          </cell>
          <cell r="AZ4">
            <v>62000</v>
          </cell>
          <cell r="BA4">
            <v>108600</v>
          </cell>
          <cell r="BB4">
            <v>45151</v>
          </cell>
          <cell r="BC4">
            <v>67511</v>
          </cell>
          <cell r="BD4">
            <v>56463</v>
          </cell>
          <cell r="BE4">
            <v>78813</v>
          </cell>
          <cell r="BF4">
            <v>0</v>
          </cell>
          <cell r="BG4">
            <v>0</v>
          </cell>
          <cell r="BH4">
            <v>450000</v>
          </cell>
          <cell r="BI4">
            <v>788500</v>
          </cell>
        </row>
        <row r="5">
          <cell r="A5" t="str">
            <v>Amador</v>
          </cell>
          <cell r="B5">
            <v>0</v>
          </cell>
          <cell r="C5">
            <v>0</v>
          </cell>
          <cell r="D5">
            <v>0</v>
          </cell>
          <cell r="E5">
            <v>0</v>
          </cell>
          <cell r="F5">
            <v>0</v>
          </cell>
          <cell r="G5">
            <v>0</v>
          </cell>
          <cell r="H5">
            <v>0</v>
          </cell>
          <cell r="I5">
            <v>0</v>
          </cell>
          <cell r="J5">
            <v>0</v>
          </cell>
          <cell r="K5">
            <v>541570</v>
          </cell>
          <cell r="L5">
            <v>0</v>
          </cell>
          <cell r="M5">
            <v>0</v>
          </cell>
          <cell r="N5">
            <v>17226</v>
          </cell>
          <cell r="O5">
            <v>10661</v>
          </cell>
          <cell r="P5">
            <v>0</v>
          </cell>
          <cell r="Q5">
            <v>42254</v>
          </cell>
          <cell r="R5">
            <v>66972</v>
          </cell>
          <cell r="S5">
            <v>530252</v>
          </cell>
          <cell r="T5">
            <v>108521</v>
          </cell>
          <cell r="U5">
            <v>108038</v>
          </cell>
          <cell r="V5">
            <v>183373</v>
          </cell>
          <cell r="W5">
            <v>54005</v>
          </cell>
          <cell r="X5">
            <v>8821</v>
          </cell>
          <cell r="Y5">
            <v>26551</v>
          </cell>
          <cell r="Z5">
            <v>140310</v>
          </cell>
          <cell r="AA5">
            <v>189061</v>
          </cell>
          <cell r="AB5">
            <v>325012</v>
          </cell>
          <cell r="AC5">
            <v>526300</v>
          </cell>
          <cell r="AD5">
            <v>531615</v>
          </cell>
          <cell r="AE5">
            <v>857207</v>
          </cell>
          <cell r="AF5">
            <v>1301678</v>
          </cell>
          <cell r="AG5">
            <v>1674152</v>
          </cell>
          <cell r="AH5">
            <v>1444666</v>
          </cell>
          <cell r="AI5">
            <v>1364585</v>
          </cell>
          <cell r="AJ5">
            <v>1803060</v>
          </cell>
          <cell r="AK5">
            <v>1522185</v>
          </cell>
          <cell r="AL5">
            <v>2121662</v>
          </cell>
          <cell r="AM5">
            <v>0</v>
          </cell>
          <cell r="AN5">
            <v>0</v>
          </cell>
          <cell r="AO5">
            <v>100000</v>
          </cell>
          <cell r="AP5">
            <v>196000</v>
          </cell>
          <cell r="AQ5">
            <v>299653</v>
          </cell>
          <cell r="AR5">
            <v>196298</v>
          </cell>
          <cell r="AS5">
            <v>168901</v>
          </cell>
          <cell r="AT5">
            <v>450416</v>
          </cell>
          <cell r="AU5">
            <v>380406</v>
          </cell>
          <cell r="AV5">
            <v>530252</v>
          </cell>
          <cell r="AW5">
            <v>0</v>
          </cell>
          <cell r="AX5">
            <v>0</v>
          </cell>
          <cell r="AY5">
            <v>115200</v>
          </cell>
          <cell r="AZ5">
            <v>116429</v>
          </cell>
          <cell r="BA5">
            <v>195808</v>
          </cell>
          <cell r="BB5">
            <v>81798</v>
          </cell>
          <cell r="BC5">
            <v>119114</v>
          </cell>
          <cell r="BD5">
            <v>100506</v>
          </cell>
          <cell r="BE5">
            <v>140310</v>
          </cell>
          <cell r="BF5">
            <v>0</v>
          </cell>
          <cell r="BG5">
            <v>0</v>
          </cell>
          <cell r="BH5">
            <v>450000</v>
          </cell>
          <cell r="BI5">
            <v>788500</v>
          </cell>
        </row>
        <row r="6">
          <cell r="A6" t="str">
            <v>Berkeley City</v>
          </cell>
          <cell r="B6">
            <v>0</v>
          </cell>
          <cell r="C6">
            <v>0</v>
          </cell>
          <cell r="D6">
            <v>0</v>
          </cell>
          <cell r="E6">
            <v>0</v>
          </cell>
          <cell r="F6">
            <v>0</v>
          </cell>
          <cell r="G6">
            <v>0</v>
          </cell>
          <cell r="H6">
            <v>0</v>
          </cell>
          <cell r="I6">
            <v>0</v>
          </cell>
          <cell r="J6">
            <v>0</v>
          </cell>
          <cell r="K6">
            <v>0</v>
          </cell>
          <cell r="L6">
            <v>0</v>
          </cell>
          <cell r="M6">
            <v>0</v>
          </cell>
          <cell r="N6">
            <v>155937</v>
          </cell>
          <cell r="O6">
            <v>87906</v>
          </cell>
          <cell r="P6">
            <v>0</v>
          </cell>
          <cell r="Q6">
            <v>0</v>
          </cell>
          <cell r="R6">
            <v>0</v>
          </cell>
          <cell r="S6">
            <v>0</v>
          </cell>
          <cell r="T6">
            <v>214800</v>
          </cell>
          <cell r="U6">
            <v>0</v>
          </cell>
          <cell r="V6">
            <v>0</v>
          </cell>
          <cell r="W6">
            <v>0</v>
          </cell>
          <cell r="X6">
            <v>0</v>
          </cell>
          <cell r="Y6">
            <v>0</v>
          </cell>
          <cell r="Z6">
            <v>122025</v>
          </cell>
          <cell r="AA6">
            <v>121105</v>
          </cell>
          <cell r="AB6">
            <v>1322116</v>
          </cell>
          <cell r="AC6">
            <v>250000</v>
          </cell>
          <cell r="AD6">
            <v>252503</v>
          </cell>
          <cell r="AE6">
            <v>2207500</v>
          </cell>
          <cell r="AF6">
            <v>1893500</v>
          </cell>
          <cell r="AG6">
            <v>2689225</v>
          </cell>
          <cell r="AH6">
            <v>2340807</v>
          </cell>
          <cell r="AI6">
            <v>2213281</v>
          </cell>
          <cell r="AJ6">
            <v>3331004</v>
          </cell>
          <cell r="AK6">
            <v>2810920</v>
          </cell>
          <cell r="AL6">
            <v>3917811</v>
          </cell>
          <cell r="AM6">
            <v>0</v>
          </cell>
          <cell r="AN6">
            <v>0</v>
          </cell>
          <cell r="AO6">
            <v>370300</v>
          </cell>
          <cell r="AP6">
            <v>769700</v>
          </cell>
          <cell r="AQ6">
            <v>1080331</v>
          </cell>
          <cell r="AR6">
            <v>714658</v>
          </cell>
          <cell r="AS6">
            <v>614953</v>
          </cell>
          <cell r="AT6">
            <v>834477</v>
          </cell>
          <cell r="AU6">
            <v>703443</v>
          </cell>
          <cell r="AV6">
            <v>979794</v>
          </cell>
          <cell r="AW6">
            <v>0</v>
          </cell>
          <cell r="AX6">
            <v>0</v>
          </cell>
          <cell r="AY6">
            <v>214800</v>
          </cell>
          <cell r="AZ6">
            <v>214940</v>
          </cell>
          <cell r="BA6">
            <v>363211</v>
          </cell>
          <cell r="BB6">
            <v>147832</v>
          </cell>
          <cell r="BC6">
            <v>219447</v>
          </cell>
          <cell r="BD6">
            <v>185071</v>
          </cell>
          <cell r="BE6">
            <v>257841</v>
          </cell>
          <cell r="BF6">
            <v>0</v>
          </cell>
          <cell r="BG6">
            <v>0</v>
          </cell>
          <cell r="BH6">
            <v>656860</v>
          </cell>
          <cell r="BI6">
            <v>1432100</v>
          </cell>
        </row>
        <row r="7">
          <cell r="A7" t="str">
            <v>Butte</v>
          </cell>
          <cell r="B7">
            <v>0</v>
          </cell>
          <cell r="C7">
            <v>0</v>
          </cell>
          <cell r="D7">
            <v>0</v>
          </cell>
          <cell r="E7">
            <v>0</v>
          </cell>
          <cell r="F7">
            <v>0</v>
          </cell>
          <cell r="G7">
            <v>0</v>
          </cell>
          <cell r="H7">
            <v>0</v>
          </cell>
          <cell r="I7">
            <v>0</v>
          </cell>
          <cell r="J7">
            <v>0</v>
          </cell>
          <cell r="K7">
            <v>0</v>
          </cell>
          <cell r="L7">
            <v>0</v>
          </cell>
          <cell r="M7">
            <v>0</v>
          </cell>
          <cell r="N7">
            <v>0</v>
          </cell>
          <cell r="O7">
            <v>0</v>
          </cell>
          <cell r="P7">
            <v>0</v>
          </cell>
          <cell r="Q7">
            <v>0</v>
          </cell>
          <cell r="R7">
            <v>0</v>
          </cell>
          <cell r="S7">
            <v>0</v>
          </cell>
          <cell r="T7">
            <v>256411</v>
          </cell>
          <cell r="U7">
            <v>0</v>
          </cell>
          <cell r="V7">
            <v>0</v>
          </cell>
          <cell r="W7">
            <v>0</v>
          </cell>
          <cell r="X7">
            <v>0</v>
          </cell>
          <cell r="Y7">
            <v>0</v>
          </cell>
          <cell r="Z7">
            <v>506975</v>
          </cell>
          <cell r="AA7">
            <v>56800</v>
          </cell>
          <cell r="AB7">
            <v>0</v>
          </cell>
          <cell r="AC7">
            <v>1979800</v>
          </cell>
          <cell r="AD7">
            <v>2070429</v>
          </cell>
          <cell r="AE7">
            <v>3779104</v>
          </cell>
          <cell r="AF7">
            <v>4201590</v>
          </cell>
          <cell r="AG7">
            <v>5448817</v>
          </cell>
          <cell r="AH7">
            <v>4680650</v>
          </cell>
          <cell r="AI7">
            <v>4404749</v>
          </cell>
          <cell r="AJ7">
            <v>6449507</v>
          </cell>
          <cell r="AK7">
            <v>5429459</v>
          </cell>
          <cell r="AL7">
            <v>7569786</v>
          </cell>
          <cell r="AM7">
            <v>0</v>
          </cell>
          <cell r="AN7">
            <v>0</v>
          </cell>
          <cell r="AO7">
            <v>639300</v>
          </cell>
          <cell r="AP7">
            <v>1326200</v>
          </cell>
          <cell r="AQ7">
            <v>1888104</v>
          </cell>
          <cell r="AR7">
            <v>1282181</v>
          </cell>
          <cell r="AS7">
            <v>1071257</v>
          </cell>
          <cell r="AT7">
            <v>1611062</v>
          </cell>
          <cell r="AU7">
            <v>1357485</v>
          </cell>
          <cell r="AV7">
            <v>1893117</v>
          </cell>
          <cell r="AW7">
            <v>0</v>
          </cell>
          <cell r="AX7">
            <v>0</v>
          </cell>
          <cell r="AY7">
            <v>418100</v>
          </cell>
          <cell r="AZ7">
            <v>424845</v>
          </cell>
          <cell r="BA7">
            <v>726762</v>
          </cell>
          <cell r="BB7">
            <v>311852</v>
          </cell>
          <cell r="BC7">
            <v>427933</v>
          </cell>
          <cell r="BD7">
            <v>360322</v>
          </cell>
          <cell r="BE7">
            <v>506975</v>
          </cell>
          <cell r="BF7">
            <v>0</v>
          </cell>
          <cell r="BG7">
            <v>0</v>
          </cell>
          <cell r="BH7">
            <v>1128860</v>
          </cell>
          <cell r="BI7">
            <v>2430900</v>
          </cell>
        </row>
        <row r="8">
          <cell r="A8" t="str">
            <v>Calaveras</v>
          </cell>
          <cell r="B8">
            <v>0</v>
          </cell>
          <cell r="C8">
            <v>0</v>
          </cell>
          <cell r="D8">
            <v>0</v>
          </cell>
          <cell r="E8">
            <v>0</v>
          </cell>
          <cell r="F8">
            <v>0</v>
          </cell>
          <cell r="G8">
            <v>0</v>
          </cell>
          <cell r="H8">
            <v>0</v>
          </cell>
          <cell r="I8">
            <v>0</v>
          </cell>
          <cell r="J8">
            <v>0</v>
          </cell>
          <cell r="K8">
            <v>1173747</v>
          </cell>
          <cell r="L8">
            <v>0</v>
          </cell>
          <cell r="M8">
            <v>0</v>
          </cell>
          <cell r="N8">
            <v>0</v>
          </cell>
          <cell r="O8">
            <v>0</v>
          </cell>
          <cell r="P8">
            <v>0</v>
          </cell>
          <cell r="Q8">
            <v>0</v>
          </cell>
          <cell r="R8">
            <v>0</v>
          </cell>
          <cell r="S8">
            <v>446895</v>
          </cell>
          <cell r="T8">
            <v>27322</v>
          </cell>
          <cell r="U8">
            <v>8065</v>
          </cell>
          <cell r="V8">
            <v>88487</v>
          </cell>
          <cell r="W8">
            <v>0</v>
          </cell>
          <cell r="X8">
            <v>16390</v>
          </cell>
          <cell r="Y8">
            <v>0</v>
          </cell>
          <cell r="Z8">
            <v>58248</v>
          </cell>
          <cell r="AA8">
            <v>72885</v>
          </cell>
          <cell r="AB8">
            <v>49110</v>
          </cell>
          <cell r="AC8">
            <v>603400</v>
          </cell>
          <cell r="AD8">
            <v>609504</v>
          </cell>
          <cell r="AE8">
            <v>997647</v>
          </cell>
          <cell r="AF8">
            <v>1438895</v>
          </cell>
          <cell r="AG8">
            <v>1781240</v>
          </cell>
          <cell r="AH8">
            <v>1564209</v>
          </cell>
          <cell r="AI8">
            <v>1464721</v>
          </cell>
          <cell r="AJ8">
            <v>1965034</v>
          </cell>
          <cell r="AK8">
            <v>1658075</v>
          </cell>
          <cell r="AL8">
            <v>2306327</v>
          </cell>
          <cell r="AM8">
            <v>0</v>
          </cell>
          <cell r="AN8">
            <v>0</v>
          </cell>
          <cell r="AO8">
            <v>121100</v>
          </cell>
          <cell r="AP8">
            <v>252613</v>
          </cell>
          <cell r="AQ8">
            <v>365215</v>
          </cell>
          <cell r="AR8">
            <v>246007</v>
          </cell>
          <cell r="AS8">
            <v>209417</v>
          </cell>
          <cell r="AT8">
            <v>490856</v>
          </cell>
          <cell r="AU8">
            <v>414436</v>
          </cell>
          <cell r="AV8">
            <v>576878</v>
          </cell>
          <cell r="AW8">
            <v>0</v>
          </cell>
          <cell r="AX8">
            <v>0</v>
          </cell>
          <cell r="AY8">
            <v>126457</v>
          </cell>
          <cell r="AZ8">
            <v>126987</v>
          </cell>
          <cell r="BA8">
            <v>214206</v>
          </cell>
          <cell r="BB8">
            <v>89523</v>
          </cell>
          <cell r="BC8">
            <v>130574</v>
          </cell>
          <cell r="BD8">
            <v>110078</v>
          </cell>
          <cell r="BE8">
            <v>152505</v>
          </cell>
          <cell r="BF8">
            <v>0</v>
          </cell>
          <cell r="BG8">
            <v>0</v>
          </cell>
          <cell r="BH8">
            <v>450000</v>
          </cell>
          <cell r="BI8">
            <v>788500</v>
          </cell>
        </row>
        <row r="9">
          <cell r="A9" t="str">
            <v>Colusa</v>
          </cell>
          <cell r="B9">
            <v>0</v>
          </cell>
          <cell r="C9">
            <v>0</v>
          </cell>
          <cell r="D9">
            <v>0</v>
          </cell>
          <cell r="E9">
            <v>0</v>
          </cell>
          <cell r="F9">
            <v>0</v>
          </cell>
          <cell r="G9">
            <v>0</v>
          </cell>
          <cell r="H9">
            <v>0</v>
          </cell>
          <cell r="I9">
            <v>0</v>
          </cell>
          <cell r="J9">
            <v>503420</v>
          </cell>
          <cell r="K9">
            <v>1913066</v>
          </cell>
          <cell r="L9">
            <v>0</v>
          </cell>
          <cell r="M9">
            <v>0</v>
          </cell>
          <cell r="N9">
            <v>83502</v>
          </cell>
          <cell r="O9">
            <v>0</v>
          </cell>
          <cell r="P9">
            <v>0</v>
          </cell>
          <cell r="Q9">
            <v>0</v>
          </cell>
          <cell r="R9">
            <v>0</v>
          </cell>
          <cell r="S9">
            <v>327325</v>
          </cell>
          <cell r="T9">
            <v>101541</v>
          </cell>
          <cell r="U9">
            <v>94928</v>
          </cell>
          <cell r="V9">
            <v>148973</v>
          </cell>
          <cell r="W9">
            <v>53692</v>
          </cell>
          <cell r="X9">
            <v>86498</v>
          </cell>
          <cell r="Y9">
            <v>0</v>
          </cell>
          <cell r="Z9">
            <v>0</v>
          </cell>
          <cell r="AA9">
            <v>25728</v>
          </cell>
          <cell r="AB9">
            <v>0</v>
          </cell>
          <cell r="AC9">
            <v>426700</v>
          </cell>
          <cell r="AD9">
            <v>436771</v>
          </cell>
          <cell r="AE9">
            <v>703804</v>
          </cell>
          <cell r="AF9">
            <v>1183048</v>
          </cell>
          <cell r="AG9">
            <v>1560710</v>
          </cell>
          <cell r="AH9">
            <v>1334213</v>
          </cell>
          <cell r="AI9">
            <v>1315541</v>
          </cell>
          <cell r="AJ9">
            <v>1670394</v>
          </cell>
          <cell r="AK9">
            <v>1376375</v>
          </cell>
          <cell r="AL9">
            <v>1913066</v>
          </cell>
          <cell r="AM9">
            <v>0</v>
          </cell>
          <cell r="AN9">
            <v>0</v>
          </cell>
          <cell r="AO9">
            <v>100000</v>
          </cell>
          <cell r="AP9">
            <v>128856</v>
          </cell>
          <cell r="AQ9">
            <v>240197</v>
          </cell>
          <cell r="AR9">
            <v>155835</v>
          </cell>
          <cell r="AS9">
            <v>148408</v>
          </cell>
          <cell r="AT9">
            <v>419982</v>
          </cell>
          <cell r="AU9">
            <v>345415</v>
          </cell>
          <cell r="AV9">
            <v>482461</v>
          </cell>
          <cell r="AW9">
            <v>0</v>
          </cell>
          <cell r="AX9">
            <v>0</v>
          </cell>
          <cell r="AY9">
            <v>101541</v>
          </cell>
          <cell r="AZ9">
            <v>103818</v>
          </cell>
          <cell r="BA9">
            <v>176143</v>
          </cell>
          <cell r="BB9">
            <v>93637</v>
          </cell>
          <cell r="BC9">
            <v>118182</v>
          </cell>
          <cell r="BD9">
            <v>92468</v>
          </cell>
          <cell r="BE9">
            <v>129639</v>
          </cell>
          <cell r="BF9">
            <v>0</v>
          </cell>
          <cell r="BG9">
            <v>0</v>
          </cell>
          <cell r="BH9">
            <v>450003</v>
          </cell>
          <cell r="BI9">
            <v>788500</v>
          </cell>
        </row>
        <row r="10">
          <cell r="A10" t="str">
            <v>Contra Costa</v>
          </cell>
          <cell r="B10">
            <v>0</v>
          </cell>
          <cell r="C10">
            <v>0</v>
          </cell>
          <cell r="D10">
            <v>0</v>
          </cell>
          <cell r="E10">
            <v>0</v>
          </cell>
          <cell r="F10">
            <v>0</v>
          </cell>
          <cell r="G10">
            <v>0</v>
          </cell>
          <cell r="H10">
            <v>0</v>
          </cell>
          <cell r="I10">
            <v>0</v>
          </cell>
          <cell r="J10">
            <v>0</v>
          </cell>
          <cell r="K10">
            <v>0</v>
          </cell>
          <cell r="L10">
            <v>0</v>
          </cell>
          <cell r="M10">
            <v>0</v>
          </cell>
          <cell r="N10">
            <v>2059690</v>
          </cell>
          <cell r="O10">
            <v>0</v>
          </cell>
          <cell r="P10">
            <v>0</v>
          </cell>
          <cell r="Q10">
            <v>0</v>
          </cell>
          <cell r="R10">
            <v>0</v>
          </cell>
          <cell r="S10">
            <v>0</v>
          </cell>
          <cell r="T10">
            <v>0</v>
          </cell>
          <cell r="U10">
            <v>0</v>
          </cell>
          <cell r="V10">
            <v>0</v>
          </cell>
          <cell r="W10">
            <v>0</v>
          </cell>
          <cell r="X10">
            <v>0</v>
          </cell>
          <cell r="Y10">
            <v>0</v>
          </cell>
          <cell r="Z10">
            <v>0</v>
          </cell>
          <cell r="AA10">
            <v>167226</v>
          </cell>
          <cell r="AB10">
            <v>0</v>
          </cell>
          <cell r="AC10">
            <v>7121500</v>
          </cell>
          <cell r="AD10">
            <v>7449967</v>
          </cell>
          <cell r="AE10">
            <v>12473665</v>
          </cell>
          <cell r="AF10">
            <v>14769722</v>
          </cell>
          <cell r="AG10">
            <v>20407145</v>
          </cell>
          <cell r="AH10">
            <v>17827071</v>
          </cell>
          <cell r="AI10">
            <v>16874771</v>
          </cell>
          <cell r="AJ10">
            <v>25060767</v>
          </cell>
          <cell r="AK10">
            <v>21200659</v>
          </cell>
          <cell r="AL10">
            <v>29510233</v>
          </cell>
          <cell r="AM10">
            <v>0</v>
          </cell>
          <cell r="AN10">
            <v>0</v>
          </cell>
          <cell r="AO10">
            <v>2686300</v>
          </cell>
          <cell r="AP10">
            <v>5602801</v>
          </cell>
          <cell r="AQ10">
            <v>7819343</v>
          </cell>
          <cell r="AR10">
            <v>5222848</v>
          </cell>
          <cell r="AS10">
            <v>4499390</v>
          </cell>
          <cell r="AT10">
            <v>6290450</v>
          </cell>
          <cell r="AU10">
            <v>5300165</v>
          </cell>
          <cell r="AV10">
            <v>7377558</v>
          </cell>
          <cell r="AW10">
            <v>0</v>
          </cell>
          <cell r="AX10">
            <v>0</v>
          </cell>
          <cell r="AY10">
            <v>1618515</v>
          </cell>
          <cell r="AZ10">
            <v>1620638</v>
          </cell>
          <cell r="BA10">
            <v>2741822</v>
          </cell>
          <cell r="BB10">
            <v>1135307</v>
          </cell>
          <cell r="BC10">
            <v>1665643</v>
          </cell>
          <cell r="BD10">
            <v>1394781</v>
          </cell>
          <cell r="BE10">
            <v>1941463</v>
          </cell>
          <cell r="BF10">
            <v>0</v>
          </cell>
          <cell r="BG10">
            <v>0</v>
          </cell>
          <cell r="BH10">
            <v>4738030</v>
          </cell>
          <cell r="BI10">
            <v>10223247</v>
          </cell>
        </row>
        <row r="11">
          <cell r="A11" t="str">
            <v>Del Norte</v>
          </cell>
          <cell r="B11">
            <v>0</v>
          </cell>
          <cell r="C11">
            <v>0</v>
          </cell>
          <cell r="D11">
            <v>0</v>
          </cell>
          <cell r="E11">
            <v>0</v>
          </cell>
          <cell r="F11">
            <v>0</v>
          </cell>
          <cell r="G11">
            <v>0</v>
          </cell>
          <cell r="H11">
            <v>0</v>
          </cell>
          <cell r="I11">
            <v>0</v>
          </cell>
          <cell r="J11">
            <v>0</v>
          </cell>
          <cell r="K11">
            <v>0</v>
          </cell>
          <cell r="L11">
            <v>28750</v>
          </cell>
          <cell r="M11">
            <v>233258</v>
          </cell>
          <cell r="N11">
            <v>43368</v>
          </cell>
          <cell r="O11">
            <v>0</v>
          </cell>
          <cell r="P11">
            <v>0</v>
          </cell>
          <cell r="Q11">
            <v>0</v>
          </cell>
          <cell r="R11">
            <v>0</v>
          </cell>
          <cell r="S11">
            <v>0</v>
          </cell>
          <cell r="T11">
            <v>89946</v>
          </cell>
          <cell r="U11">
            <v>26682</v>
          </cell>
          <cell r="V11">
            <v>30509</v>
          </cell>
          <cell r="W11">
            <v>0</v>
          </cell>
          <cell r="X11">
            <v>0</v>
          </cell>
          <cell r="Y11">
            <v>0</v>
          </cell>
          <cell r="Z11">
            <v>288812</v>
          </cell>
          <cell r="AA11">
            <v>225673</v>
          </cell>
          <cell r="AB11">
            <v>832232</v>
          </cell>
          <cell r="AC11">
            <v>470800</v>
          </cell>
          <cell r="AD11">
            <v>490088</v>
          </cell>
          <cell r="AE11">
            <v>798015</v>
          </cell>
          <cell r="AF11">
            <v>1229191</v>
          </cell>
          <cell r="AG11">
            <v>1579317</v>
          </cell>
          <cell r="AH11">
            <v>1378628</v>
          </cell>
          <cell r="AI11">
            <v>1300360</v>
          </cell>
          <cell r="AJ11">
            <v>1709788</v>
          </cell>
          <cell r="AK11">
            <v>1448900</v>
          </cell>
          <cell r="AL11">
            <v>2019474</v>
          </cell>
          <cell r="AM11">
            <v>0</v>
          </cell>
          <cell r="AN11">
            <v>0</v>
          </cell>
          <cell r="AO11">
            <v>100000</v>
          </cell>
          <cell r="AP11">
            <v>161700</v>
          </cell>
          <cell r="AQ11">
            <v>261700</v>
          </cell>
          <cell r="AR11">
            <v>174080</v>
          </cell>
          <cell r="AS11">
            <v>150073</v>
          </cell>
          <cell r="AT11">
            <v>428164</v>
          </cell>
          <cell r="AU11">
            <v>363550</v>
          </cell>
          <cell r="AV11">
            <v>506217</v>
          </cell>
          <cell r="AW11">
            <v>0</v>
          </cell>
          <cell r="AX11">
            <v>0</v>
          </cell>
          <cell r="AY11">
            <v>108100</v>
          </cell>
          <cell r="AZ11">
            <v>108100</v>
          </cell>
          <cell r="BA11">
            <v>186989</v>
          </cell>
          <cell r="BB11">
            <v>77076</v>
          </cell>
          <cell r="BC11">
            <v>113017</v>
          </cell>
          <cell r="BD11">
            <v>96138</v>
          </cell>
          <cell r="BE11">
            <v>134107</v>
          </cell>
          <cell r="BF11">
            <v>0</v>
          </cell>
          <cell r="BG11">
            <v>0</v>
          </cell>
          <cell r="BH11">
            <v>450000</v>
          </cell>
          <cell r="BI11">
            <v>788500</v>
          </cell>
        </row>
        <row r="12">
          <cell r="A12" t="str">
            <v>El Dorado</v>
          </cell>
          <cell r="B12">
            <v>0</v>
          </cell>
          <cell r="C12">
            <v>0</v>
          </cell>
          <cell r="D12">
            <v>0</v>
          </cell>
          <cell r="E12">
            <v>0</v>
          </cell>
          <cell r="F12">
            <v>0</v>
          </cell>
          <cell r="G12">
            <v>0</v>
          </cell>
          <cell r="H12">
            <v>0</v>
          </cell>
          <cell r="I12">
            <v>0</v>
          </cell>
          <cell r="J12">
            <v>0</v>
          </cell>
          <cell r="K12">
            <v>0</v>
          </cell>
          <cell r="L12">
            <v>0</v>
          </cell>
          <cell r="M12">
            <v>0</v>
          </cell>
          <cell r="N12">
            <v>0</v>
          </cell>
          <cell r="O12">
            <v>579150</v>
          </cell>
          <cell r="P12">
            <v>86126</v>
          </cell>
          <cell r="Q12">
            <v>329457</v>
          </cell>
          <cell r="R12">
            <v>43721</v>
          </cell>
          <cell r="S12">
            <v>396686</v>
          </cell>
          <cell r="T12">
            <v>395176</v>
          </cell>
          <cell r="U12">
            <v>0</v>
          </cell>
          <cell r="V12">
            <v>300036</v>
          </cell>
          <cell r="W12">
            <v>201890</v>
          </cell>
          <cell r="X12">
            <v>434720</v>
          </cell>
          <cell r="Y12">
            <v>245703</v>
          </cell>
          <cell r="Z12">
            <v>206307</v>
          </cell>
          <cell r="AA12">
            <v>13732</v>
          </cell>
          <cell r="AB12">
            <v>354617</v>
          </cell>
          <cell r="AC12">
            <v>1423300</v>
          </cell>
          <cell r="AD12">
            <v>1504844</v>
          </cell>
          <cell r="AE12">
            <v>2968836</v>
          </cell>
          <cell r="AF12">
            <v>2902646</v>
          </cell>
          <cell r="AG12">
            <v>3752542</v>
          </cell>
          <cell r="AH12">
            <v>3266306</v>
          </cell>
          <cell r="AI12">
            <v>3091760</v>
          </cell>
          <cell r="AJ12">
            <v>4469725</v>
          </cell>
          <cell r="AK12">
            <v>3780682</v>
          </cell>
          <cell r="AL12">
            <v>5266555</v>
          </cell>
          <cell r="AM12">
            <v>0</v>
          </cell>
          <cell r="AN12">
            <v>0</v>
          </cell>
          <cell r="AO12">
            <v>431100</v>
          </cell>
          <cell r="AP12">
            <v>891500</v>
          </cell>
          <cell r="AQ12">
            <v>1241770</v>
          </cell>
          <cell r="AR12">
            <v>823073</v>
          </cell>
          <cell r="AS12">
            <v>710273</v>
          </cell>
          <cell r="AT12">
            <v>1118103</v>
          </cell>
          <cell r="AU12">
            <v>945669</v>
          </cell>
          <cell r="AV12">
            <v>1317464</v>
          </cell>
          <cell r="AW12">
            <v>0</v>
          </cell>
          <cell r="AX12">
            <v>0</v>
          </cell>
          <cell r="AY12">
            <v>292000</v>
          </cell>
          <cell r="AZ12">
            <v>292339</v>
          </cell>
          <cell r="BA12">
            <v>488788</v>
          </cell>
          <cell r="BB12">
            <v>202946</v>
          </cell>
          <cell r="BC12">
            <v>295146</v>
          </cell>
          <cell r="BD12">
            <v>250213</v>
          </cell>
          <cell r="BE12">
            <v>349767</v>
          </cell>
          <cell r="BF12">
            <v>0</v>
          </cell>
          <cell r="BG12">
            <v>0</v>
          </cell>
          <cell r="BH12">
            <v>755020</v>
          </cell>
          <cell r="BI12">
            <v>1624100</v>
          </cell>
        </row>
        <row r="13">
          <cell r="A13" t="str">
            <v>Fresno</v>
          </cell>
          <cell r="B13">
            <v>0</v>
          </cell>
          <cell r="C13">
            <v>0</v>
          </cell>
          <cell r="D13">
            <v>0</v>
          </cell>
          <cell r="E13">
            <v>0</v>
          </cell>
          <cell r="F13">
            <v>0</v>
          </cell>
          <cell r="G13">
            <v>0</v>
          </cell>
          <cell r="H13">
            <v>0</v>
          </cell>
          <cell r="I13">
            <v>0</v>
          </cell>
          <cell r="J13">
            <v>0</v>
          </cell>
          <cell r="K13">
            <v>14417464</v>
          </cell>
          <cell r="L13">
            <v>0</v>
          </cell>
          <cell r="M13">
            <v>0</v>
          </cell>
          <cell r="N13">
            <v>1240689</v>
          </cell>
          <cell r="O13">
            <v>0</v>
          </cell>
          <cell r="P13">
            <v>0</v>
          </cell>
          <cell r="Q13">
            <v>0</v>
          </cell>
          <cell r="R13">
            <v>0</v>
          </cell>
          <cell r="S13">
            <v>5229325</v>
          </cell>
          <cell r="T13">
            <v>1467376</v>
          </cell>
          <cell r="U13">
            <v>1430021</v>
          </cell>
          <cell r="V13">
            <v>907680</v>
          </cell>
          <cell r="W13">
            <v>0</v>
          </cell>
          <cell r="X13">
            <v>0</v>
          </cell>
          <cell r="Y13">
            <v>0</v>
          </cell>
          <cell r="Z13">
            <v>333626</v>
          </cell>
          <cell r="AA13">
            <v>3297666</v>
          </cell>
          <cell r="AB13">
            <v>5830760</v>
          </cell>
          <cell r="AC13">
            <v>7962400</v>
          </cell>
          <cell r="AD13">
            <v>8245519</v>
          </cell>
          <cell r="AE13">
            <v>13774405</v>
          </cell>
          <cell r="AF13">
            <v>16503974</v>
          </cell>
          <cell r="AG13">
            <v>22626434</v>
          </cell>
          <cell r="AH13">
            <v>19799094</v>
          </cell>
          <cell r="AI13">
            <v>18744271</v>
          </cell>
          <cell r="AJ13">
            <v>27291604</v>
          </cell>
          <cell r="AK13">
            <v>23204784</v>
          </cell>
          <cell r="AL13">
            <v>32286081</v>
          </cell>
          <cell r="AM13">
            <v>0</v>
          </cell>
          <cell r="AN13">
            <v>0</v>
          </cell>
          <cell r="AO13">
            <v>2721000</v>
          </cell>
          <cell r="AP13">
            <v>5739366</v>
          </cell>
          <cell r="AQ13">
            <v>8232508</v>
          </cell>
          <cell r="AR13">
            <v>5736326</v>
          </cell>
          <cell r="AS13">
            <v>4894936</v>
          </cell>
          <cell r="AT13">
            <v>6912593</v>
          </cell>
          <cell r="AU13">
            <v>5871962</v>
          </cell>
          <cell r="AV13">
            <v>8133874</v>
          </cell>
          <cell r="AW13">
            <v>0</v>
          </cell>
          <cell r="AX13">
            <v>0</v>
          </cell>
          <cell r="AY13">
            <v>1739800</v>
          </cell>
          <cell r="AZ13">
            <v>1748167</v>
          </cell>
          <cell r="BA13">
            <v>2958160</v>
          </cell>
          <cell r="BB13">
            <v>1282154</v>
          </cell>
          <cell r="BC13">
            <v>1869298</v>
          </cell>
          <cell r="BD13">
            <v>1584705</v>
          </cell>
          <cell r="BE13">
            <v>2174374</v>
          </cell>
          <cell r="BF13">
            <v>0</v>
          </cell>
          <cell r="BG13">
            <v>0</v>
          </cell>
          <cell r="BH13">
            <v>4986002</v>
          </cell>
          <cell r="BI13">
            <v>11047300</v>
          </cell>
        </row>
        <row r="14">
          <cell r="A14" t="str">
            <v>Glenn</v>
          </cell>
          <cell r="B14">
            <v>0</v>
          </cell>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v>104392</v>
          </cell>
          <cell r="U14">
            <v>0</v>
          </cell>
          <cell r="V14">
            <v>0</v>
          </cell>
          <cell r="W14">
            <v>0</v>
          </cell>
          <cell r="X14">
            <v>0</v>
          </cell>
          <cell r="Y14">
            <v>0</v>
          </cell>
          <cell r="Z14">
            <v>0</v>
          </cell>
          <cell r="AA14">
            <v>79075</v>
          </cell>
          <cell r="AB14">
            <v>0</v>
          </cell>
          <cell r="AC14">
            <v>481300</v>
          </cell>
          <cell r="AD14">
            <v>506766</v>
          </cell>
          <cell r="AE14">
            <v>805947</v>
          </cell>
          <cell r="AF14">
            <v>1245354</v>
          </cell>
          <cell r="AG14">
            <v>1590930</v>
          </cell>
          <cell r="AH14">
            <v>1382398</v>
          </cell>
          <cell r="AI14">
            <v>1305795</v>
          </cell>
          <cell r="AJ14">
            <v>1718055</v>
          </cell>
          <cell r="AK14">
            <v>1450894</v>
          </cell>
          <cell r="AL14">
            <v>2024008</v>
          </cell>
          <cell r="AM14">
            <v>0</v>
          </cell>
          <cell r="AN14">
            <v>0</v>
          </cell>
          <cell r="AO14">
            <v>100460</v>
          </cell>
          <cell r="AP14">
            <v>166805</v>
          </cell>
          <cell r="AQ14">
            <v>265315</v>
          </cell>
          <cell r="AR14">
            <v>174145</v>
          </cell>
          <cell r="AS14">
            <v>149626</v>
          </cell>
          <cell r="AT14">
            <v>429940</v>
          </cell>
          <cell r="AU14">
            <v>362879</v>
          </cell>
          <cell r="AV14">
            <v>505294</v>
          </cell>
          <cell r="AW14">
            <v>0</v>
          </cell>
          <cell r="AX14">
            <v>0</v>
          </cell>
          <cell r="AY14">
            <v>108700</v>
          </cell>
          <cell r="AZ14">
            <v>109252</v>
          </cell>
          <cell r="BA14">
            <v>188042</v>
          </cell>
          <cell r="BB14">
            <v>76563</v>
          </cell>
          <cell r="BC14">
            <v>113222</v>
          </cell>
          <cell r="BD14">
            <v>95749</v>
          </cell>
          <cell r="BE14">
            <v>133388</v>
          </cell>
          <cell r="BF14">
            <v>0</v>
          </cell>
          <cell r="BG14">
            <v>0</v>
          </cell>
          <cell r="BH14">
            <v>450207</v>
          </cell>
          <cell r="BI14">
            <v>788500</v>
          </cell>
        </row>
        <row r="15">
          <cell r="A15" t="str">
            <v>Humboldt</v>
          </cell>
          <cell r="B15">
            <v>0</v>
          </cell>
          <cell r="C15">
            <v>0</v>
          </cell>
          <cell r="D15">
            <v>0</v>
          </cell>
          <cell r="E15">
            <v>0</v>
          </cell>
          <cell r="F15">
            <v>0</v>
          </cell>
          <cell r="G15">
            <v>0</v>
          </cell>
          <cell r="H15">
            <v>0</v>
          </cell>
          <cell r="I15">
            <v>0</v>
          </cell>
          <cell r="J15">
            <v>0</v>
          </cell>
          <cell r="K15">
            <v>0</v>
          </cell>
          <cell r="L15">
            <v>0</v>
          </cell>
          <cell r="M15">
            <v>0</v>
          </cell>
          <cell r="N15">
            <v>0</v>
          </cell>
          <cell r="O15">
            <v>25898</v>
          </cell>
          <cell r="P15">
            <v>0</v>
          </cell>
          <cell r="Q15">
            <v>0</v>
          </cell>
          <cell r="R15">
            <v>0</v>
          </cell>
          <cell r="S15">
            <v>887950</v>
          </cell>
          <cell r="T15">
            <v>258495</v>
          </cell>
          <cell r="U15">
            <v>20579</v>
          </cell>
          <cell r="V15">
            <v>197871</v>
          </cell>
          <cell r="W15">
            <v>0</v>
          </cell>
          <cell r="X15">
            <v>57212</v>
          </cell>
          <cell r="Y15">
            <v>0</v>
          </cell>
          <cell r="Z15">
            <v>163667</v>
          </cell>
          <cell r="AA15">
            <v>303007</v>
          </cell>
          <cell r="AB15">
            <v>214206</v>
          </cell>
          <cell r="AC15">
            <v>1281400</v>
          </cell>
          <cell r="AD15">
            <v>1342477</v>
          </cell>
          <cell r="AE15">
            <v>2515129</v>
          </cell>
          <cell r="AF15">
            <v>2590501</v>
          </cell>
          <cell r="AG15">
            <v>3446938</v>
          </cell>
          <cell r="AH15">
            <v>2934139</v>
          </cell>
          <cell r="AI15">
            <v>2765701</v>
          </cell>
          <cell r="AJ15">
            <v>3964905</v>
          </cell>
          <cell r="AK15">
            <v>3346498</v>
          </cell>
          <cell r="AL15">
            <v>4668925</v>
          </cell>
          <cell r="AM15">
            <v>0</v>
          </cell>
          <cell r="AN15">
            <v>0</v>
          </cell>
          <cell r="AO15">
            <v>370200</v>
          </cell>
          <cell r="AP15">
            <v>767000</v>
          </cell>
          <cell r="AQ15">
            <v>1074500</v>
          </cell>
          <cell r="AR15">
            <v>729977</v>
          </cell>
          <cell r="AS15">
            <v>625263</v>
          </cell>
          <cell r="AT15">
            <v>1000453</v>
          </cell>
          <cell r="AU15">
            <v>849140</v>
          </cell>
          <cell r="AV15">
            <v>1175378</v>
          </cell>
          <cell r="AW15">
            <v>0</v>
          </cell>
          <cell r="AX15">
            <v>0</v>
          </cell>
          <cell r="AY15">
            <v>258700</v>
          </cell>
          <cell r="AZ15">
            <v>258700</v>
          </cell>
          <cell r="BA15">
            <v>446084</v>
          </cell>
          <cell r="BB15">
            <v>186067</v>
          </cell>
          <cell r="BC15">
            <v>267080</v>
          </cell>
          <cell r="BD15">
            <v>226964</v>
          </cell>
          <cell r="BE15">
            <v>313554</v>
          </cell>
          <cell r="BF15">
            <v>0</v>
          </cell>
          <cell r="BG15">
            <v>0</v>
          </cell>
          <cell r="BH15">
            <v>650910</v>
          </cell>
          <cell r="BI15">
            <v>1403700</v>
          </cell>
        </row>
        <row r="16">
          <cell r="A16" t="str">
            <v>Imperial</v>
          </cell>
          <cell r="B16">
            <v>131375</v>
          </cell>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691964</v>
          </cell>
          <cell r="T16">
            <v>394650</v>
          </cell>
          <cell r="U16">
            <v>409483</v>
          </cell>
          <cell r="V16">
            <v>587476</v>
          </cell>
          <cell r="W16">
            <v>94419</v>
          </cell>
          <cell r="X16">
            <v>0</v>
          </cell>
          <cell r="Y16">
            <v>0</v>
          </cell>
          <cell r="Z16">
            <v>0</v>
          </cell>
          <cell r="AA16">
            <v>166831</v>
          </cell>
          <cell r="AB16">
            <v>0</v>
          </cell>
          <cell r="AC16">
            <v>1699000</v>
          </cell>
          <cell r="AD16">
            <v>1716012</v>
          </cell>
          <cell r="AE16">
            <v>2845371</v>
          </cell>
          <cell r="AF16">
            <v>3454058</v>
          </cell>
          <cell r="AG16">
            <v>4616745</v>
          </cell>
          <cell r="AH16">
            <v>4009357</v>
          </cell>
          <cell r="AI16">
            <v>3779617</v>
          </cell>
          <cell r="AJ16">
            <v>5468127</v>
          </cell>
          <cell r="AK16">
            <v>4617395</v>
          </cell>
          <cell r="AL16">
            <v>6431966</v>
          </cell>
          <cell r="AM16">
            <v>0</v>
          </cell>
          <cell r="AN16">
            <v>0</v>
          </cell>
          <cell r="AO16">
            <v>503600</v>
          </cell>
          <cell r="AP16">
            <v>1063234</v>
          </cell>
          <cell r="AQ16">
            <v>1519100</v>
          </cell>
          <cell r="AR16">
            <v>1017735</v>
          </cell>
          <cell r="AS16">
            <v>873745</v>
          </cell>
          <cell r="AT16">
            <v>1368078</v>
          </cell>
          <cell r="AU16">
            <v>1157929</v>
          </cell>
          <cell r="AV16">
            <v>1617693</v>
          </cell>
          <cell r="AW16">
            <v>0</v>
          </cell>
          <cell r="AX16">
            <v>0</v>
          </cell>
          <cell r="AY16">
            <v>353394</v>
          </cell>
          <cell r="AZ16">
            <v>353200</v>
          </cell>
          <cell r="BA16">
            <v>595872</v>
          </cell>
          <cell r="BB16">
            <v>252167</v>
          </cell>
          <cell r="BC16">
            <v>363565</v>
          </cell>
          <cell r="BD16">
            <v>306642</v>
          </cell>
          <cell r="BE16">
            <v>426427</v>
          </cell>
          <cell r="BF16">
            <v>0</v>
          </cell>
          <cell r="BG16">
            <v>0</v>
          </cell>
          <cell r="BH16">
            <v>929810</v>
          </cell>
          <cell r="BI16">
            <v>2061800</v>
          </cell>
        </row>
        <row r="17">
          <cell r="A17" t="str">
            <v>Inyo</v>
          </cell>
          <cell r="B17">
            <v>0</v>
          </cell>
          <cell r="C17">
            <v>0</v>
          </cell>
          <cell r="D17">
            <v>0</v>
          </cell>
          <cell r="E17">
            <v>0</v>
          </cell>
          <cell r="F17">
            <v>0</v>
          </cell>
          <cell r="G17">
            <v>0</v>
          </cell>
          <cell r="H17">
            <v>0</v>
          </cell>
          <cell r="I17">
            <v>0</v>
          </cell>
          <cell r="J17">
            <v>0</v>
          </cell>
          <cell r="K17">
            <v>283130</v>
          </cell>
          <cell r="L17">
            <v>0</v>
          </cell>
          <cell r="M17">
            <v>0</v>
          </cell>
          <cell r="N17">
            <v>0</v>
          </cell>
          <cell r="O17">
            <v>0</v>
          </cell>
          <cell r="P17">
            <v>0</v>
          </cell>
          <cell r="Q17">
            <v>0</v>
          </cell>
          <cell r="R17">
            <v>0</v>
          </cell>
          <cell r="S17">
            <v>84976</v>
          </cell>
          <cell r="T17">
            <v>72600</v>
          </cell>
          <cell r="U17">
            <v>72076</v>
          </cell>
          <cell r="V17">
            <v>122007</v>
          </cell>
          <cell r="W17">
            <v>52044</v>
          </cell>
          <cell r="X17">
            <v>0</v>
          </cell>
          <cell r="Y17">
            <v>0</v>
          </cell>
          <cell r="Z17">
            <v>0</v>
          </cell>
          <cell r="AA17">
            <v>248279</v>
          </cell>
          <cell r="AB17">
            <v>0</v>
          </cell>
          <cell r="AC17">
            <v>370000</v>
          </cell>
          <cell r="AD17">
            <v>382158</v>
          </cell>
          <cell r="AE17">
            <v>536622</v>
          </cell>
          <cell r="AF17">
            <v>802325</v>
          </cell>
          <cell r="AG17">
            <v>1040628</v>
          </cell>
          <cell r="AH17">
            <v>902295</v>
          </cell>
          <cell r="AI17">
            <v>854323</v>
          </cell>
          <cell r="AJ17">
            <v>1159286</v>
          </cell>
          <cell r="AK17">
            <v>979340</v>
          </cell>
          <cell r="AL17">
            <v>1364793</v>
          </cell>
          <cell r="AM17">
            <v>0</v>
          </cell>
          <cell r="AN17">
            <v>0</v>
          </cell>
          <cell r="AO17">
            <v>100000</v>
          </cell>
          <cell r="AP17">
            <v>127100</v>
          </cell>
          <cell r="AQ17">
            <v>229916</v>
          </cell>
          <cell r="AR17">
            <v>149767</v>
          </cell>
          <cell r="AS17">
            <v>129961</v>
          </cell>
          <cell r="AT17">
            <v>289868</v>
          </cell>
          <cell r="AU17">
            <v>244923</v>
          </cell>
          <cell r="AV17">
            <v>341415</v>
          </cell>
          <cell r="AW17">
            <v>0</v>
          </cell>
          <cell r="AX17">
            <v>0</v>
          </cell>
          <cell r="AY17">
            <v>72800</v>
          </cell>
          <cell r="AZ17">
            <v>73076</v>
          </cell>
          <cell r="BA17">
            <v>125707</v>
          </cell>
          <cell r="BB17">
            <v>52044</v>
          </cell>
          <cell r="BC17">
            <v>76851</v>
          </cell>
          <cell r="BD17">
            <v>64928</v>
          </cell>
          <cell r="BE17">
            <v>90546</v>
          </cell>
          <cell r="BF17">
            <v>0</v>
          </cell>
          <cell r="BG17">
            <v>0</v>
          </cell>
          <cell r="BH17">
            <v>450000</v>
          </cell>
          <cell r="BI17">
            <v>788500</v>
          </cell>
        </row>
        <row r="18">
          <cell r="A18" t="str">
            <v>Kern</v>
          </cell>
          <cell r="B18">
            <v>0</v>
          </cell>
          <cell r="C18">
            <v>0</v>
          </cell>
          <cell r="D18">
            <v>0</v>
          </cell>
          <cell r="E18">
            <v>0</v>
          </cell>
          <cell r="F18">
            <v>0</v>
          </cell>
          <cell r="G18">
            <v>0</v>
          </cell>
          <cell r="H18">
            <v>0</v>
          </cell>
          <cell r="I18">
            <v>0</v>
          </cell>
          <cell r="J18">
            <v>0</v>
          </cell>
          <cell r="K18">
            <v>0</v>
          </cell>
          <cell r="L18">
            <v>235215</v>
          </cell>
          <cell r="M18">
            <v>2651795</v>
          </cell>
          <cell r="N18">
            <v>1838873</v>
          </cell>
          <cell r="O18">
            <v>0</v>
          </cell>
          <cell r="P18">
            <v>272574</v>
          </cell>
          <cell r="Q18">
            <v>0</v>
          </cell>
          <cell r="R18">
            <v>1374404</v>
          </cell>
          <cell r="S18">
            <v>0</v>
          </cell>
          <cell r="T18">
            <v>819547</v>
          </cell>
          <cell r="U18">
            <v>154891</v>
          </cell>
          <cell r="V18">
            <v>1070534</v>
          </cell>
          <cell r="W18">
            <v>150831</v>
          </cell>
          <cell r="X18">
            <v>255407</v>
          </cell>
          <cell r="Y18">
            <v>1309837</v>
          </cell>
          <cell r="Z18">
            <v>1811834</v>
          </cell>
          <cell r="AA18">
            <v>75100</v>
          </cell>
          <cell r="AB18">
            <v>0</v>
          </cell>
          <cell r="AC18">
            <v>6978700</v>
          </cell>
          <cell r="AD18">
            <v>7339192</v>
          </cell>
          <cell r="AE18">
            <v>11288495</v>
          </cell>
          <cell r="AF18">
            <v>14158455</v>
          </cell>
          <cell r="AG18">
            <v>19389997</v>
          </cell>
          <cell r="AH18">
            <v>16819119</v>
          </cell>
          <cell r="AI18">
            <v>15901109</v>
          </cell>
          <cell r="AJ18">
            <v>23386378</v>
          </cell>
          <cell r="AK18">
            <v>19744738</v>
          </cell>
          <cell r="AL18">
            <v>27539852</v>
          </cell>
          <cell r="AM18">
            <v>0</v>
          </cell>
          <cell r="AN18">
            <v>0</v>
          </cell>
          <cell r="AO18">
            <v>2333700</v>
          </cell>
          <cell r="AP18">
            <v>4908400</v>
          </cell>
          <cell r="AQ18">
            <v>7046866</v>
          </cell>
          <cell r="AR18">
            <v>4721230</v>
          </cell>
          <cell r="AS18">
            <v>4098529</v>
          </cell>
          <cell r="AT18">
            <v>5882868</v>
          </cell>
          <cell r="AU18">
            <v>4960771</v>
          </cell>
          <cell r="AV18">
            <v>6884968</v>
          </cell>
          <cell r="AW18">
            <v>0</v>
          </cell>
          <cell r="AX18">
            <v>0</v>
          </cell>
          <cell r="AY18">
            <v>1503100</v>
          </cell>
          <cell r="AZ18">
            <v>1526850</v>
          </cell>
          <cell r="BA18">
            <v>2569392</v>
          </cell>
          <cell r="BB18">
            <v>1079220</v>
          </cell>
          <cell r="BC18">
            <v>1554431</v>
          </cell>
          <cell r="BD18">
            <v>1309837</v>
          </cell>
          <cell r="BE18">
            <v>1811834</v>
          </cell>
          <cell r="BF18">
            <v>0</v>
          </cell>
          <cell r="BG18">
            <v>0</v>
          </cell>
          <cell r="BH18">
            <v>4274650</v>
          </cell>
          <cell r="BI18">
            <v>9417000</v>
          </cell>
        </row>
        <row r="19">
          <cell r="A19" t="str">
            <v>Kings</v>
          </cell>
          <cell r="B19">
            <v>0</v>
          </cell>
          <cell r="C19">
            <v>0</v>
          </cell>
          <cell r="D19">
            <v>0</v>
          </cell>
          <cell r="E19">
            <v>0</v>
          </cell>
          <cell r="F19">
            <v>0</v>
          </cell>
          <cell r="G19">
            <v>0</v>
          </cell>
          <cell r="H19">
            <v>0</v>
          </cell>
          <cell r="I19">
            <v>0</v>
          </cell>
          <cell r="J19">
            <v>0</v>
          </cell>
          <cell r="K19">
            <v>0</v>
          </cell>
          <cell r="L19">
            <v>328439</v>
          </cell>
          <cell r="M19">
            <v>212992</v>
          </cell>
          <cell r="N19">
            <v>36049</v>
          </cell>
          <cell r="O19">
            <v>0</v>
          </cell>
          <cell r="P19">
            <v>0</v>
          </cell>
          <cell r="Q19">
            <v>0</v>
          </cell>
          <cell r="R19">
            <v>0</v>
          </cell>
          <cell r="S19">
            <v>0</v>
          </cell>
          <cell r="T19">
            <v>143361</v>
          </cell>
          <cell r="U19">
            <v>70677</v>
          </cell>
          <cell r="V19">
            <v>309679</v>
          </cell>
          <cell r="W19">
            <v>18767</v>
          </cell>
          <cell r="X19">
            <v>142309</v>
          </cell>
          <cell r="Y19">
            <v>69688</v>
          </cell>
          <cell r="Z19">
            <v>160217</v>
          </cell>
          <cell r="AA19">
            <v>0</v>
          </cell>
          <cell r="AB19">
            <v>1087498</v>
          </cell>
          <cell r="AC19">
            <v>1496500</v>
          </cell>
          <cell r="AD19">
            <v>1524576</v>
          </cell>
          <cell r="AE19">
            <v>2485128</v>
          </cell>
          <cell r="AF19">
            <v>2962865</v>
          </cell>
          <cell r="AG19">
            <v>3946559</v>
          </cell>
          <cell r="AH19">
            <v>3436331</v>
          </cell>
          <cell r="AI19">
            <v>3267444</v>
          </cell>
          <cell r="AJ19">
            <v>4645169</v>
          </cell>
          <cell r="AK19">
            <v>3918317</v>
          </cell>
          <cell r="AL19">
            <v>5448154</v>
          </cell>
          <cell r="AM19">
            <v>0</v>
          </cell>
          <cell r="AN19">
            <v>0</v>
          </cell>
          <cell r="AO19">
            <v>417300</v>
          </cell>
          <cell r="AP19">
            <v>874931</v>
          </cell>
          <cell r="AQ19">
            <v>1240715</v>
          </cell>
          <cell r="AR19">
            <v>841378</v>
          </cell>
          <cell r="AS19">
            <v>738588</v>
          </cell>
          <cell r="AT19">
            <v>1166077</v>
          </cell>
          <cell r="AU19">
            <v>981041</v>
          </cell>
          <cell r="AV19">
            <v>1362409</v>
          </cell>
          <cell r="AW19">
            <v>0</v>
          </cell>
          <cell r="AX19">
            <v>0</v>
          </cell>
          <cell r="AY19">
            <v>298300</v>
          </cell>
          <cell r="AZ19">
            <v>301743</v>
          </cell>
          <cell r="BA19">
            <v>501305</v>
          </cell>
          <cell r="BB19">
            <v>216716</v>
          </cell>
          <cell r="BC19">
            <v>310581</v>
          </cell>
          <cell r="BD19">
            <v>261863</v>
          </cell>
          <cell r="BE19">
            <v>363973</v>
          </cell>
          <cell r="BF19">
            <v>0</v>
          </cell>
          <cell r="BG19">
            <v>0</v>
          </cell>
          <cell r="BH19">
            <v>756010</v>
          </cell>
          <cell r="BI19">
            <v>1648400</v>
          </cell>
        </row>
        <row r="20">
          <cell r="A20" t="str">
            <v>Lake</v>
          </cell>
          <cell r="B20">
            <v>0</v>
          </cell>
          <cell r="C20">
            <v>0</v>
          </cell>
          <cell r="D20">
            <v>0</v>
          </cell>
          <cell r="E20">
            <v>0</v>
          </cell>
          <cell r="F20">
            <v>0</v>
          </cell>
          <cell r="G20">
            <v>0</v>
          </cell>
          <cell r="H20">
            <v>0</v>
          </cell>
          <cell r="I20">
            <v>0</v>
          </cell>
          <cell r="J20">
            <v>1417585</v>
          </cell>
          <cell r="K20">
            <v>2671223</v>
          </cell>
          <cell r="L20">
            <v>124944</v>
          </cell>
          <cell r="M20">
            <v>0</v>
          </cell>
          <cell r="N20">
            <v>244986</v>
          </cell>
          <cell r="O20">
            <v>83304</v>
          </cell>
          <cell r="P20">
            <v>0</v>
          </cell>
          <cell r="Q20">
            <v>271388</v>
          </cell>
          <cell r="R20">
            <v>479320</v>
          </cell>
          <cell r="S20">
            <v>667806</v>
          </cell>
          <cell r="T20">
            <v>150000</v>
          </cell>
          <cell r="U20">
            <v>0</v>
          </cell>
          <cell r="V20">
            <v>0</v>
          </cell>
          <cell r="W20">
            <v>0</v>
          </cell>
          <cell r="X20">
            <v>63517</v>
          </cell>
          <cell r="Y20">
            <v>126137</v>
          </cell>
          <cell r="Z20">
            <v>175738</v>
          </cell>
          <cell r="AA20">
            <v>292694</v>
          </cell>
          <cell r="AB20">
            <v>449135</v>
          </cell>
          <cell r="AC20">
            <v>752500</v>
          </cell>
          <cell r="AD20">
            <v>790931</v>
          </cell>
          <cell r="AE20">
            <v>1232028</v>
          </cell>
          <cell r="AF20">
            <v>1632927</v>
          </cell>
          <cell r="AG20">
            <v>1996185</v>
          </cell>
          <cell r="AH20">
            <v>1733952</v>
          </cell>
          <cell r="AI20">
            <v>1643693</v>
          </cell>
          <cell r="AJ20">
            <v>2270955</v>
          </cell>
          <cell r="AK20">
            <v>1917281</v>
          </cell>
          <cell r="AL20">
            <v>2671223</v>
          </cell>
          <cell r="AM20">
            <v>0</v>
          </cell>
          <cell r="AN20">
            <v>0</v>
          </cell>
          <cell r="AO20">
            <v>178400</v>
          </cell>
          <cell r="AP20">
            <v>368773</v>
          </cell>
          <cell r="AQ20">
            <v>515593</v>
          </cell>
          <cell r="AR20">
            <v>340545</v>
          </cell>
          <cell r="AS20">
            <v>296033</v>
          </cell>
          <cell r="AT20">
            <v>567739</v>
          </cell>
          <cell r="AU20">
            <v>479320</v>
          </cell>
          <cell r="AV20">
            <v>667806</v>
          </cell>
          <cell r="AW20">
            <v>0</v>
          </cell>
          <cell r="AX20">
            <v>0</v>
          </cell>
          <cell r="AY20">
            <v>150000</v>
          </cell>
          <cell r="AZ20">
            <v>150000</v>
          </cell>
          <cell r="BA20">
            <v>247118</v>
          </cell>
          <cell r="BB20">
            <v>107484</v>
          </cell>
          <cell r="BC20">
            <v>149405</v>
          </cell>
          <cell r="BD20">
            <v>126137</v>
          </cell>
          <cell r="BE20">
            <v>175738</v>
          </cell>
          <cell r="BF20">
            <v>0</v>
          </cell>
          <cell r="BG20">
            <v>0</v>
          </cell>
          <cell r="BH20">
            <v>450402</v>
          </cell>
          <cell r="BI20">
            <v>788500</v>
          </cell>
        </row>
        <row r="21">
          <cell r="A21" t="str">
            <v>Lassen</v>
          </cell>
          <cell r="B21">
            <v>0</v>
          </cell>
          <cell r="C21">
            <v>0</v>
          </cell>
          <cell r="D21">
            <v>0</v>
          </cell>
          <cell r="E21">
            <v>0</v>
          </cell>
          <cell r="F21">
            <v>0</v>
          </cell>
          <cell r="G21">
            <v>0</v>
          </cell>
          <cell r="H21">
            <v>0</v>
          </cell>
          <cell r="I21">
            <v>0</v>
          </cell>
          <cell r="J21">
            <v>0</v>
          </cell>
          <cell r="K21">
            <v>0</v>
          </cell>
          <cell r="L21">
            <v>0</v>
          </cell>
          <cell r="M21">
            <v>0</v>
          </cell>
          <cell r="N21">
            <v>113353</v>
          </cell>
          <cell r="O21">
            <v>124124</v>
          </cell>
          <cell r="P21">
            <v>0</v>
          </cell>
          <cell r="Q21">
            <v>162840</v>
          </cell>
          <cell r="R21">
            <v>180858</v>
          </cell>
          <cell r="S21">
            <v>504038</v>
          </cell>
          <cell r="T21">
            <v>108200</v>
          </cell>
          <cell r="U21">
            <v>90243</v>
          </cell>
          <cell r="V21">
            <v>145336</v>
          </cell>
          <cell r="W21">
            <v>10648</v>
          </cell>
          <cell r="X21">
            <v>25931</v>
          </cell>
          <cell r="Y21">
            <v>0</v>
          </cell>
          <cell r="Z21">
            <v>0</v>
          </cell>
          <cell r="AA21">
            <v>0</v>
          </cell>
          <cell r="AB21">
            <v>0</v>
          </cell>
          <cell r="AC21">
            <v>474700</v>
          </cell>
          <cell r="AD21">
            <v>511148</v>
          </cell>
          <cell r="AE21">
            <v>812696</v>
          </cell>
          <cell r="AF21">
            <v>1263302</v>
          </cell>
          <cell r="AG21">
            <v>1585100</v>
          </cell>
          <cell r="AH21">
            <v>1376450</v>
          </cell>
          <cell r="AI21">
            <v>1300300</v>
          </cell>
          <cell r="AJ21">
            <v>1709853</v>
          </cell>
          <cell r="AK21">
            <v>1443983</v>
          </cell>
          <cell r="AL21">
            <v>2013930</v>
          </cell>
          <cell r="AM21">
            <v>0</v>
          </cell>
          <cell r="AN21">
            <v>0</v>
          </cell>
          <cell r="AO21">
            <v>100000</v>
          </cell>
          <cell r="AP21">
            <v>160700</v>
          </cell>
          <cell r="AQ21">
            <v>261919</v>
          </cell>
          <cell r="AR21">
            <v>172600</v>
          </cell>
          <cell r="AS21">
            <v>149121</v>
          </cell>
          <cell r="AT21">
            <v>427463</v>
          </cell>
          <cell r="AU21">
            <v>361441</v>
          </cell>
          <cell r="AV21">
            <v>504038</v>
          </cell>
          <cell r="AW21">
            <v>0</v>
          </cell>
          <cell r="AX21">
            <v>0</v>
          </cell>
          <cell r="AY21">
            <v>108200</v>
          </cell>
          <cell r="AZ21">
            <v>108200</v>
          </cell>
          <cell r="BA21">
            <v>185250</v>
          </cell>
          <cell r="BB21">
            <v>78400</v>
          </cell>
          <cell r="BC21">
            <v>112490</v>
          </cell>
          <cell r="BD21">
            <v>95571</v>
          </cell>
          <cell r="BE21">
            <v>133419</v>
          </cell>
          <cell r="BF21">
            <v>0</v>
          </cell>
          <cell r="BG21">
            <v>0</v>
          </cell>
          <cell r="BH21">
            <v>450000</v>
          </cell>
          <cell r="BI21">
            <v>788500</v>
          </cell>
        </row>
        <row r="22">
          <cell r="A22" t="str">
            <v>Los Angeles</v>
          </cell>
          <cell r="B22">
            <v>0</v>
          </cell>
          <cell r="C22">
            <v>0</v>
          </cell>
          <cell r="D22">
            <v>0</v>
          </cell>
          <cell r="E22">
            <v>0</v>
          </cell>
          <cell r="F22">
            <v>0</v>
          </cell>
          <cell r="G22">
            <v>0</v>
          </cell>
          <cell r="H22">
            <v>0</v>
          </cell>
          <cell r="I22">
            <v>0</v>
          </cell>
          <cell r="J22">
            <v>0</v>
          </cell>
          <cell r="K22">
            <v>0</v>
          </cell>
          <cell r="L22">
            <v>0</v>
          </cell>
          <cell r="M22">
            <v>8967758</v>
          </cell>
          <cell r="N22">
            <v>24243751</v>
          </cell>
          <cell r="O22">
            <v>0</v>
          </cell>
          <cell r="P22">
            <v>0</v>
          </cell>
          <cell r="Q22">
            <v>0</v>
          </cell>
          <cell r="R22">
            <v>783856</v>
          </cell>
          <cell r="S22">
            <v>93264945</v>
          </cell>
          <cell r="T22">
            <v>18494946</v>
          </cell>
          <cell r="U22">
            <v>15743680</v>
          </cell>
          <cell r="V22">
            <v>14841279</v>
          </cell>
          <cell r="W22">
            <v>0</v>
          </cell>
          <cell r="X22">
            <v>0</v>
          </cell>
          <cell r="Y22">
            <v>6879705</v>
          </cell>
          <cell r="Z22">
            <v>24881480</v>
          </cell>
          <cell r="AA22">
            <v>22409879</v>
          </cell>
          <cell r="AB22">
            <v>10752635</v>
          </cell>
          <cell r="AC22">
            <v>89792800</v>
          </cell>
          <cell r="AD22">
            <v>97516515</v>
          </cell>
          <cell r="AE22">
            <v>151752590</v>
          </cell>
          <cell r="AF22">
            <v>186501690</v>
          </cell>
          <cell r="AG22">
            <v>257757480</v>
          </cell>
          <cell r="AH22">
            <v>224405573</v>
          </cell>
          <cell r="AI22">
            <v>211938025</v>
          </cell>
          <cell r="AJ22">
            <v>315033123</v>
          </cell>
          <cell r="AK22">
            <v>266412331</v>
          </cell>
          <cell r="AL22">
            <v>371303512</v>
          </cell>
          <cell r="AM22">
            <v>0</v>
          </cell>
          <cell r="AN22">
            <v>0</v>
          </cell>
          <cell r="AO22">
            <v>34001800</v>
          </cell>
          <cell r="AP22">
            <v>70594700</v>
          </cell>
          <cell r="AQ22">
            <v>100774089</v>
          </cell>
          <cell r="AR22">
            <v>67352369</v>
          </cell>
          <cell r="AS22">
            <v>58219826</v>
          </cell>
          <cell r="AT22">
            <v>79435435</v>
          </cell>
          <cell r="AU22">
            <v>67110764</v>
          </cell>
          <cell r="AV22">
            <v>93264945</v>
          </cell>
          <cell r="AW22">
            <v>0</v>
          </cell>
          <cell r="AX22">
            <v>0</v>
          </cell>
          <cell r="AY22">
            <v>20294900</v>
          </cell>
          <cell r="AZ22">
            <v>20609594</v>
          </cell>
          <cell r="BA22">
            <v>34840618</v>
          </cell>
          <cell r="BB22">
            <v>14644664</v>
          </cell>
          <cell r="BC22">
            <v>21197538</v>
          </cell>
          <cell r="BD22">
            <v>17982430</v>
          </cell>
          <cell r="BE22">
            <v>24881480</v>
          </cell>
          <cell r="BF22">
            <v>0</v>
          </cell>
          <cell r="BG22">
            <v>0</v>
          </cell>
          <cell r="BH22">
            <v>60219610</v>
          </cell>
          <cell r="BI22">
            <v>131007000</v>
          </cell>
        </row>
        <row r="23">
          <cell r="A23" t="str">
            <v>Madera</v>
          </cell>
          <cell r="B23">
            <v>0</v>
          </cell>
          <cell r="C23">
            <v>0</v>
          </cell>
          <cell r="D23">
            <v>0</v>
          </cell>
          <cell r="E23">
            <v>0</v>
          </cell>
          <cell r="F23">
            <v>0</v>
          </cell>
          <cell r="G23">
            <v>0</v>
          </cell>
          <cell r="H23">
            <v>0</v>
          </cell>
          <cell r="I23">
            <v>0</v>
          </cell>
          <cell r="J23">
            <v>0</v>
          </cell>
          <cell r="K23">
            <v>3679235</v>
          </cell>
          <cell r="L23">
            <v>0</v>
          </cell>
          <cell r="M23">
            <v>0</v>
          </cell>
          <cell r="N23">
            <v>0</v>
          </cell>
          <cell r="O23">
            <v>0</v>
          </cell>
          <cell r="P23">
            <v>0</v>
          </cell>
          <cell r="Q23">
            <v>0</v>
          </cell>
          <cell r="R23">
            <v>0</v>
          </cell>
          <cell r="S23">
            <v>1038134</v>
          </cell>
          <cell r="T23">
            <v>0</v>
          </cell>
          <cell r="U23">
            <v>0</v>
          </cell>
          <cell r="V23">
            <v>0</v>
          </cell>
          <cell r="W23">
            <v>0</v>
          </cell>
          <cell r="X23">
            <v>0</v>
          </cell>
          <cell r="Y23">
            <v>0</v>
          </cell>
          <cell r="Z23">
            <v>0</v>
          </cell>
          <cell r="AA23">
            <v>0</v>
          </cell>
          <cell r="AB23">
            <v>0</v>
          </cell>
          <cell r="AC23">
            <v>1499500</v>
          </cell>
          <cell r="AD23">
            <v>1587218</v>
          </cell>
          <cell r="AE23">
            <v>2921846</v>
          </cell>
          <cell r="AF23">
            <v>3060730</v>
          </cell>
          <cell r="AG23">
            <v>4091441</v>
          </cell>
          <cell r="AH23">
            <v>3595215</v>
          </cell>
          <cell r="AI23">
            <v>3351461</v>
          </cell>
          <cell r="AJ23">
            <v>4824347</v>
          </cell>
          <cell r="AK23">
            <v>4085785</v>
          </cell>
          <cell r="AL23">
            <v>5724715</v>
          </cell>
          <cell r="AM23">
            <v>0</v>
          </cell>
          <cell r="AN23">
            <v>0</v>
          </cell>
          <cell r="AO23">
            <v>438900</v>
          </cell>
          <cell r="AP23">
            <v>924900</v>
          </cell>
          <cell r="AQ23">
            <v>1322600</v>
          </cell>
          <cell r="AR23">
            <v>875000</v>
          </cell>
          <cell r="AS23">
            <v>753100</v>
          </cell>
          <cell r="AT23">
            <v>1200212</v>
          </cell>
          <cell r="AU23">
            <v>1013293</v>
          </cell>
          <cell r="AV23">
            <v>1411756</v>
          </cell>
          <cell r="AW23">
            <v>0</v>
          </cell>
          <cell r="AX23">
            <v>0</v>
          </cell>
          <cell r="AY23">
            <v>311100</v>
          </cell>
          <cell r="AZ23">
            <v>311100</v>
          </cell>
          <cell r="BA23">
            <v>522300</v>
          </cell>
          <cell r="BB23">
            <v>213200</v>
          </cell>
          <cell r="BC23">
            <v>315845</v>
          </cell>
          <cell r="BD23">
            <v>266656</v>
          </cell>
          <cell r="BE23">
            <v>371515</v>
          </cell>
          <cell r="BF23">
            <v>0</v>
          </cell>
          <cell r="BG23">
            <v>0</v>
          </cell>
          <cell r="BH23">
            <v>807620</v>
          </cell>
          <cell r="BI23">
            <v>1796800</v>
          </cell>
        </row>
        <row r="24">
          <cell r="A24" t="str">
            <v>Marin</v>
          </cell>
          <cell r="B24">
            <v>0</v>
          </cell>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378761</v>
          </cell>
          <cell r="U24">
            <v>402000</v>
          </cell>
          <cell r="V24">
            <v>688806</v>
          </cell>
          <cell r="W24">
            <v>0</v>
          </cell>
          <cell r="X24">
            <v>0</v>
          </cell>
          <cell r="Y24">
            <v>0</v>
          </cell>
          <cell r="Z24">
            <v>0</v>
          </cell>
          <cell r="AA24">
            <v>572910</v>
          </cell>
          <cell r="AB24">
            <v>1444673</v>
          </cell>
          <cell r="AC24">
            <v>1710400</v>
          </cell>
          <cell r="AD24">
            <v>1796983</v>
          </cell>
          <cell r="AE24">
            <v>4167881</v>
          </cell>
          <cell r="AF24">
            <v>3795105</v>
          </cell>
          <cell r="AG24">
            <v>5155165</v>
          </cell>
          <cell r="AH24">
            <v>4494838</v>
          </cell>
          <cell r="AI24">
            <v>4239541</v>
          </cell>
          <cell r="AJ24">
            <v>6235886</v>
          </cell>
          <cell r="AK24">
            <v>5266339</v>
          </cell>
          <cell r="AL24">
            <v>7343700</v>
          </cell>
          <cell r="AM24">
            <v>0</v>
          </cell>
          <cell r="AN24">
            <v>0</v>
          </cell>
          <cell r="AO24">
            <v>632800</v>
          </cell>
          <cell r="AP24">
            <v>1320800</v>
          </cell>
          <cell r="AQ24">
            <v>1888480</v>
          </cell>
          <cell r="AR24">
            <v>1256082</v>
          </cell>
          <cell r="AS24">
            <v>1073648</v>
          </cell>
          <cell r="AT24">
            <v>1558972</v>
          </cell>
          <cell r="AU24">
            <v>1316585</v>
          </cell>
          <cell r="AV24">
            <v>1835925</v>
          </cell>
          <cell r="AW24">
            <v>0</v>
          </cell>
          <cell r="AX24">
            <v>0</v>
          </cell>
          <cell r="AY24">
            <v>402000</v>
          </cell>
          <cell r="AZ24">
            <v>402000</v>
          </cell>
          <cell r="BA24">
            <v>688806</v>
          </cell>
          <cell r="BB24">
            <v>279864</v>
          </cell>
          <cell r="BC24">
            <v>410256</v>
          </cell>
          <cell r="BD24">
            <v>346470</v>
          </cell>
          <cell r="BE24">
            <v>483138</v>
          </cell>
          <cell r="BF24">
            <v>0</v>
          </cell>
          <cell r="BG24">
            <v>0</v>
          </cell>
          <cell r="BH24">
            <v>1133180</v>
          </cell>
          <cell r="BI24">
            <v>2489000</v>
          </cell>
        </row>
        <row r="25">
          <cell r="A25" t="str">
            <v>Mariposa</v>
          </cell>
          <cell r="B25">
            <v>0</v>
          </cell>
          <cell r="C25">
            <v>0</v>
          </cell>
          <cell r="D25">
            <v>0</v>
          </cell>
          <cell r="E25">
            <v>0</v>
          </cell>
          <cell r="F25">
            <v>0</v>
          </cell>
          <cell r="G25">
            <v>0</v>
          </cell>
          <cell r="H25">
            <v>0</v>
          </cell>
          <cell r="I25">
            <v>0</v>
          </cell>
          <cell r="J25">
            <v>0</v>
          </cell>
          <cell r="K25">
            <v>0</v>
          </cell>
          <cell r="L25">
            <v>15531</v>
          </cell>
          <cell r="M25">
            <v>41637</v>
          </cell>
          <cell r="N25">
            <v>153547</v>
          </cell>
          <cell r="O25">
            <v>53292</v>
          </cell>
          <cell r="P25">
            <v>0</v>
          </cell>
          <cell r="Q25">
            <v>0</v>
          </cell>
          <cell r="R25">
            <v>0</v>
          </cell>
          <cell r="S25">
            <v>238707</v>
          </cell>
          <cell r="T25">
            <v>58827</v>
          </cell>
          <cell r="U25">
            <v>63552</v>
          </cell>
          <cell r="V25">
            <v>109367</v>
          </cell>
          <cell r="W25">
            <v>25693</v>
          </cell>
          <cell r="X25">
            <v>70595</v>
          </cell>
          <cell r="Y25">
            <v>0</v>
          </cell>
          <cell r="Z25">
            <v>61308</v>
          </cell>
          <cell r="AA25">
            <v>140760</v>
          </cell>
          <cell r="AB25">
            <v>0</v>
          </cell>
          <cell r="AC25">
            <v>377200</v>
          </cell>
          <cell r="AD25">
            <v>396733</v>
          </cell>
          <cell r="AE25">
            <v>527958</v>
          </cell>
          <cell r="AF25">
            <v>793675</v>
          </cell>
          <cell r="AG25">
            <v>1045537</v>
          </cell>
          <cell r="AH25">
            <v>919147</v>
          </cell>
          <cell r="AI25">
            <v>858500</v>
          </cell>
          <cell r="AJ25">
            <v>1166536</v>
          </cell>
          <cell r="AK25">
            <v>984862</v>
          </cell>
          <cell r="AL25">
            <v>1372145</v>
          </cell>
          <cell r="AM25">
            <v>0</v>
          </cell>
          <cell r="AN25">
            <v>0</v>
          </cell>
          <cell r="AO25">
            <v>100000</v>
          </cell>
          <cell r="AP25">
            <v>127544</v>
          </cell>
          <cell r="AQ25">
            <v>227200</v>
          </cell>
          <cell r="AR25">
            <v>153223</v>
          </cell>
          <cell r="AS25">
            <v>128747</v>
          </cell>
          <cell r="AT25">
            <v>291634</v>
          </cell>
          <cell r="AU25">
            <v>245999</v>
          </cell>
          <cell r="AV25">
            <v>344787</v>
          </cell>
          <cell r="AW25">
            <v>0</v>
          </cell>
          <cell r="AX25">
            <v>0</v>
          </cell>
          <cell r="AY25">
            <v>73428</v>
          </cell>
          <cell r="AZ25">
            <v>73449</v>
          </cell>
          <cell r="BA25">
            <v>128600</v>
          </cell>
          <cell r="BB25">
            <v>51956</v>
          </cell>
          <cell r="BC25">
            <v>76746</v>
          </cell>
          <cell r="BD25">
            <v>64683</v>
          </cell>
          <cell r="BE25">
            <v>91150</v>
          </cell>
          <cell r="BF25">
            <v>0</v>
          </cell>
          <cell r="BG25">
            <v>0</v>
          </cell>
          <cell r="BH25">
            <v>450000</v>
          </cell>
          <cell r="BI25">
            <v>788500</v>
          </cell>
        </row>
        <row r="26">
          <cell r="A26" t="str">
            <v>Mendocino</v>
          </cell>
          <cell r="B26">
            <v>0</v>
          </cell>
          <cell r="C26">
            <v>0</v>
          </cell>
          <cell r="D26">
            <v>0</v>
          </cell>
          <cell r="E26">
            <v>0</v>
          </cell>
          <cell r="F26">
            <v>0</v>
          </cell>
          <cell r="G26">
            <v>0</v>
          </cell>
          <cell r="H26">
            <v>0</v>
          </cell>
          <cell r="I26">
            <v>0</v>
          </cell>
          <cell r="J26">
            <v>0</v>
          </cell>
          <cell r="K26">
            <v>0</v>
          </cell>
          <cell r="L26">
            <v>120793</v>
          </cell>
          <cell r="M26">
            <v>343482</v>
          </cell>
          <cell r="N26">
            <v>215201</v>
          </cell>
          <cell r="O26">
            <v>0</v>
          </cell>
          <cell r="P26">
            <v>0</v>
          </cell>
          <cell r="Q26">
            <v>0</v>
          </cell>
          <cell r="R26">
            <v>0</v>
          </cell>
          <cell r="S26">
            <v>153069</v>
          </cell>
          <cell r="T26">
            <v>181400</v>
          </cell>
          <cell r="U26">
            <v>181400</v>
          </cell>
          <cell r="V26">
            <v>301826</v>
          </cell>
          <cell r="W26">
            <v>75870</v>
          </cell>
          <cell r="X26">
            <v>154070</v>
          </cell>
          <cell r="Y26">
            <v>135652</v>
          </cell>
          <cell r="Z26">
            <v>215586</v>
          </cell>
          <cell r="AA26">
            <v>306546</v>
          </cell>
          <cell r="AB26">
            <v>584017</v>
          </cell>
          <cell r="AC26">
            <v>917500</v>
          </cell>
          <cell r="AD26">
            <v>926687</v>
          </cell>
          <cell r="AE26">
            <v>1919243</v>
          </cell>
          <cell r="AF26">
            <v>1860062</v>
          </cell>
          <cell r="AG26">
            <v>2367584</v>
          </cell>
          <cell r="AH26">
            <v>2061922</v>
          </cell>
          <cell r="AI26">
            <v>1945879</v>
          </cell>
          <cell r="AJ26">
            <v>2776235</v>
          </cell>
          <cell r="AK26">
            <v>2342108</v>
          </cell>
          <cell r="AL26">
            <v>3254807</v>
          </cell>
          <cell r="AM26">
            <v>0</v>
          </cell>
          <cell r="AN26">
            <v>0</v>
          </cell>
          <cell r="AO26">
            <v>244700</v>
          </cell>
          <cell r="AP26">
            <v>505600</v>
          </cell>
          <cell r="AQ26">
            <v>704700</v>
          </cell>
          <cell r="AR26">
            <v>466344</v>
          </cell>
          <cell r="AS26">
            <v>403826</v>
          </cell>
          <cell r="AT26">
            <v>697380</v>
          </cell>
          <cell r="AU26">
            <v>588189</v>
          </cell>
          <cell r="AV26">
            <v>815388</v>
          </cell>
          <cell r="AW26">
            <v>0</v>
          </cell>
          <cell r="AX26">
            <v>0</v>
          </cell>
          <cell r="AY26">
            <v>181400</v>
          </cell>
          <cell r="AZ26">
            <v>181400</v>
          </cell>
          <cell r="BA26">
            <v>301826</v>
          </cell>
          <cell r="BB26">
            <v>123961</v>
          </cell>
          <cell r="BC26">
            <v>185209</v>
          </cell>
          <cell r="BD26">
            <v>156526</v>
          </cell>
          <cell r="BE26">
            <v>215586</v>
          </cell>
          <cell r="BF26">
            <v>0</v>
          </cell>
          <cell r="BG26">
            <v>0</v>
          </cell>
          <cell r="BH26">
            <v>450000</v>
          </cell>
          <cell r="BI26">
            <v>925900</v>
          </cell>
        </row>
        <row r="27">
          <cell r="A27" t="str">
            <v>Merced</v>
          </cell>
          <cell r="B27">
            <v>0</v>
          </cell>
          <cell r="C27">
            <v>0</v>
          </cell>
          <cell r="D27">
            <v>0</v>
          </cell>
          <cell r="E27">
            <v>0</v>
          </cell>
          <cell r="F27">
            <v>0</v>
          </cell>
          <cell r="G27">
            <v>0</v>
          </cell>
          <cell r="H27">
            <v>0</v>
          </cell>
          <cell r="I27">
            <v>0</v>
          </cell>
          <cell r="J27">
            <v>0</v>
          </cell>
          <cell r="K27">
            <v>0</v>
          </cell>
          <cell r="L27">
            <v>0</v>
          </cell>
          <cell r="M27">
            <v>818242</v>
          </cell>
          <cell r="N27">
            <v>913671</v>
          </cell>
          <cell r="O27">
            <v>360974</v>
          </cell>
          <cell r="P27">
            <v>89934</v>
          </cell>
          <cell r="Q27">
            <v>41650</v>
          </cell>
          <cell r="R27">
            <v>0</v>
          </cell>
          <cell r="S27">
            <v>0</v>
          </cell>
          <cell r="T27">
            <v>498633</v>
          </cell>
          <cell r="U27">
            <v>384750</v>
          </cell>
          <cell r="V27">
            <v>375875</v>
          </cell>
          <cell r="W27">
            <v>0</v>
          </cell>
          <cell r="X27">
            <v>181219</v>
          </cell>
          <cell r="Y27">
            <v>325208</v>
          </cell>
          <cell r="Z27">
            <v>621905</v>
          </cell>
          <cell r="AA27">
            <v>20569</v>
          </cell>
          <cell r="AB27">
            <v>0</v>
          </cell>
          <cell r="AC27">
            <v>2509000</v>
          </cell>
          <cell r="AD27">
            <v>2555412</v>
          </cell>
          <cell r="AE27">
            <v>4149253</v>
          </cell>
          <cell r="AF27">
            <v>5083094</v>
          </cell>
          <cell r="AG27">
            <v>6815281</v>
          </cell>
          <cell r="AH27">
            <v>5893520</v>
          </cell>
          <cell r="AI27">
            <v>5554930</v>
          </cell>
          <cell r="AJ27">
            <v>8115304</v>
          </cell>
          <cell r="AK27">
            <v>6885640</v>
          </cell>
          <cell r="AL27">
            <v>9603914</v>
          </cell>
          <cell r="AM27">
            <v>0</v>
          </cell>
          <cell r="AN27">
            <v>0</v>
          </cell>
          <cell r="AO27">
            <v>769500</v>
          </cell>
          <cell r="AP27">
            <v>1634591</v>
          </cell>
          <cell r="AQ27">
            <v>2312099</v>
          </cell>
          <cell r="AR27">
            <v>1529404</v>
          </cell>
          <cell r="AS27">
            <v>1316651</v>
          </cell>
          <cell r="AT27">
            <v>2027718</v>
          </cell>
          <cell r="AU27">
            <v>1720837</v>
          </cell>
          <cell r="AV27">
            <v>2400772</v>
          </cell>
          <cell r="AW27">
            <v>0</v>
          </cell>
          <cell r="AX27">
            <v>0</v>
          </cell>
          <cell r="AY27">
            <v>525391</v>
          </cell>
          <cell r="AZ27">
            <v>525568</v>
          </cell>
          <cell r="BA27">
            <v>880350</v>
          </cell>
          <cell r="BB27">
            <v>359093</v>
          </cell>
          <cell r="BC27">
            <v>533610</v>
          </cell>
          <cell r="BD27">
            <v>452852</v>
          </cell>
          <cell r="BE27">
            <v>631782</v>
          </cell>
          <cell r="BF27">
            <v>0</v>
          </cell>
          <cell r="BG27">
            <v>0</v>
          </cell>
          <cell r="BH27">
            <v>1412020</v>
          </cell>
          <cell r="BI27">
            <v>3137228</v>
          </cell>
        </row>
        <row r="28">
          <cell r="A28" t="str">
            <v>Modoc</v>
          </cell>
          <cell r="B28">
            <v>0</v>
          </cell>
          <cell r="C28">
            <v>0</v>
          </cell>
          <cell r="D28">
            <v>0</v>
          </cell>
          <cell r="E28">
            <v>0</v>
          </cell>
          <cell r="F28">
            <v>0</v>
          </cell>
          <cell r="G28">
            <v>0</v>
          </cell>
          <cell r="H28">
            <v>0</v>
          </cell>
          <cell r="I28">
            <v>0</v>
          </cell>
          <cell r="J28">
            <v>0</v>
          </cell>
          <cell r="K28">
            <v>0</v>
          </cell>
          <cell r="L28">
            <v>4794</v>
          </cell>
          <cell r="M28">
            <v>0</v>
          </cell>
          <cell r="N28">
            <v>0</v>
          </cell>
          <cell r="O28">
            <v>24317</v>
          </cell>
          <cell r="P28">
            <v>0</v>
          </cell>
          <cell r="Q28">
            <v>177136</v>
          </cell>
          <cell r="R28">
            <v>65710</v>
          </cell>
          <cell r="S28">
            <v>321975</v>
          </cell>
          <cell r="T28">
            <v>60102</v>
          </cell>
          <cell r="U28">
            <v>0</v>
          </cell>
          <cell r="V28">
            <v>0</v>
          </cell>
          <cell r="W28">
            <v>0</v>
          </cell>
          <cell r="X28">
            <v>0</v>
          </cell>
          <cell r="Y28">
            <v>14510</v>
          </cell>
          <cell r="Z28">
            <v>84527</v>
          </cell>
          <cell r="AA28">
            <v>125629</v>
          </cell>
          <cell r="AB28">
            <v>697845</v>
          </cell>
          <cell r="AC28">
            <v>318700</v>
          </cell>
          <cell r="AD28">
            <v>322273</v>
          </cell>
          <cell r="AE28">
            <v>541086</v>
          </cell>
          <cell r="AF28">
            <v>719406</v>
          </cell>
          <cell r="AG28">
            <v>968258</v>
          </cell>
          <cell r="AH28">
            <v>841152</v>
          </cell>
          <cell r="AI28">
            <v>796977</v>
          </cell>
          <cell r="AJ28">
            <v>1090047</v>
          </cell>
          <cell r="AK28">
            <v>919458</v>
          </cell>
          <cell r="AL28">
            <v>1281023</v>
          </cell>
          <cell r="AM28">
            <v>0</v>
          </cell>
          <cell r="AN28">
            <v>0</v>
          </cell>
          <cell r="AO28">
            <v>100000</v>
          </cell>
          <cell r="AP28">
            <v>126200</v>
          </cell>
          <cell r="AQ28">
            <v>227825</v>
          </cell>
          <cell r="AR28">
            <v>149251</v>
          </cell>
          <cell r="AS28">
            <v>128342</v>
          </cell>
          <cell r="AT28">
            <v>272512</v>
          </cell>
          <cell r="AU28">
            <v>231023</v>
          </cell>
          <cell r="AV28">
            <v>321975</v>
          </cell>
          <cell r="AW28">
            <v>0</v>
          </cell>
          <cell r="AX28">
            <v>0</v>
          </cell>
          <cell r="AY28">
            <v>68000</v>
          </cell>
          <cell r="AZ28">
            <v>68000</v>
          </cell>
          <cell r="BA28">
            <v>118251</v>
          </cell>
          <cell r="BB28">
            <v>48581</v>
          </cell>
          <cell r="BC28">
            <v>71714</v>
          </cell>
          <cell r="BD28">
            <v>60757</v>
          </cell>
          <cell r="BE28">
            <v>84527</v>
          </cell>
          <cell r="BF28">
            <v>0</v>
          </cell>
          <cell r="BG28">
            <v>0</v>
          </cell>
          <cell r="BH28">
            <v>450000</v>
          </cell>
          <cell r="BI28">
            <v>788500</v>
          </cell>
        </row>
        <row r="29">
          <cell r="A29" t="str">
            <v>Mono</v>
          </cell>
          <cell r="B29">
            <v>0</v>
          </cell>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74710</v>
          </cell>
          <cell r="S29">
            <v>339597</v>
          </cell>
          <cell r="T29">
            <v>0</v>
          </cell>
          <cell r="U29">
            <v>3889</v>
          </cell>
          <cell r="V29">
            <v>81199</v>
          </cell>
          <cell r="W29">
            <v>0</v>
          </cell>
          <cell r="X29">
            <v>0</v>
          </cell>
          <cell r="Y29">
            <v>0</v>
          </cell>
          <cell r="Z29">
            <v>84935</v>
          </cell>
          <cell r="AA29">
            <v>66709</v>
          </cell>
          <cell r="AB29">
            <v>306021</v>
          </cell>
          <cell r="AC29">
            <v>353200</v>
          </cell>
          <cell r="AD29">
            <v>371777</v>
          </cell>
          <cell r="AE29">
            <v>489904</v>
          </cell>
          <cell r="AF29">
            <v>788517</v>
          </cell>
          <cell r="AG29">
            <v>1026450</v>
          </cell>
          <cell r="AH29">
            <v>893431</v>
          </cell>
          <cell r="AI29">
            <v>848944</v>
          </cell>
          <cell r="AJ29">
            <v>1134578</v>
          </cell>
          <cell r="AK29">
            <v>979055</v>
          </cell>
          <cell r="AL29">
            <v>1358390</v>
          </cell>
          <cell r="AM29">
            <v>0</v>
          </cell>
          <cell r="AN29">
            <v>0</v>
          </cell>
          <cell r="AO29">
            <v>100000</v>
          </cell>
          <cell r="AP29">
            <v>126700</v>
          </cell>
          <cell r="AQ29">
            <v>231245</v>
          </cell>
          <cell r="AR29">
            <v>149158</v>
          </cell>
          <cell r="AS29">
            <v>132920</v>
          </cell>
          <cell r="AT29">
            <v>283644</v>
          </cell>
          <cell r="AU29">
            <v>244763</v>
          </cell>
          <cell r="AV29">
            <v>339597</v>
          </cell>
          <cell r="AW29">
            <v>0</v>
          </cell>
          <cell r="AX29">
            <v>0</v>
          </cell>
          <cell r="AY29">
            <v>71200</v>
          </cell>
          <cell r="AZ29">
            <v>74844</v>
          </cell>
          <cell r="BA29">
            <v>123103</v>
          </cell>
          <cell r="BB29">
            <v>50400</v>
          </cell>
          <cell r="BC29">
            <v>74643</v>
          </cell>
          <cell r="BD29">
            <v>64411</v>
          </cell>
          <cell r="BE29">
            <v>89368</v>
          </cell>
          <cell r="BF29">
            <v>0</v>
          </cell>
          <cell r="BG29">
            <v>0</v>
          </cell>
          <cell r="BH29">
            <v>450000</v>
          </cell>
          <cell r="BI29">
            <v>788500</v>
          </cell>
        </row>
        <row r="30">
          <cell r="A30" t="str">
            <v>Monterey</v>
          </cell>
          <cell r="B30">
            <v>0</v>
          </cell>
          <cell r="C30">
            <v>0</v>
          </cell>
          <cell r="D30">
            <v>0</v>
          </cell>
          <cell r="E30">
            <v>0</v>
          </cell>
          <cell r="F30">
            <v>0</v>
          </cell>
          <cell r="G30">
            <v>0</v>
          </cell>
          <cell r="H30">
            <v>0</v>
          </cell>
          <cell r="I30">
            <v>0</v>
          </cell>
          <cell r="J30">
            <v>9363609</v>
          </cell>
          <cell r="K30">
            <v>15133819</v>
          </cell>
          <cell r="L30">
            <v>0</v>
          </cell>
          <cell r="M30">
            <v>0</v>
          </cell>
          <cell r="N30">
            <v>0</v>
          </cell>
          <cell r="O30">
            <v>0</v>
          </cell>
          <cell r="P30">
            <v>0</v>
          </cell>
          <cell r="Q30">
            <v>0</v>
          </cell>
          <cell r="R30">
            <v>489370</v>
          </cell>
          <cell r="S30">
            <v>3783455</v>
          </cell>
          <cell r="T30">
            <v>0</v>
          </cell>
          <cell r="U30">
            <v>0</v>
          </cell>
          <cell r="V30">
            <v>373737</v>
          </cell>
          <cell r="W30">
            <v>407256</v>
          </cell>
          <cell r="X30">
            <v>848073</v>
          </cell>
          <cell r="Y30">
            <v>715451</v>
          </cell>
          <cell r="Z30">
            <v>995646</v>
          </cell>
          <cell r="AA30">
            <v>0</v>
          </cell>
          <cell r="AB30">
            <v>208518</v>
          </cell>
          <cell r="AC30">
            <v>3846700</v>
          </cell>
          <cell r="AD30">
            <v>4090299</v>
          </cell>
          <cell r="AE30">
            <v>6010595</v>
          </cell>
          <cell r="AF30">
            <v>7751145</v>
          </cell>
          <cell r="AG30">
            <v>10640318</v>
          </cell>
          <cell r="AH30">
            <v>9227032</v>
          </cell>
          <cell r="AI30">
            <v>8737840</v>
          </cell>
          <cell r="AJ30">
            <v>12869284</v>
          </cell>
          <cell r="AK30">
            <v>10872939</v>
          </cell>
          <cell r="AL30">
            <v>15133819</v>
          </cell>
          <cell r="AM30">
            <v>0</v>
          </cell>
          <cell r="AN30">
            <v>0</v>
          </cell>
          <cell r="AO30">
            <v>1357702</v>
          </cell>
          <cell r="AP30">
            <v>2827848</v>
          </cell>
          <cell r="AQ30">
            <v>3943294</v>
          </cell>
          <cell r="AR30">
            <v>2597068</v>
          </cell>
          <cell r="AS30">
            <v>2239571</v>
          </cell>
          <cell r="AT30">
            <v>3220021</v>
          </cell>
          <cell r="AU30">
            <v>2718687</v>
          </cell>
          <cell r="AV30">
            <v>3783455</v>
          </cell>
          <cell r="AW30">
            <v>0</v>
          </cell>
          <cell r="AX30">
            <v>0</v>
          </cell>
          <cell r="AY30">
            <v>837797</v>
          </cell>
          <cell r="AZ30">
            <v>840154</v>
          </cell>
          <cell r="BA30">
            <v>1411712</v>
          </cell>
          <cell r="BB30">
            <v>580206</v>
          </cell>
          <cell r="BC30">
            <v>848073</v>
          </cell>
          <cell r="BD30">
            <v>715451</v>
          </cell>
          <cell r="BE30">
            <v>995646</v>
          </cell>
          <cell r="BF30">
            <v>0</v>
          </cell>
          <cell r="BG30">
            <v>0</v>
          </cell>
          <cell r="BH30">
            <v>2375866</v>
          </cell>
          <cell r="BI30">
            <v>5115207</v>
          </cell>
        </row>
        <row r="31">
          <cell r="A31" t="str">
            <v>Napa</v>
          </cell>
          <cell r="B31">
            <v>0</v>
          </cell>
          <cell r="C31">
            <v>0</v>
          </cell>
          <cell r="D31">
            <v>0</v>
          </cell>
          <cell r="E31">
            <v>0</v>
          </cell>
          <cell r="F31">
            <v>0</v>
          </cell>
          <cell r="G31">
            <v>0</v>
          </cell>
          <cell r="H31">
            <v>0</v>
          </cell>
          <cell r="I31">
            <v>0</v>
          </cell>
          <cell r="J31">
            <v>0</v>
          </cell>
          <cell r="K31">
            <v>304104</v>
          </cell>
          <cell r="L31">
            <v>0</v>
          </cell>
          <cell r="M31">
            <v>0</v>
          </cell>
          <cell r="N31">
            <v>0</v>
          </cell>
          <cell r="O31">
            <v>0</v>
          </cell>
          <cell r="P31">
            <v>0</v>
          </cell>
          <cell r="Q31">
            <v>0</v>
          </cell>
          <cell r="R31">
            <v>0</v>
          </cell>
          <cell r="S31">
            <v>145639</v>
          </cell>
          <cell r="T31">
            <v>191069</v>
          </cell>
          <cell r="U31">
            <v>236854</v>
          </cell>
          <cell r="V31">
            <v>350899</v>
          </cell>
          <cell r="W31">
            <v>0</v>
          </cell>
          <cell r="X31">
            <v>0</v>
          </cell>
          <cell r="Y31">
            <v>90518</v>
          </cell>
          <cell r="Z31">
            <v>286031</v>
          </cell>
          <cell r="AA31">
            <v>243285</v>
          </cell>
          <cell r="AB31">
            <v>246177</v>
          </cell>
          <cell r="AC31">
            <v>1125700</v>
          </cell>
          <cell r="AD31">
            <v>1189037</v>
          </cell>
          <cell r="AE31">
            <v>2093972</v>
          </cell>
          <cell r="AF31">
            <v>2379854</v>
          </cell>
          <cell r="AG31">
            <v>3120671</v>
          </cell>
          <cell r="AH31">
            <v>2719001</v>
          </cell>
          <cell r="AI31">
            <v>2572360</v>
          </cell>
          <cell r="AJ31">
            <v>3707952</v>
          </cell>
          <cell r="AK31">
            <v>3125193</v>
          </cell>
          <cell r="AL31">
            <v>4361098</v>
          </cell>
          <cell r="AM31">
            <v>0</v>
          </cell>
          <cell r="AN31">
            <v>0</v>
          </cell>
          <cell r="AO31">
            <v>346100</v>
          </cell>
          <cell r="AP31">
            <v>722614</v>
          </cell>
          <cell r="AQ31">
            <v>1020266</v>
          </cell>
          <cell r="AR31">
            <v>685425</v>
          </cell>
          <cell r="AS31">
            <v>592620</v>
          </cell>
          <cell r="AT31">
            <v>930451</v>
          </cell>
          <cell r="AU31">
            <v>786491</v>
          </cell>
          <cell r="AV31">
            <v>1091189</v>
          </cell>
          <cell r="AW31">
            <v>0</v>
          </cell>
          <cell r="AX31">
            <v>0</v>
          </cell>
          <cell r="AY31">
            <v>240500</v>
          </cell>
          <cell r="AZ31">
            <v>241385</v>
          </cell>
          <cell r="BA31">
            <v>407418</v>
          </cell>
          <cell r="BB31">
            <v>174246</v>
          </cell>
          <cell r="BC31">
            <v>251663</v>
          </cell>
          <cell r="BD31">
            <v>214535</v>
          </cell>
          <cell r="BE31">
            <v>286031</v>
          </cell>
          <cell r="BF31">
            <v>0</v>
          </cell>
          <cell r="BG31">
            <v>0</v>
          </cell>
          <cell r="BH31">
            <v>618160</v>
          </cell>
          <cell r="BI31">
            <v>1354900</v>
          </cell>
        </row>
        <row r="32">
          <cell r="A32" t="str">
            <v>Nevada</v>
          </cell>
          <cell r="B32">
            <v>80061</v>
          </cell>
          <cell r="C32">
            <v>0</v>
          </cell>
          <cell r="D32">
            <v>0</v>
          </cell>
          <cell r="E32">
            <v>0</v>
          </cell>
          <cell r="F32">
            <v>0</v>
          </cell>
          <cell r="G32">
            <v>0</v>
          </cell>
          <cell r="H32">
            <v>0</v>
          </cell>
          <cell r="I32">
            <v>0</v>
          </cell>
          <cell r="J32">
            <v>0</v>
          </cell>
          <cell r="K32">
            <v>3558487</v>
          </cell>
          <cell r="L32">
            <v>0</v>
          </cell>
          <cell r="M32">
            <v>0</v>
          </cell>
          <cell r="N32">
            <v>0</v>
          </cell>
          <cell r="O32">
            <v>0</v>
          </cell>
          <cell r="P32">
            <v>0</v>
          </cell>
          <cell r="Q32">
            <v>199993</v>
          </cell>
          <cell r="R32">
            <v>651241</v>
          </cell>
          <cell r="S32">
            <v>889622</v>
          </cell>
          <cell r="T32">
            <v>133693</v>
          </cell>
          <cell r="U32">
            <v>61421</v>
          </cell>
          <cell r="V32">
            <v>84612</v>
          </cell>
          <cell r="W32">
            <v>0</v>
          </cell>
          <cell r="X32">
            <v>169650</v>
          </cell>
          <cell r="Y32">
            <v>171797</v>
          </cell>
          <cell r="Z32">
            <v>234111</v>
          </cell>
          <cell r="AA32">
            <v>89030</v>
          </cell>
          <cell r="AB32">
            <v>0</v>
          </cell>
          <cell r="AC32">
            <v>1002400</v>
          </cell>
          <cell r="AD32">
            <v>1014967</v>
          </cell>
          <cell r="AE32">
            <v>1771111</v>
          </cell>
          <cell r="AF32">
            <v>2100529</v>
          </cell>
          <cell r="AG32">
            <v>2606861</v>
          </cell>
          <cell r="AH32">
            <v>2276601</v>
          </cell>
          <cell r="AI32">
            <v>2163167</v>
          </cell>
          <cell r="AJ32">
            <v>3049158</v>
          </cell>
          <cell r="AK32">
            <v>2585904</v>
          </cell>
          <cell r="AL32">
            <v>3558487</v>
          </cell>
          <cell r="AM32">
            <v>0</v>
          </cell>
          <cell r="AN32">
            <v>0</v>
          </cell>
          <cell r="AO32">
            <v>262600</v>
          </cell>
          <cell r="AP32">
            <v>541200</v>
          </cell>
          <cell r="AQ32">
            <v>757549</v>
          </cell>
          <cell r="AR32">
            <v>503019</v>
          </cell>
          <cell r="AS32">
            <v>437978</v>
          </cell>
          <cell r="AT32">
            <v>764234</v>
          </cell>
          <cell r="AU32">
            <v>651241</v>
          </cell>
          <cell r="AV32">
            <v>889622</v>
          </cell>
          <cell r="AW32">
            <v>0</v>
          </cell>
          <cell r="AX32">
            <v>0</v>
          </cell>
          <cell r="AY32">
            <v>199100</v>
          </cell>
          <cell r="AZ32">
            <v>199428</v>
          </cell>
          <cell r="BA32">
            <v>329964</v>
          </cell>
          <cell r="BB32">
            <v>137292</v>
          </cell>
          <cell r="BC32">
            <v>201702</v>
          </cell>
          <cell r="BD32">
            <v>171797</v>
          </cell>
          <cell r="BE32">
            <v>234111</v>
          </cell>
          <cell r="BF32">
            <v>0</v>
          </cell>
          <cell r="BG32">
            <v>0</v>
          </cell>
          <cell r="BH32">
            <v>456980</v>
          </cell>
          <cell r="BI32">
            <v>979200</v>
          </cell>
        </row>
        <row r="33">
          <cell r="A33" t="str">
            <v>Orange</v>
          </cell>
          <cell r="B33">
            <v>0</v>
          </cell>
          <cell r="C33">
            <v>0</v>
          </cell>
          <cell r="D33">
            <v>0</v>
          </cell>
          <cell r="E33">
            <v>0</v>
          </cell>
          <cell r="F33">
            <v>0</v>
          </cell>
          <cell r="G33">
            <v>0</v>
          </cell>
          <cell r="H33">
            <v>0</v>
          </cell>
          <cell r="I33">
            <v>0</v>
          </cell>
          <cell r="J33">
            <v>0</v>
          </cell>
          <cell r="K33">
            <v>0</v>
          </cell>
          <cell r="L33">
            <v>0</v>
          </cell>
          <cell r="M33">
            <v>792885</v>
          </cell>
          <cell r="N33">
            <v>10646703</v>
          </cell>
          <cell r="O33">
            <v>415939</v>
          </cell>
          <cell r="P33">
            <v>0</v>
          </cell>
          <cell r="Q33">
            <v>0</v>
          </cell>
          <cell r="R33">
            <v>0</v>
          </cell>
          <cell r="S33">
            <v>0</v>
          </cell>
          <cell r="T33">
            <v>4872213</v>
          </cell>
          <cell r="U33">
            <v>1519731</v>
          </cell>
          <cell r="V33">
            <v>3735965</v>
          </cell>
          <cell r="W33">
            <v>0</v>
          </cell>
          <cell r="X33">
            <v>0</v>
          </cell>
          <cell r="Y33">
            <v>0</v>
          </cell>
          <cell r="Z33">
            <v>3301503</v>
          </cell>
          <cell r="AA33">
            <v>0</v>
          </cell>
          <cell r="AB33">
            <v>3169063</v>
          </cell>
          <cell r="AC33">
            <v>25596076</v>
          </cell>
          <cell r="AD33">
            <v>27677695</v>
          </cell>
          <cell r="AE33">
            <v>39377353</v>
          </cell>
          <cell r="AF33">
            <v>53218444</v>
          </cell>
          <cell r="AG33">
            <v>73310206</v>
          </cell>
          <cell r="AH33">
            <v>63476500</v>
          </cell>
          <cell r="AI33">
            <v>60023782</v>
          </cell>
          <cell r="AJ33">
            <v>89457357</v>
          </cell>
          <cell r="AK33">
            <v>75565501</v>
          </cell>
          <cell r="AL33">
            <v>105372947</v>
          </cell>
          <cell r="AM33">
            <v>0</v>
          </cell>
          <cell r="AN33">
            <v>0</v>
          </cell>
          <cell r="AO33">
            <v>9755200</v>
          </cell>
          <cell r="AP33">
            <v>20301493</v>
          </cell>
          <cell r="AQ33">
            <v>28401616</v>
          </cell>
          <cell r="AR33">
            <v>19099587</v>
          </cell>
          <cell r="AS33">
            <v>16419801</v>
          </cell>
          <cell r="AT33">
            <v>22491261</v>
          </cell>
          <cell r="AU33">
            <v>18994816</v>
          </cell>
          <cell r="AV33">
            <v>26453954</v>
          </cell>
          <cell r="AW33">
            <v>0</v>
          </cell>
          <cell r="AX33">
            <v>0</v>
          </cell>
          <cell r="AY33">
            <v>5787600</v>
          </cell>
          <cell r="AZ33">
            <v>5817223</v>
          </cell>
          <cell r="BA33">
            <v>9922093</v>
          </cell>
          <cell r="BB33">
            <v>4114558</v>
          </cell>
          <cell r="BC33">
            <v>5935784</v>
          </cell>
          <cell r="BD33">
            <v>5009563</v>
          </cell>
          <cell r="BE33">
            <v>6972688</v>
          </cell>
          <cell r="BF33">
            <v>0</v>
          </cell>
          <cell r="BG33">
            <v>0</v>
          </cell>
          <cell r="BH33">
            <v>17215310</v>
          </cell>
          <cell r="BI33">
            <v>37202800</v>
          </cell>
        </row>
        <row r="34">
          <cell r="A34" t="str">
            <v>Placer</v>
          </cell>
          <cell r="B34">
            <v>0</v>
          </cell>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135767</v>
          </cell>
          <cell r="U34">
            <v>0</v>
          </cell>
          <cell r="V34">
            <v>0</v>
          </cell>
          <cell r="W34">
            <v>0</v>
          </cell>
          <cell r="X34">
            <v>0</v>
          </cell>
          <cell r="Y34">
            <v>0</v>
          </cell>
          <cell r="Z34">
            <v>335568</v>
          </cell>
          <cell r="AA34">
            <v>0</v>
          </cell>
          <cell r="AB34">
            <v>1603580</v>
          </cell>
          <cell r="AC34">
            <v>2261500</v>
          </cell>
          <cell r="AD34">
            <v>2434721</v>
          </cell>
          <cell r="AE34">
            <v>4181056</v>
          </cell>
          <cell r="AF34">
            <v>4752459</v>
          </cell>
          <cell r="AG34">
            <v>6439310</v>
          </cell>
          <cell r="AH34">
            <v>5576209</v>
          </cell>
          <cell r="AI34">
            <v>5302433</v>
          </cell>
          <cell r="AJ34">
            <v>7626510</v>
          </cell>
          <cell r="AK34">
            <v>6489039</v>
          </cell>
          <cell r="AL34">
            <v>8980248</v>
          </cell>
          <cell r="AM34">
            <v>0</v>
          </cell>
          <cell r="AN34">
            <v>0</v>
          </cell>
          <cell r="AO34">
            <v>701400</v>
          </cell>
          <cell r="AP34">
            <v>1495200</v>
          </cell>
          <cell r="AQ34">
            <v>2142400</v>
          </cell>
          <cell r="AR34">
            <v>1472444</v>
          </cell>
          <cell r="AS34">
            <v>1286753</v>
          </cell>
          <cell r="AT34">
            <v>1923969</v>
          </cell>
          <cell r="AU34">
            <v>1630893</v>
          </cell>
          <cell r="AV34">
            <v>2245755</v>
          </cell>
          <cell r="AW34">
            <v>0</v>
          </cell>
          <cell r="AX34">
            <v>0</v>
          </cell>
          <cell r="AY34">
            <v>483800</v>
          </cell>
          <cell r="AZ34">
            <v>483800</v>
          </cell>
          <cell r="BA34">
            <v>836682</v>
          </cell>
          <cell r="BB34">
            <v>358287</v>
          </cell>
          <cell r="BC34">
            <v>512277</v>
          </cell>
          <cell r="BD34">
            <v>429802</v>
          </cell>
          <cell r="BE34">
            <v>584593</v>
          </cell>
          <cell r="BF34">
            <v>0</v>
          </cell>
          <cell r="BG34">
            <v>0</v>
          </cell>
          <cell r="BH34">
            <v>1330050</v>
          </cell>
          <cell r="BI34">
            <v>2991800</v>
          </cell>
        </row>
        <row r="35">
          <cell r="A35" t="str">
            <v>Plumas</v>
          </cell>
          <cell r="B35">
            <v>0</v>
          </cell>
          <cell r="C35">
            <v>0</v>
          </cell>
          <cell r="D35">
            <v>0</v>
          </cell>
          <cell r="E35">
            <v>0</v>
          </cell>
          <cell r="F35">
            <v>0</v>
          </cell>
          <cell r="G35">
            <v>582922</v>
          </cell>
          <cell r="H35">
            <v>699856</v>
          </cell>
          <cell r="I35">
            <v>0</v>
          </cell>
          <cell r="J35">
            <v>706981</v>
          </cell>
          <cell r="K35">
            <v>1864437</v>
          </cell>
          <cell r="L35">
            <v>39861</v>
          </cell>
          <cell r="M35">
            <v>71345</v>
          </cell>
          <cell r="N35">
            <v>108663</v>
          </cell>
          <cell r="O35">
            <v>59891</v>
          </cell>
          <cell r="P35">
            <v>5531</v>
          </cell>
          <cell r="Q35">
            <v>29090</v>
          </cell>
          <cell r="R35">
            <v>332902</v>
          </cell>
          <cell r="S35">
            <v>465209</v>
          </cell>
          <cell r="T35">
            <v>98000</v>
          </cell>
          <cell r="U35">
            <v>98000</v>
          </cell>
          <cell r="V35">
            <v>171095</v>
          </cell>
          <cell r="W35">
            <v>71272</v>
          </cell>
          <cell r="X35">
            <v>0</v>
          </cell>
          <cell r="Y35">
            <v>76774</v>
          </cell>
          <cell r="Z35">
            <v>123884</v>
          </cell>
          <cell r="AA35">
            <v>0</v>
          </cell>
          <cell r="AB35">
            <v>87448</v>
          </cell>
          <cell r="AC35">
            <v>388300</v>
          </cell>
          <cell r="AD35">
            <v>403444</v>
          </cell>
          <cell r="AE35">
            <v>656358</v>
          </cell>
          <cell r="AF35">
            <v>1134676</v>
          </cell>
          <cell r="AG35">
            <v>1497101</v>
          </cell>
          <cell r="AH35">
            <v>1277237</v>
          </cell>
          <cell r="AI35">
            <v>1210845</v>
          </cell>
          <cell r="AJ35">
            <v>1582473</v>
          </cell>
          <cell r="AK35">
            <v>1333664</v>
          </cell>
          <cell r="AL35">
            <v>1864437</v>
          </cell>
          <cell r="AM35">
            <v>0</v>
          </cell>
          <cell r="AN35">
            <v>0</v>
          </cell>
          <cell r="AO35">
            <v>100000</v>
          </cell>
          <cell r="AP35">
            <v>127100</v>
          </cell>
          <cell r="AQ35">
            <v>227100</v>
          </cell>
          <cell r="AR35">
            <v>151906</v>
          </cell>
          <cell r="AS35">
            <v>130284</v>
          </cell>
          <cell r="AT35">
            <v>394118</v>
          </cell>
          <cell r="AU35">
            <v>332902</v>
          </cell>
          <cell r="AV35">
            <v>465209</v>
          </cell>
          <cell r="AW35">
            <v>0</v>
          </cell>
          <cell r="AX35">
            <v>0</v>
          </cell>
          <cell r="AY35">
            <v>98000</v>
          </cell>
          <cell r="AZ35">
            <v>98000</v>
          </cell>
          <cell r="BA35">
            <v>171095</v>
          </cell>
          <cell r="BB35">
            <v>71272</v>
          </cell>
          <cell r="BC35">
            <v>104503</v>
          </cell>
          <cell r="BD35">
            <v>88271</v>
          </cell>
          <cell r="BE35">
            <v>123884</v>
          </cell>
          <cell r="BF35">
            <v>0</v>
          </cell>
          <cell r="BG35">
            <v>0</v>
          </cell>
          <cell r="BH35">
            <v>450000</v>
          </cell>
          <cell r="BI35">
            <v>788500</v>
          </cell>
        </row>
        <row r="36">
          <cell r="A36" t="str">
            <v>Riverside</v>
          </cell>
          <cell r="B36">
            <v>0</v>
          </cell>
          <cell r="C36">
            <v>0</v>
          </cell>
          <cell r="D36">
            <v>0</v>
          </cell>
          <cell r="E36">
            <v>0</v>
          </cell>
          <cell r="F36">
            <v>0</v>
          </cell>
          <cell r="G36">
            <v>0</v>
          </cell>
          <cell r="H36">
            <v>0</v>
          </cell>
          <cell r="I36">
            <v>0</v>
          </cell>
          <cell r="J36">
            <v>0</v>
          </cell>
          <cell r="K36">
            <v>0</v>
          </cell>
          <cell r="L36">
            <v>0</v>
          </cell>
          <cell r="M36">
            <v>22530</v>
          </cell>
          <cell r="N36">
            <v>1390727</v>
          </cell>
          <cell r="O36">
            <v>0</v>
          </cell>
          <cell r="P36">
            <v>0</v>
          </cell>
          <cell r="Q36">
            <v>0</v>
          </cell>
          <cell r="R36">
            <v>0</v>
          </cell>
          <cell r="S36">
            <v>0</v>
          </cell>
          <cell r="T36">
            <v>2225326</v>
          </cell>
          <cell r="U36">
            <v>1738253</v>
          </cell>
          <cell r="V36">
            <v>9336387</v>
          </cell>
          <cell r="W36">
            <v>0</v>
          </cell>
          <cell r="X36">
            <v>0</v>
          </cell>
          <cell r="Y36">
            <v>436099</v>
          </cell>
          <cell r="Z36">
            <v>2638902</v>
          </cell>
          <cell r="AA36">
            <v>460087</v>
          </cell>
          <cell r="AB36">
            <v>6906379</v>
          </cell>
          <cell r="AC36">
            <v>16710700</v>
          </cell>
          <cell r="AD36">
            <v>17586222</v>
          </cell>
          <cell r="AE36">
            <v>26052179</v>
          </cell>
          <cell r="AF36">
            <v>34598330</v>
          </cell>
          <cell r="AG36">
            <v>47492168</v>
          </cell>
          <cell r="AH36">
            <v>41414132</v>
          </cell>
          <cell r="AI36">
            <v>38983629</v>
          </cell>
          <cell r="AJ36">
            <v>57222527</v>
          </cell>
          <cell r="AK36">
            <v>48422291</v>
          </cell>
          <cell r="AL36">
            <v>67699648</v>
          </cell>
          <cell r="AM36">
            <v>0</v>
          </cell>
          <cell r="AN36">
            <v>0</v>
          </cell>
          <cell r="AO36">
            <v>5612500</v>
          </cell>
          <cell r="AP36">
            <v>11976600</v>
          </cell>
          <cell r="AQ36">
            <v>17517465</v>
          </cell>
          <cell r="AR36">
            <v>11582718</v>
          </cell>
          <cell r="AS36">
            <v>9955402</v>
          </cell>
          <cell r="AT36">
            <v>14369061</v>
          </cell>
          <cell r="AU36">
            <v>12169809</v>
          </cell>
          <cell r="AV36">
            <v>16821594</v>
          </cell>
          <cell r="AW36">
            <v>0</v>
          </cell>
          <cell r="AX36">
            <v>0</v>
          </cell>
          <cell r="AY36">
            <v>3673500</v>
          </cell>
          <cell r="AZ36">
            <v>3694465</v>
          </cell>
          <cell r="BA36">
            <v>6328679</v>
          </cell>
          <cell r="BB36">
            <v>2593046</v>
          </cell>
          <cell r="BC36">
            <v>3811142</v>
          </cell>
          <cell r="BD36">
            <v>3243079</v>
          </cell>
          <cell r="BE36">
            <v>4426735</v>
          </cell>
          <cell r="BF36">
            <v>0</v>
          </cell>
          <cell r="BG36">
            <v>0</v>
          </cell>
          <cell r="BH36">
            <v>10698270</v>
          </cell>
          <cell r="BI36">
            <v>24126200</v>
          </cell>
        </row>
        <row r="37">
          <cell r="A37" t="str">
            <v>Sacramento</v>
          </cell>
          <cell r="B37">
            <v>0</v>
          </cell>
          <cell r="C37">
            <v>0</v>
          </cell>
          <cell r="D37">
            <v>0</v>
          </cell>
          <cell r="E37">
            <v>0</v>
          </cell>
          <cell r="F37">
            <v>0</v>
          </cell>
          <cell r="G37">
            <v>0</v>
          </cell>
          <cell r="H37">
            <v>0</v>
          </cell>
          <cell r="I37">
            <v>0</v>
          </cell>
          <cell r="J37">
            <v>0</v>
          </cell>
          <cell r="K37">
            <v>0</v>
          </cell>
          <cell r="L37">
            <v>184913</v>
          </cell>
          <cell r="M37">
            <v>3197448</v>
          </cell>
          <cell r="N37">
            <v>1396683</v>
          </cell>
          <cell r="O37">
            <v>0</v>
          </cell>
          <cell r="P37">
            <v>0</v>
          </cell>
          <cell r="Q37">
            <v>0</v>
          </cell>
          <cell r="R37">
            <v>0</v>
          </cell>
          <cell r="S37">
            <v>0</v>
          </cell>
          <cell r="T37">
            <v>1904696</v>
          </cell>
          <cell r="U37">
            <v>0</v>
          </cell>
          <cell r="V37">
            <v>0</v>
          </cell>
          <cell r="W37">
            <v>0</v>
          </cell>
          <cell r="X37">
            <v>1672021</v>
          </cell>
          <cell r="Y37">
            <v>1774555</v>
          </cell>
          <cell r="Z37">
            <v>2538137</v>
          </cell>
          <cell r="AA37">
            <v>506767</v>
          </cell>
          <cell r="AB37">
            <v>0</v>
          </cell>
          <cell r="AC37">
            <v>9922000</v>
          </cell>
          <cell r="AD37">
            <v>10345594</v>
          </cell>
          <cell r="AE37">
            <v>19313238</v>
          </cell>
          <cell r="AF37">
            <v>20979822</v>
          </cell>
          <cell r="AG37">
            <v>29156772</v>
          </cell>
          <cell r="AH37">
            <v>25290818</v>
          </cell>
          <cell r="AI37">
            <v>23973420</v>
          </cell>
          <cell r="AJ37">
            <v>35691603</v>
          </cell>
          <cell r="AK37">
            <v>29845873</v>
          </cell>
          <cell r="AL37">
            <v>41472849</v>
          </cell>
          <cell r="AM37">
            <v>0</v>
          </cell>
          <cell r="AN37">
            <v>0</v>
          </cell>
          <cell r="AO37">
            <v>3630500</v>
          </cell>
          <cell r="AP37">
            <v>7637900</v>
          </cell>
          <cell r="AQ37">
            <v>10936965</v>
          </cell>
          <cell r="AR37">
            <v>7289922</v>
          </cell>
          <cell r="AS37">
            <v>6300931</v>
          </cell>
          <cell r="AT37">
            <v>8949371</v>
          </cell>
          <cell r="AU37">
            <v>7464798</v>
          </cell>
          <cell r="AV37">
            <v>10368212</v>
          </cell>
          <cell r="AW37">
            <v>0</v>
          </cell>
          <cell r="AX37">
            <v>0</v>
          </cell>
          <cell r="AY37">
            <v>2267300</v>
          </cell>
          <cell r="AZ37">
            <v>2267300</v>
          </cell>
          <cell r="BA37">
            <v>3867327</v>
          </cell>
          <cell r="BB37">
            <v>1602383</v>
          </cell>
          <cell r="BC37">
            <v>2367303</v>
          </cell>
          <cell r="BD37">
            <v>1958375</v>
          </cell>
          <cell r="BE37">
            <v>2728477</v>
          </cell>
          <cell r="BF37">
            <v>0</v>
          </cell>
          <cell r="BG37">
            <v>0</v>
          </cell>
          <cell r="BH37">
            <v>6650800</v>
          </cell>
          <cell r="BI37">
            <v>14775200</v>
          </cell>
        </row>
        <row r="38">
          <cell r="A38" t="str">
            <v>San Benito</v>
          </cell>
          <cell r="B38">
            <v>0</v>
          </cell>
          <cell r="C38">
            <v>0</v>
          </cell>
          <cell r="D38">
            <v>0</v>
          </cell>
          <cell r="E38">
            <v>0</v>
          </cell>
          <cell r="F38">
            <v>0</v>
          </cell>
          <cell r="G38">
            <v>0</v>
          </cell>
          <cell r="H38">
            <v>0</v>
          </cell>
          <cell r="I38">
            <v>0</v>
          </cell>
          <cell r="J38">
            <v>0</v>
          </cell>
          <cell r="K38">
            <v>2578059</v>
          </cell>
          <cell r="L38">
            <v>0</v>
          </cell>
          <cell r="M38">
            <v>0</v>
          </cell>
          <cell r="N38">
            <v>60901</v>
          </cell>
          <cell r="O38">
            <v>4933</v>
          </cell>
          <cell r="P38">
            <v>4551</v>
          </cell>
          <cell r="Q38">
            <v>166684</v>
          </cell>
          <cell r="R38">
            <v>105700</v>
          </cell>
          <cell r="S38">
            <v>648926</v>
          </cell>
          <cell r="T38">
            <v>145372</v>
          </cell>
          <cell r="U38">
            <v>145927</v>
          </cell>
          <cell r="V38">
            <v>220325</v>
          </cell>
          <cell r="W38">
            <v>56210</v>
          </cell>
          <cell r="X38">
            <v>73154</v>
          </cell>
          <cell r="Y38">
            <v>125408</v>
          </cell>
          <cell r="Z38">
            <v>172688</v>
          </cell>
          <cell r="AA38">
            <v>392171</v>
          </cell>
          <cell r="AB38">
            <v>730072</v>
          </cell>
          <cell r="AC38">
            <v>729700</v>
          </cell>
          <cell r="AD38">
            <v>737007</v>
          </cell>
          <cell r="AE38">
            <v>1209627</v>
          </cell>
          <cell r="AF38">
            <v>1605495</v>
          </cell>
          <cell r="AG38">
            <v>1959926</v>
          </cell>
          <cell r="AH38">
            <v>1689497</v>
          </cell>
          <cell r="AI38">
            <v>1650646</v>
          </cell>
          <cell r="AJ38">
            <v>2217361</v>
          </cell>
          <cell r="AK38">
            <v>1864213</v>
          </cell>
          <cell r="AL38">
            <v>2589946</v>
          </cell>
          <cell r="AM38">
            <v>0</v>
          </cell>
          <cell r="AN38">
            <v>0</v>
          </cell>
          <cell r="AO38">
            <v>166300</v>
          </cell>
          <cell r="AP38">
            <v>344069</v>
          </cell>
          <cell r="AQ38">
            <v>487050</v>
          </cell>
          <cell r="AR38">
            <v>318020</v>
          </cell>
          <cell r="AS38">
            <v>289978</v>
          </cell>
          <cell r="AT38">
            <v>555390</v>
          </cell>
          <cell r="AU38">
            <v>467309</v>
          </cell>
          <cell r="AV38">
            <v>648926</v>
          </cell>
          <cell r="AW38">
            <v>0</v>
          </cell>
          <cell r="AX38">
            <v>0</v>
          </cell>
          <cell r="AY38">
            <v>145372</v>
          </cell>
          <cell r="AZ38">
            <v>145927</v>
          </cell>
          <cell r="BA38">
            <v>239286</v>
          </cell>
          <cell r="BB38">
            <v>109232</v>
          </cell>
          <cell r="BC38">
            <v>148801</v>
          </cell>
          <cell r="BD38">
            <v>125408</v>
          </cell>
          <cell r="BE38">
            <v>172688</v>
          </cell>
          <cell r="BF38">
            <v>0</v>
          </cell>
          <cell r="BG38">
            <v>0</v>
          </cell>
          <cell r="BH38">
            <v>450000</v>
          </cell>
          <cell r="BI38">
            <v>788500</v>
          </cell>
        </row>
        <row r="39">
          <cell r="A39" t="str">
            <v>San Bernardino</v>
          </cell>
          <cell r="B39">
            <v>0</v>
          </cell>
          <cell r="C39">
            <v>0</v>
          </cell>
          <cell r="D39">
            <v>0</v>
          </cell>
          <cell r="E39">
            <v>0</v>
          </cell>
          <cell r="F39">
            <v>0</v>
          </cell>
          <cell r="G39">
            <v>0</v>
          </cell>
          <cell r="H39">
            <v>0</v>
          </cell>
          <cell r="I39">
            <v>0</v>
          </cell>
          <cell r="J39">
            <v>0</v>
          </cell>
          <cell r="K39">
            <v>533040</v>
          </cell>
          <cell r="L39">
            <v>0</v>
          </cell>
          <cell r="M39">
            <v>0</v>
          </cell>
          <cell r="N39">
            <v>0</v>
          </cell>
          <cell r="O39">
            <v>0</v>
          </cell>
          <cell r="P39">
            <v>0</v>
          </cell>
          <cell r="Q39">
            <v>0</v>
          </cell>
          <cell r="R39">
            <v>0</v>
          </cell>
          <cell r="S39">
            <v>0</v>
          </cell>
          <cell r="T39">
            <v>2690676</v>
          </cell>
          <cell r="U39">
            <v>0</v>
          </cell>
          <cell r="V39">
            <v>0</v>
          </cell>
          <cell r="W39">
            <v>0</v>
          </cell>
          <cell r="X39">
            <v>0</v>
          </cell>
          <cell r="Y39">
            <v>0</v>
          </cell>
          <cell r="Z39">
            <v>0</v>
          </cell>
          <cell r="AA39">
            <v>0</v>
          </cell>
          <cell r="AB39">
            <v>5221135</v>
          </cell>
          <cell r="AC39">
            <v>17168200</v>
          </cell>
          <cell r="AD39">
            <v>17960853</v>
          </cell>
          <cell r="AE39">
            <v>26591806</v>
          </cell>
          <cell r="AF39">
            <v>35580816</v>
          </cell>
          <cell r="AG39">
            <v>49000891</v>
          </cell>
          <cell r="AH39">
            <v>41770250</v>
          </cell>
          <cell r="AI39">
            <v>39288011</v>
          </cell>
          <cell r="AJ39">
            <v>58056934</v>
          </cell>
          <cell r="AK39">
            <v>49038083</v>
          </cell>
          <cell r="AL39">
            <v>68379503</v>
          </cell>
          <cell r="AM39">
            <v>0</v>
          </cell>
          <cell r="AN39">
            <v>0</v>
          </cell>
          <cell r="AO39">
            <v>5936400</v>
          </cell>
          <cell r="AP39">
            <v>12456600</v>
          </cell>
          <cell r="AQ39">
            <v>17672000</v>
          </cell>
          <cell r="AR39">
            <v>11989431</v>
          </cell>
          <cell r="AS39">
            <v>10196475</v>
          </cell>
          <cell r="AT39">
            <v>14590467</v>
          </cell>
          <cell r="AU39">
            <v>12303383</v>
          </cell>
          <cell r="AV39">
            <v>17118023</v>
          </cell>
          <cell r="AW39">
            <v>0</v>
          </cell>
          <cell r="AX39">
            <v>0</v>
          </cell>
          <cell r="AY39">
            <v>3737900</v>
          </cell>
          <cell r="AZ39">
            <v>3737900</v>
          </cell>
          <cell r="BA39">
            <v>6409749</v>
          </cell>
          <cell r="BB39">
            <v>2635370</v>
          </cell>
          <cell r="BC39">
            <v>3852582</v>
          </cell>
          <cell r="BD39">
            <v>3240145</v>
          </cell>
          <cell r="BE39">
            <v>4503928</v>
          </cell>
          <cell r="BF39">
            <v>0</v>
          </cell>
          <cell r="BG39">
            <v>0</v>
          </cell>
          <cell r="BH39">
            <v>10811060</v>
          </cell>
          <cell r="BI39">
            <v>23869200</v>
          </cell>
        </row>
        <row r="40">
          <cell r="A40" t="str">
            <v>San Diego</v>
          </cell>
          <cell r="B40">
            <v>0</v>
          </cell>
          <cell r="C40">
            <v>0</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4737844</v>
          </cell>
          <cell r="U40">
            <v>1607696</v>
          </cell>
          <cell r="V40">
            <v>878228</v>
          </cell>
          <cell r="W40">
            <v>0</v>
          </cell>
          <cell r="X40">
            <v>0</v>
          </cell>
          <cell r="Y40">
            <v>0</v>
          </cell>
          <cell r="Z40">
            <v>3824271</v>
          </cell>
          <cell r="AA40">
            <v>405703</v>
          </cell>
          <cell r="AB40">
            <v>11788001</v>
          </cell>
          <cell r="AC40">
            <v>25417300</v>
          </cell>
          <cell r="AD40">
            <v>26298955</v>
          </cell>
          <cell r="AE40">
            <v>41812686</v>
          </cell>
          <cell r="AF40">
            <v>53296051</v>
          </cell>
          <cell r="AG40">
            <v>74118218</v>
          </cell>
          <cell r="AH40">
            <v>64357539</v>
          </cell>
          <cell r="AI40">
            <v>60682844</v>
          </cell>
          <cell r="AJ40">
            <v>90146582</v>
          </cell>
          <cell r="AK40">
            <v>76208411</v>
          </cell>
          <cell r="AL40">
            <v>106266689</v>
          </cell>
          <cell r="AM40">
            <v>0</v>
          </cell>
          <cell r="AN40">
            <v>0</v>
          </cell>
          <cell r="AO40">
            <v>9733400</v>
          </cell>
          <cell r="AP40">
            <v>20269035</v>
          </cell>
          <cell r="AQ40">
            <v>28917579</v>
          </cell>
          <cell r="AR40">
            <v>19163425</v>
          </cell>
          <cell r="AS40">
            <v>16433348</v>
          </cell>
          <cell r="AT40">
            <v>22584899</v>
          </cell>
          <cell r="AU40">
            <v>19095728</v>
          </cell>
          <cell r="AV40">
            <v>26586066</v>
          </cell>
          <cell r="AW40">
            <v>0</v>
          </cell>
          <cell r="AX40">
            <v>0</v>
          </cell>
          <cell r="AY40">
            <v>5816200</v>
          </cell>
          <cell r="AZ40">
            <v>5881697</v>
          </cell>
          <cell r="BA40">
            <v>9891813</v>
          </cell>
          <cell r="BB40">
            <v>4126949</v>
          </cell>
          <cell r="BC40">
            <v>5975429</v>
          </cell>
          <cell r="BD40">
            <v>5066735</v>
          </cell>
          <cell r="BE40">
            <v>7059344</v>
          </cell>
          <cell r="BF40">
            <v>0</v>
          </cell>
          <cell r="BG40">
            <v>0</v>
          </cell>
          <cell r="BH40">
            <v>17310760</v>
          </cell>
          <cell r="BI40">
            <v>37365460</v>
          </cell>
        </row>
        <row r="41">
          <cell r="A41" t="str">
            <v>San Francisco</v>
          </cell>
          <cell r="B41">
            <v>0</v>
          </cell>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825035</v>
          </cell>
          <cell r="U41">
            <v>0</v>
          </cell>
          <cell r="V41">
            <v>908316</v>
          </cell>
          <cell r="W41">
            <v>0</v>
          </cell>
          <cell r="X41">
            <v>0</v>
          </cell>
          <cell r="Y41">
            <v>0</v>
          </cell>
          <cell r="Z41">
            <v>701319</v>
          </cell>
          <cell r="AA41">
            <v>0</v>
          </cell>
          <cell r="AB41">
            <v>0</v>
          </cell>
          <cell r="AC41">
            <v>5332900</v>
          </cell>
          <cell r="AD41">
            <v>5699364</v>
          </cell>
          <cell r="AE41">
            <v>10339355</v>
          </cell>
          <cell r="AF41">
            <v>11777662</v>
          </cell>
          <cell r="AG41">
            <v>16540377</v>
          </cell>
          <cell r="AH41">
            <v>14421527</v>
          </cell>
          <cell r="AI41">
            <v>13644127</v>
          </cell>
          <cell r="AJ41">
            <v>20461177</v>
          </cell>
          <cell r="AK41">
            <v>17279624</v>
          </cell>
          <cell r="AL41">
            <v>24068357</v>
          </cell>
          <cell r="AM41">
            <v>0</v>
          </cell>
          <cell r="AN41">
            <v>0</v>
          </cell>
          <cell r="AO41">
            <v>2269600</v>
          </cell>
          <cell r="AP41">
            <v>4690200</v>
          </cell>
          <cell r="AQ41">
            <v>6643848</v>
          </cell>
          <cell r="AR41">
            <v>4445337</v>
          </cell>
          <cell r="AS41">
            <v>3821546</v>
          </cell>
          <cell r="AT41">
            <v>5125335</v>
          </cell>
          <cell r="AU41">
            <v>4312401</v>
          </cell>
          <cell r="AV41">
            <v>6002050</v>
          </cell>
          <cell r="AW41">
            <v>0</v>
          </cell>
          <cell r="AX41">
            <v>0</v>
          </cell>
          <cell r="AY41">
            <v>1313800</v>
          </cell>
          <cell r="AZ41">
            <v>1323006</v>
          </cell>
          <cell r="BA41">
            <v>2267943</v>
          </cell>
          <cell r="BB41">
            <v>952151</v>
          </cell>
          <cell r="BC41">
            <v>1371158</v>
          </cell>
          <cell r="BD41">
            <v>1154762</v>
          </cell>
          <cell r="BE41">
            <v>1598089</v>
          </cell>
          <cell r="BF41">
            <v>0</v>
          </cell>
          <cell r="BG41">
            <v>0</v>
          </cell>
          <cell r="BH41">
            <v>3949990</v>
          </cell>
          <cell r="BI41">
            <v>8296700</v>
          </cell>
        </row>
        <row r="42">
          <cell r="A42" t="str">
            <v>San Joaquin</v>
          </cell>
          <cell r="B42">
            <v>0</v>
          </cell>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1193220</v>
          </cell>
          <cell r="U42">
            <v>0</v>
          </cell>
          <cell r="V42">
            <v>466354</v>
          </cell>
          <cell r="W42">
            <v>27076</v>
          </cell>
          <cell r="X42">
            <v>381025</v>
          </cell>
          <cell r="Y42">
            <v>227233</v>
          </cell>
          <cell r="Z42">
            <v>986468</v>
          </cell>
          <cell r="AA42">
            <v>1213219</v>
          </cell>
          <cell r="AB42">
            <v>2066001</v>
          </cell>
          <cell r="AC42">
            <v>5589700</v>
          </cell>
          <cell r="AD42">
            <v>5728532</v>
          </cell>
          <cell r="AE42">
            <v>9238948</v>
          </cell>
          <cell r="AF42">
            <v>11247218</v>
          </cell>
          <cell r="AG42">
            <v>15517391</v>
          </cell>
          <cell r="AH42">
            <v>13434184</v>
          </cell>
          <cell r="AI42">
            <v>12650193</v>
          </cell>
          <cell r="AJ42">
            <v>18600984</v>
          </cell>
          <cell r="AK42">
            <v>15706602</v>
          </cell>
          <cell r="AL42">
            <v>21909535</v>
          </cell>
          <cell r="AM42">
            <v>0</v>
          </cell>
          <cell r="AN42">
            <v>0</v>
          </cell>
          <cell r="AO42">
            <v>1865100</v>
          </cell>
          <cell r="AP42">
            <v>3906400</v>
          </cell>
          <cell r="AQ42">
            <v>5545400</v>
          </cell>
          <cell r="AR42">
            <v>3745762</v>
          </cell>
          <cell r="AS42">
            <v>3190056</v>
          </cell>
          <cell r="AT42">
            <v>4663331</v>
          </cell>
          <cell r="AU42">
            <v>3946407</v>
          </cell>
          <cell r="AV42">
            <v>5486439</v>
          </cell>
          <cell r="AW42">
            <v>0</v>
          </cell>
          <cell r="AX42">
            <v>0</v>
          </cell>
          <cell r="AY42">
            <v>1197800</v>
          </cell>
          <cell r="AZ42">
            <v>1201749</v>
          </cell>
          <cell r="BA42">
            <v>2027781</v>
          </cell>
          <cell r="BB42">
            <v>831708</v>
          </cell>
          <cell r="BC42">
            <v>1227684</v>
          </cell>
          <cell r="BD42">
            <v>1040916</v>
          </cell>
          <cell r="BE42">
            <v>1446672</v>
          </cell>
          <cell r="BF42">
            <v>0</v>
          </cell>
          <cell r="BG42">
            <v>0</v>
          </cell>
          <cell r="BH42">
            <v>3377300</v>
          </cell>
          <cell r="BI42">
            <v>7456100</v>
          </cell>
        </row>
        <row r="43">
          <cell r="A43" t="str">
            <v>San Luis Obispo</v>
          </cell>
          <cell r="B43">
            <v>0</v>
          </cell>
          <cell r="C43">
            <v>0</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11004</v>
          </cell>
          <cell r="W43">
            <v>26021</v>
          </cell>
          <cell r="X43">
            <v>0</v>
          </cell>
          <cell r="Y43">
            <v>234716</v>
          </cell>
          <cell r="Z43">
            <v>157554</v>
          </cell>
          <cell r="AA43">
            <v>76125</v>
          </cell>
          <cell r="AB43">
            <v>0</v>
          </cell>
          <cell r="AC43">
            <v>2294800</v>
          </cell>
          <cell r="AD43">
            <v>2451359</v>
          </cell>
          <cell r="AE43">
            <v>4415584</v>
          </cell>
          <cell r="AF43">
            <v>4668802</v>
          </cell>
          <cell r="AG43">
            <v>6221738</v>
          </cell>
          <cell r="AH43">
            <v>5411002</v>
          </cell>
          <cell r="AI43">
            <v>5121734</v>
          </cell>
          <cell r="AJ43">
            <v>7491968</v>
          </cell>
          <cell r="AK43">
            <v>6324434</v>
          </cell>
          <cell r="AL43">
            <v>8826293</v>
          </cell>
          <cell r="AM43">
            <v>0</v>
          </cell>
          <cell r="AN43">
            <v>0</v>
          </cell>
          <cell r="AO43">
            <v>763718</v>
          </cell>
          <cell r="AP43">
            <v>1598036</v>
          </cell>
          <cell r="AQ43">
            <v>2211048</v>
          </cell>
          <cell r="AR43">
            <v>1459930</v>
          </cell>
          <cell r="AS43">
            <v>1256531</v>
          </cell>
          <cell r="AT43">
            <v>1874262</v>
          </cell>
          <cell r="AU43">
            <v>1581577</v>
          </cell>
          <cell r="AV43">
            <v>2204560</v>
          </cell>
          <cell r="AW43">
            <v>0</v>
          </cell>
          <cell r="AX43">
            <v>0</v>
          </cell>
          <cell r="AY43">
            <v>487300</v>
          </cell>
          <cell r="AZ43">
            <v>488877</v>
          </cell>
          <cell r="BA43">
            <v>823727</v>
          </cell>
          <cell r="BB43">
            <v>344282</v>
          </cell>
          <cell r="BC43">
            <v>494226</v>
          </cell>
          <cell r="BD43">
            <v>418338</v>
          </cell>
          <cell r="BE43">
            <v>582526</v>
          </cell>
          <cell r="BF43">
            <v>0</v>
          </cell>
          <cell r="BG43">
            <v>0</v>
          </cell>
          <cell r="BH43">
            <v>1338782</v>
          </cell>
          <cell r="BI43">
            <v>2854188</v>
          </cell>
        </row>
        <row r="44">
          <cell r="A44" t="str">
            <v>San Mateo</v>
          </cell>
          <cell r="B44">
            <v>0</v>
          </cell>
          <cell r="C44">
            <v>0</v>
          </cell>
          <cell r="D44">
            <v>0</v>
          </cell>
          <cell r="E44">
            <v>0</v>
          </cell>
          <cell r="F44">
            <v>0</v>
          </cell>
          <cell r="G44">
            <v>0</v>
          </cell>
          <cell r="H44">
            <v>0</v>
          </cell>
          <cell r="I44">
            <v>0</v>
          </cell>
          <cell r="J44">
            <v>0</v>
          </cell>
          <cell r="K44">
            <v>7443903</v>
          </cell>
          <cell r="L44">
            <v>0</v>
          </cell>
          <cell r="M44">
            <v>0</v>
          </cell>
          <cell r="N44">
            <v>0</v>
          </cell>
          <cell r="O44">
            <v>0</v>
          </cell>
          <cell r="P44">
            <v>0</v>
          </cell>
          <cell r="Q44">
            <v>0</v>
          </cell>
          <cell r="R44">
            <v>0</v>
          </cell>
          <cell r="S44">
            <v>2796686</v>
          </cell>
          <cell r="T44">
            <v>1048126</v>
          </cell>
          <cell r="U44">
            <v>246912</v>
          </cell>
          <cell r="V44">
            <v>793069</v>
          </cell>
          <cell r="W44">
            <v>0</v>
          </cell>
          <cell r="X44">
            <v>0</v>
          </cell>
          <cell r="Y44">
            <v>799899</v>
          </cell>
          <cell r="Z44">
            <v>1411337</v>
          </cell>
          <cell r="AA44">
            <v>1207610</v>
          </cell>
          <cell r="AB44">
            <v>0</v>
          </cell>
          <cell r="AC44">
            <v>4972600</v>
          </cell>
          <cell r="AD44">
            <v>5065265</v>
          </cell>
          <cell r="AE44">
            <v>8406440</v>
          </cell>
          <cell r="AF44">
            <v>10535515</v>
          </cell>
          <cell r="AG44">
            <v>14628968</v>
          </cell>
          <cell r="AH44">
            <v>12750351</v>
          </cell>
          <cell r="AI44">
            <v>12067696</v>
          </cell>
          <cell r="AJ44">
            <v>17973920</v>
          </cell>
          <cell r="AK44">
            <v>15170058</v>
          </cell>
          <cell r="AL44">
            <v>21151816</v>
          </cell>
          <cell r="AM44">
            <v>0</v>
          </cell>
          <cell r="AN44">
            <v>0</v>
          </cell>
          <cell r="AO44">
            <v>1989300</v>
          </cell>
          <cell r="AP44">
            <v>4125834</v>
          </cell>
          <cell r="AQ44">
            <v>5724144</v>
          </cell>
          <cell r="AR44">
            <v>3816548</v>
          </cell>
          <cell r="AS44">
            <v>3320919</v>
          </cell>
          <cell r="AT44">
            <v>4518869</v>
          </cell>
          <cell r="AU44">
            <v>3811871</v>
          </cell>
          <cell r="AV44">
            <v>5319992</v>
          </cell>
          <cell r="AW44">
            <v>0</v>
          </cell>
          <cell r="AX44">
            <v>0</v>
          </cell>
          <cell r="AY44">
            <v>1163000</v>
          </cell>
          <cell r="AZ44">
            <v>1163000</v>
          </cell>
          <cell r="BA44">
            <v>1975504</v>
          </cell>
          <cell r="BB44">
            <v>827970</v>
          </cell>
          <cell r="BC44">
            <v>1197445</v>
          </cell>
          <cell r="BD44">
            <v>1009771</v>
          </cell>
          <cell r="BE44">
            <v>1411337</v>
          </cell>
          <cell r="BF44">
            <v>0</v>
          </cell>
          <cell r="BG44">
            <v>0</v>
          </cell>
          <cell r="BH44">
            <v>3437600</v>
          </cell>
          <cell r="BI44">
            <v>7302687</v>
          </cell>
        </row>
        <row r="45">
          <cell r="A45" t="str">
            <v>Santa Barbara</v>
          </cell>
          <cell r="B45">
            <v>0</v>
          </cell>
          <cell r="C45">
            <v>0</v>
          </cell>
          <cell r="D45">
            <v>0</v>
          </cell>
          <cell r="E45">
            <v>0</v>
          </cell>
          <cell r="F45">
            <v>0</v>
          </cell>
          <cell r="G45">
            <v>0</v>
          </cell>
          <cell r="H45">
            <v>0</v>
          </cell>
          <cell r="I45">
            <v>0</v>
          </cell>
          <cell r="J45">
            <v>0</v>
          </cell>
          <cell r="K45">
            <v>0</v>
          </cell>
          <cell r="L45">
            <v>0</v>
          </cell>
          <cell r="M45">
            <v>2702</v>
          </cell>
          <cell r="N45">
            <v>0</v>
          </cell>
          <cell r="O45">
            <v>0</v>
          </cell>
          <cell r="P45">
            <v>0</v>
          </cell>
          <cell r="Q45">
            <v>0</v>
          </cell>
          <cell r="R45">
            <v>0</v>
          </cell>
          <cell r="S45">
            <v>0</v>
          </cell>
          <cell r="T45">
            <v>250184</v>
          </cell>
          <cell r="U45">
            <v>0</v>
          </cell>
          <cell r="V45">
            <v>9188</v>
          </cell>
          <cell r="W45">
            <v>0</v>
          </cell>
          <cell r="X45">
            <v>0</v>
          </cell>
          <cell r="Y45">
            <v>0</v>
          </cell>
          <cell r="Z45">
            <v>0</v>
          </cell>
          <cell r="AA45">
            <v>431577</v>
          </cell>
          <cell r="AB45">
            <v>0</v>
          </cell>
          <cell r="AC45">
            <v>3815200</v>
          </cell>
          <cell r="AD45">
            <v>3942539</v>
          </cell>
          <cell r="AE45">
            <v>7056040</v>
          </cell>
          <cell r="AF45">
            <v>7743938</v>
          </cell>
          <cell r="AG45">
            <v>10529335</v>
          </cell>
          <cell r="AH45">
            <v>9120639</v>
          </cell>
          <cell r="AI45">
            <v>8682015</v>
          </cell>
          <cell r="AJ45">
            <v>12773692</v>
          </cell>
          <cell r="AK45">
            <v>10772261</v>
          </cell>
          <cell r="AL45">
            <v>14988731</v>
          </cell>
          <cell r="AM45">
            <v>0</v>
          </cell>
          <cell r="AN45">
            <v>0</v>
          </cell>
          <cell r="AO45">
            <v>1346800</v>
          </cell>
          <cell r="AP45">
            <v>2784100</v>
          </cell>
          <cell r="AQ45">
            <v>3869300</v>
          </cell>
          <cell r="AR45">
            <v>2608807</v>
          </cell>
          <cell r="AS45">
            <v>2201200</v>
          </cell>
          <cell r="AT45">
            <v>3185687</v>
          </cell>
          <cell r="AU45">
            <v>2689555</v>
          </cell>
          <cell r="AV45">
            <v>3747183</v>
          </cell>
          <cell r="AW45">
            <v>0</v>
          </cell>
          <cell r="AX45">
            <v>0</v>
          </cell>
          <cell r="AY45">
            <v>829800</v>
          </cell>
          <cell r="AZ45">
            <v>829800</v>
          </cell>
          <cell r="BA45">
            <v>1401784</v>
          </cell>
          <cell r="BB45">
            <v>565700</v>
          </cell>
          <cell r="BC45">
            <v>838339</v>
          </cell>
          <cell r="BD45">
            <v>707778</v>
          </cell>
          <cell r="BE45">
            <v>986101</v>
          </cell>
          <cell r="BF45">
            <v>0</v>
          </cell>
          <cell r="BG45">
            <v>0</v>
          </cell>
          <cell r="BH45">
            <v>2355120</v>
          </cell>
          <cell r="BI45">
            <v>5033600</v>
          </cell>
        </row>
        <row r="46">
          <cell r="A46" t="str">
            <v>Santa Clara</v>
          </cell>
          <cell r="B46">
            <v>0</v>
          </cell>
          <cell r="C46">
            <v>0</v>
          </cell>
          <cell r="D46">
            <v>0</v>
          </cell>
          <cell r="E46">
            <v>0</v>
          </cell>
          <cell r="F46">
            <v>0</v>
          </cell>
          <cell r="G46">
            <v>0</v>
          </cell>
          <cell r="H46">
            <v>0</v>
          </cell>
          <cell r="I46">
            <v>0</v>
          </cell>
          <cell r="J46">
            <v>0</v>
          </cell>
          <cell r="K46">
            <v>8344472</v>
          </cell>
          <cell r="L46">
            <v>0</v>
          </cell>
          <cell r="M46">
            <v>0</v>
          </cell>
          <cell r="N46">
            <v>2854964</v>
          </cell>
          <cell r="O46">
            <v>0</v>
          </cell>
          <cell r="P46">
            <v>0</v>
          </cell>
          <cell r="Q46">
            <v>0</v>
          </cell>
          <cell r="R46">
            <v>0</v>
          </cell>
          <cell r="S46">
            <v>0</v>
          </cell>
          <cell r="T46">
            <v>2609677</v>
          </cell>
          <cell r="U46">
            <v>710660</v>
          </cell>
          <cell r="V46">
            <v>1763381</v>
          </cell>
          <cell r="W46">
            <v>0</v>
          </cell>
          <cell r="X46">
            <v>0</v>
          </cell>
          <cell r="Y46">
            <v>280357</v>
          </cell>
          <cell r="Z46">
            <v>1641270</v>
          </cell>
          <cell r="AA46">
            <v>44700</v>
          </cell>
          <cell r="AB46">
            <v>5786498</v>
          </cell>
          <cell r="AC46">
            <v>13387600</v>
          </cell>
          <cell r="AD46">
            <v>14095225</v>
          </cell>
          <cell r="AE46">
            <v>21161208</v>
          </cell>
          <cell r="AF46">
            <v>29578237</v>
          </cell>
          <cell r="AG46">
            <v>41689034</v>
          </cell>
          <cell r="AH46">
            <v>35599991</v>
          </cell>
          <cell r="AI46">
            <v>33746396</v>
          </cell>
          <cell r="AJ46">
            <v>50684912</v>
          </cell>
          <cell r="AK46">
            <v>42859408</v>
          </cell>
          <cell r="AL46">
            <v>59680362</v>
          </cell>
          <cell r="AM46">
            <v>0</v>
          </cell>
          <cell r="AN46">
            <v>0</v>
          </cell>
          <cell r="AO46">
            <v>5701407</v>
          </cell>
          <cell r="AP46">
            <v>11762004</v>
          </cell>
          <cell r="AQ46">
            <v>16473867</v>
          </cell>
          <cell r="AR46">
            <v>10971421</v>
          </cell>
          <cell r="AS46">
            <v>9551529</v>
          </cell>
          <cell r="AT46">
            <v>12779202</v>
          </cell>
          <cell r="AU46">
            <v>10763814</v>
          </cell>
          <cell r="AV46">
            <v>14919146</v>
          </cell>
          <cell r="AW46">
            <v>0</v>
          </cell>
          <cell r="AX46">
            <v>0</v>
          </cell>
          <cell r="AY46">
            <v>3263200</v>
          </cell>
          <cell r="AZ46">
            <v>3264119</v>
          </cell>
          <cell r="BA46">
            <v>5525556</v>
          </cell>
          <cell r="BB46">
            <v>2324632</v>
          </cell>
          <cell r="BC46">
            <v>3390289</v>
          </cell>
          <cell r="BD46">
            <v>2854465</v>
          </cell>
          <cell r="BE46">
            <v>3962392</v>
          </cell>
          <cell r="BF46">
            <v>0</v>
          </cell>
          <cell r="BG46">
            <v>0</v>
          </cell>
          <cell r="BH46">
            <v>9994064</v>
          </cell>
          <cell r="BI46">
            <v>21297000</v>
          </cell>
        </row>
        <row r="47">
          <cell r="A47" t="str">
            <v>Santa Cruz</v>
          </cell>
          <cell r="B47">
            <v>0</v>
          </cell>
          <cell r="C47">
            <v>0</v>
          </cell>
          <cell r="D47">
            <v>0</v>
          </cell>
          <cell r="E47">
            <v>0</v>
          </cell>
          <cell r="F47">
            <v>0</v>
          </cell>
          <cell r="G47">
            <v>0</v>
          </cell>
          <cell r="H47">
            <v>0</v>
          </cell>
          <cell r="I47">
            <v>0</v>
          </cell>
          <cell r="J47">
            <v>3972180</v>
          </cell>
          <cell r="K47">
            <v>9525844</v>
          </cell>
          <cell r="L47">
            <v>0</v>
          </cell>
          <cell r="M47">
            <v>0</v>
          </cell>
          <cell r="N47">
            <v>121076</v>
          </cell>
          <cell r="O47">
            <v>0</v>
          </cell>
          <cell r="P47">
            <v>0</v>
          </cell>
          <cell r="Q47">
            <v>1424141</v>
          </cell>
          <cell r="R47">
            <v>1725833</v>
          </cell>
          <cell r="S47">
            <v>2381461</v>
          </cell>
          <cell r="T47">
            <v>0</v>
          </cell>
          <cell r="U47">
            <v>0</v>
          </cell>
          <cell r="V47">
            <v>0</v>
          </cell>
          <cell r="W47">
            <v>0</v>
          </cell>
          <cell r="X47">
            <v>227075</v>
          </cell>
          <cell r="Y47">
            <v>453315</v>
          </cell>
          <cell r="Z47">
            <v>626700</v>
          </cell>
          <cell r="AA47">
            <v>265216</v>
          </cell>
          <cell r="AB47">
            <v>2748089</v>
          </cell>
          <cell r="AC47">
            <v>2369500</v>
          </cell>
          <cell r="AD47">
            <v>2508234</v>
          </cell>
          <cell r="AE47">
            <v>4042657</v>
          </cell>
          <cell r="AF47">
            <v>4977273</v>
          </cell>
          <cell r="AG47">
            <v>6678701</v>
          </cell>
          <cell r="AH47">
            <v>5807926</v>
          </cell>
          <cell r="AI47">
            <v>5490779</v>
          </cell>
          <cell r="AJ47">
            <v>8116996</v>
          </cell>
          <cell r="AK47">
            <v>6858885</v>
          </cell>
          <cell r="AL47">
            <v>9525844</v>
          </cell>
          <cell r="AM47">
            <v>0</v>
          </cell>
          <cell r="AN47">
            <v>0</v>
          </cell>
          <cell r="AO47">
            <v>857400</v>
          </cell>
          <cell r="AP47">
            <v>1766900</v>
          </cell>
          <cell r="AQ47">
            <v>2488205</v>
          </cell>
          <cell r="AR47">
            <v>1639554</v>
          </cell>
          <cell r="AS47">
            <v>1407047</v>
          </cell>
          <cell r="AT47">
            <v>2038102</v>
          </cell>
          <cell r="AU47">
            <v>1725833</v>
          </cell>
          <cell r="AV47">
            <v>2381461</v>
          </cell>
          <cell r="AW47">
            <v>0</v>
          </cell>
          <cell r="AX47">
            <v>0</v>
          </cell>
          <cell r="AY47">
            <v>527600</v>
          </cell>
          <cell r="AZ47">
            <v>530723</v>
          </cell>
          <cell r="BA47">
            <v>888984</v>
          </cell>
          <cell r="BB47">
            <v>363405</v>
          </cell>
          <cell r="BC47">
            <v>536321</v>
          </cell>
          <cell r="BD47">
            <v>453315</v>
          </cell>
          <cell r="BE47">
            <v>626700</v>
          </cell>
          <cell r="BF47">
            <v>0</v>
          </cell>
          <cell r="BG47">
            <v>0</v>
          </cell>
          <cell r="BH47">
            <v>1484640</v>
          </cell>
          <cell r="BI47">
            <v>3146200</v>
          </cell>
        </row>
        <row r="48">
          <cell r="A48" t="str">
            <v>Shasta</v>
          </cell>
          <cell r="B48">
            <v>0</v>
          </cell>
          <cell r="C48">
            <v>0</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781630</v>
          </cell>
          <cell r="T48">
            <v>337661</v>
          </cell>
          <cell r="U48">
            <v>315781</v>
          </cell>
          <cell r="V48">
            <v>407796</v>
          </cell>
          <cell r="W48">
            <v>13008</v>
          </cell>
          <cell r="X48">
            <v>352047</v>
          </cell>
          <cell r="Y48">
            <v>281056</v>
          </cell>
          <cell r="Z48">
            <v>422194</v>
          </cell>
          <cell r="AA48">
            <v>0</v>
          </cell>
          <cell r="AB48">
            <v>448224</v>
          </cell>
          <cell r="AC48">
            <v>1695400</v>
          </cell>
          <cell r="AD48">
            <v>1769599</v>
          </cell>
          <cell r="AE48">
            <v>3412072</v>
          </cell>
          <cell r="AF48">
            <v>3453605</v>
          </cell>
          <cell r="AG48">
            <v>4498906</v>
          </cell>
          <cell r="AH48">
            <v>3892941</v>
          </cell>
          <cell r="AI48">
            <v>3676000</v>
          </cell>
          <cell r="AJ48">
            <v>5333225</v>
          </cell>
          <cell r="AK48">
            <v>4510157</v>
          </cell>
          <cell r="AL48">
            <v>6282412</v>
          </cell>
          <cell r="AM48">
            <v>0</v>
          </cell>
          <cell r="AN48">
            <v>0</v>
          </cell>
          <cell r="AO48">
            <v>508500</v>
          </cell>
          <cell r="AP48">
            <v>1060515</v>
          </cell>
          <cell r="AQ48">
            <v>1509307</v>
          </cell>
          <cell r="AR48">
            <v>1011560</v>
          </cell>
          <cell r="AS48">
            <v>864907</v>
          </cell>
          <cell r="AT48">
            <v>1336945</v>
          </cell>
          <cell r="AU48">
            <v>1131325</v>
          </cell>
          <cell r="AV48">
            <v>1577702</v>
          </cell>
          <cell r="AW48">
            <v>0</v>
          </cell>
          <cell r="AX48">
            <v>0</v>
          </cell>
          <cell r="AY48">
            <v>346800</v>
          </cell>
          <cell r="AZ48">
            <v>347940</v>
          </cell>
          <cell r="BA48">
            <v>581252</v>
          </cell>
          <cell r="BB48">
            <v>245207</v>
          </cell>
          <cell r="BC48">
            <v>355053</v>
          </cell>
          <cell r="BD48">
            <v>302238</v>
          </cell>
          <cell r="BE48">
            <v>422194</v>
          </cell>
          <cell r="BF48">
            <v>0</v>
          </cell>
          <cell r="BG48">
            <v>0</v>
          </cell>
          <cell r="BH48">
            <v>903560</v>
          </cell>
          <cell r="BI48">
            <v>1972600</v>
          </cell>
        </row>
        <row r="49">
          <cell r="A49" t="str">
            <v>Sierra</v>
          </cell>
          <cell r="B49">
            <v>49987</v>
          </cell>
          <cell r="C49">
            <v>0</v>
          </cell>
          <cell r="D49">
            <v>0</v>
          </cell>
          <cell r="E49">
            <v>0</v>
          </cell>
          <cell r="F49">
            <v>0</v>
          </cell>
          <cell r="G49">
            <v>0</v>
          </cell>
          <cell r="H49">
            <v>0</v>
          </cell>
          <cell r="I49">
            <v>0</v>
          </cell>
          <cell r="J49">
            <v>742873</v>
          </cell>
          <cell r="K49">
            <v>1212531</v>
          </cell>
          <cell r="L49">
            <v>0</v>
          </cell>
          <cell r="M49">
            <v>1916</v>
          </cell>
          <cell r="N49">
            <v>210283</v>
          </cell>
          <cell r="O49">
            <v>135744</v>
          </cell>
          <cell r="P49">
            <v>120016</v>
          </cell>
          <cell r="Q49">
            <v>255779</v>
          </cell>
          <cell r="R49">
            <v>221844</v>
          </cell>
          <cell r="S49">
            <v>308060</v>
          </cell>
          <cell r="T49">
            <v>63500</v>
          </cell>
          <cell r="U49">
            <v>63500</v>
          </cell>
          <cell r="V49">
            <v>110957</v>
          </cell>
          <cell r="W49">
            <v>47133</v>
          </cell>
          <cell r="X49">
            <v>68933</v>
          </cell>
          <cell r="Y49">
            <v>59088</v>
          </cell>
          <cell r="Z49">
            <v>81712</v>
          </cell>
          <cell r="AA49">
            <v>0</v>
          </cell>
          <cell r="AB49">
            <v>537919</v>
          </cell>
          <cell r="AC49">
            <v>269200</v>
          </cell>
          <cell r="AD49">
            <v>271896</v>
          </cell>
          <cell r="AE49">
            <v>364800</v>
          </cell>
          <cell r="AF49">
            <v>650379</v>
          </cell>
          <cell r="AG49">
            <v>899968</v>
          </cell>
          <cell r="AH49">
            <v>782049</v>
          </cell>
          <cell r="AI49">
            <v>743502</v>
          </cell>
          <cell r="AJ49">
            <v>1029099</v>
          </cell>
          <cell r="AK49">
            <v>871987</v>
          </cell>
          <cell r="AL49">
            <v>1212531</v>
          </cell>
          <cell r="AM49">
            <v>0</v>
          </cell>
          <cell r="AN49">
            <v>0</v>
          </cell>
          <cell r="AO49">
            <v>100000</v>
          </cell>
          <cell r="AP49">
            <v>125400</v>
          </cell>
          <cell r="AQ49">
            <v>225488</v>
          </cell>
          <cell r="AR49">
            <v>149935</v>
          </cell>
          <cell r="AS49">
            <v>130196</v>
          </cell>
          <cell r="AT49">
            <v>259541</v>
          </cell>
          <cell r="AU49">
            <v>221844</v>
          </cell>
          <cell r="AV49">
            <v>308060</v>
          </cell>
          <cell r="AW49">
            <v>0</v>
          </cell>
          <cell r="AX49">
            <v>0</v>
          </cell>
          <cell r="AY49">
            <v>63500</v>
          </cell>
          <cell r="AZ49">
            <v>63500</v>
          </cell>
          <cell r="BA49">
            <v>110957</v>
          </cell>
          <cell r="BB49">
            <v>47133</v>
          </cell>
          <cell r="BC49">
            <v>68933</v>
          </cell>
          <cell r="BD49">
            <v>59088</v>
          </cell>
          <cell r="BE49">
            <v>81712</v>
          </cell>
          <cell r="BF49">
            <v>0</v>
          </cell>
          <cell r="BG49">
            <v>0</v>
          </cell>
          <cell r="BH49">
            <v>450000</v>
          </cell>
          <cell r="BI49">
            <v>788500</v>
          </cell>
        </row>
        <row r="50">
          <cell r="A50" t="str">
            <v>Siskiyou</v>
          </cell>
          <cell r="B50">
            <v>0</v>
          </cell>
          <cell r="C50">
            <v>0</v>
          </cell>
          <cell r="D50">
            <v>0</v>
          </cell>
          <cell r="E50">
            <v>0</v>
          </cell>
          <cell r="F50">
            <v>0</v>
          </cell>
          <cell r="G50">
            <v>0</v>
          </cell>
          <cell r="H50">
            <v>0</v>
          </cell>
          <cell r="I50">
            <v>0</v>
          </cell>
          <cell r="J50">
            <v>0</v>
          </cell>
          <cell r="K50">
            <v>0</v>
          </cell>
          <cell r="L50">
            <v>51723</v>
          </cell>
          <cell r="M50">
            <v>230100</v>
          </cell>
          <cell r="N50">
            <v>0</v>
          </cell>
          <cell r="O50">
            <v>0</v>
          </cell>
          <cell r="P50">
            <v>0</v>
          </cell>
          <cell r="Q50">
            <v>0</v>
          </cell>
          <cell r="R50">
            <v>0</v>
          </cell>
          <cell r="S50">
            <v>0</v>
          </cell>
          <cell r="T50">
            <v>120505</v>
          </cell>
          <cell r="U50">
            <v>122800</v>
          </cell>
          <cell r="V50">
            <v>208680</v>
          </cell>
          <cell r="W50">
            <v>85784</v>
          </cell>
          <cell r="X50">
            <v>128174</v>
          </cell>
          <cell r="Y50">
            <v>108162</v>
          </cell>
          <cell r="Z50">
            <v>154652</v>
          </cell>
          <cell r="AA50">
            <v>153336</v>
          </cell>
          <cell r="AB50">
            <v>0</v>
          </cell>
          <cell r="AC50">
            <v>582700</v>
          </cell>
          <cell r="AD50">
            <v>594544</v>
          </cell>
          <cell r="AE50">
            <v>940957</v>
          </cell>
          <cell r="AF50">
            <v>1385197</v>
          </cell>
          <cell r="AG50">
            <v>1744804</v>
          </cell>
          <cell r="AH50">
            <v>1515535</v>
          </cell>
          <cell r="AI50">
            <v>1442981</v>
          </cell>
          <cell r="AJ50">
            <v>1905860</v>
          </cell>
          <cell r="AK50">
            <v>1613087</v>
          </cell>
          <cell r="AL50">
            <v>2250810</v>
          </cell>
          <cell r="AM50">
            <v>0</v>
          </cell>
          <cell r="AN50">
            <v>0</v>
          </cell>
          <cell r="AO50">
            <v>112300</v>
          </cell>
          <cell r="AP50">
            <v>230100</v>
          </cell>
          <cell r="AQ50">
            <v>333800</v>
          </cell>
          <cell r="AR50">
            <v>226306</v>
          </cell>
          <cell r="AS50">
            <v>192911</v>
          </cell>
          <cell r="AT50">
            <v>475632</v>
          </cell>
          <cell r="AU50">
            <v>401983</v>
          </cell>
          <cell r="AV50">
            <v>560358</v>
          </cell>
          <cell r="AW50">
            <v>0</v>
          </cell>
          <cell r="AX50">
            <v>0</v>
          </cell>
          <cell r="AY50">
            <v>122800</v>
          </cell>
          <cell r="AZ50">
            <v>122800</v>
          </cell>
          <cell r="BA50">
            <v>208680</v>
          </cell>
          <cell r="BB50">
            <v>85784</v>
          </cell>
          <cell r="BC50">
            <v>128233</v>
          </cell>
          <cell r="BD50">
            <v>109031</v>
          </cell>
          <cell r="BE50">
            <v>154652</v>
          </cell>
          <cell r="BF50">
            <v>0</v>
          </cell>
          <cell r="BG50">
            <v>0</v>
          </cell>
          <cell r="BH50">
            <v>450000</v>
          </cell>
          <cell r="BI50">
            <v>788500</v>
          </cell>
        </row>
        <row r="51">
          <cell r="A51" t="str">
            <v>Solano</v>
          </cell>
          <cell r="B51">
            <v>0</v>
          </cell>
          <cell r="C51">
            <v>0</v>
          </cell>
          <cell r="D51">
            <v>0</v>
          </cell>
          <cell r="E51">
            <v>0</v>
          </cell>
          <cell r="F51">
            <v>0</v>
          </cell>
          <cell r="G51">
            <v>0</v>
          </cell>
          <cell r="H51">
            <v>0</v>
          </cell>
          <cell r="I51">
            <v>0</v>
          </cell>
          <cell r="J51">
            <v>0</v>
          </cell>
          <cell r="K51">
            <v>0</v>
          </cell>
          <cell r="L51">
            <v>0</v>
          </cell>
          <cell r="M51">
            <v>660427</v>
          </cell>
          <cell r="N51">
            <v>1035341</v>
          </cell>
          <cell r="O51">
            <v>0</v>
          </cell>
          <cell r="P51">
            <v>0</v>
          </cell>
          <cell r="Q51">
            <v>0</v>
          </cell>
          <cell r="R51">
            <v>0</v>
          </cell>
          <cell r="S51">
            <v>0</v>
          </cell>
          <cell r="T51">
            <v>0</v>
          </cell>
          <cell r="U51">
            <v>0</v>
          </cell>
          <cell r="V51">
            <v>533974</v>
          </cell>
          <cell r="W51">
            <v>0</v>
          </cell>
          <cell r="X51">
            <v>455509</v>
          </cell>
          <cell r="Y51">
            <v>440314</v>
          </cell>
          <cell r="Z51">
            <v>0</v>
          </cell>
          <cell r="AA51">
            <v>292495</v>
          </cell>
          <cell r="AB51">
            <v>592547</v>
          </cell>
          <cell r="AC51">
            <v>3226300</v>
          </cell>
          <cell r="AD51">
            <v>3406628</v>
          </cell>
          <cell r="AE51">
            <v>5672283</v>
          </cell>
          <cell r="AF51">
            <v>6677544</v>
          </cell>
          <cell r="AG51">
            <v>9192067</v>
          </cell>
          <cell r="AH51">
            <v>8046077</v>
          </cell>
          <cell r="AI51">
            <v>7581116</v>
          </cell>
          <cell r="AJ51">
            <v>11167126</v>
          </cell>
          <cell r="AK51">
            <v>9408473</v>
          </cell>
          <cell r="AL51">
            <v>13127210</v>
          </cell>
          <cell r="AM51">
            <v>0</v>
          </cell>
          <cell r="AN51">
            <v>0</v>
          </cell>
          <cell r="AO51">
            <v>1138396</v>
          </cell>
          <cell r="AP51">
            <v>2405717</v>
          </cell>
          <cell r="AQ51">
            <v>3400590</v>
          </cell>
          <cell r="AR51">
            <v>2272487</v>
          </cell>
          <cell r="AS51">
            <v>1948400</v>
          </cell>
          <cell r="AT51">
            <v>2809941</v>
          </cell>
          <cell r="AU51">
            <v>2357635</v>
          </cell>
          <cell r="AV51">
            <v>3290906</v>
          </cell>
          <cell r="AW51">
            <v>0</v>
          </cell>
          <cell r="AX51">
            <v>0</v>
          </cell>
          <cell r="AY51">
            <v>719098</v>
          </cell>
          <cell r="AZ51">
            <v>724899</v>
          </cell>
          <cell r="BA51">
            <v>1234574</v>
          </cell>
          <cell r="BB51">
            <v>509294</v>
          </cell>
          <cell r="BC51">
            <v>743670</v>
          </cell>
          <cell r="BD51">
            <v>623733</v>
          </cell>
          <cell r="BE51">
            <v>870132</v>
          </cell>
          <cell r="BF51">
            <v>0</v>
          </cell>
          <cell r="BG51">
            <v>0</v>
          </cell>
          <cell r="BH51">
            <v>2042090</v>
          </cell>
          <cell r="BI51">
            <v>4491300</v>
          </cell>
        </row>
        <row r="52">
          <cell r="A52" t="str">
            <v>Sonoma</v>
          </cell>
          <cell r="B52">
            <v>0</v>
          </cell>
          <cell r="C52">
            <v>0</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3704500</v>
          </cell>
          <cell r="AD52">
            <v>3943701</v>
          </cell>
          <cell r="AE52">
            <v>6653379</v>
          </cell>
          <cell r="AF52">
            <v>7542835</v>
          </cell>
          <cell r="AG52">
            <v>10284547</v>
          </cell>
          <cell r="AH52">
            <v>8920712</v>
          </cell>
          <cell r="AI52">
            <v>8490881</v>
          </cell>
          <cell r="AJ52">
            <v>12532386</v>
          </cell>
          <cell r="AK52">
            <v>10534291</v>
          </cell>
          <cell r="AL52">
            <v>14676747</v>
          </cell>
          <cell r="AM52">
            <v>0</v>
          </cell>
          <cell r="AN52">
            <v>0</v>
          </cell>
          <cell r="AO52">
            <v>1340200</v>
          </cell>
          <cell r="AP52">
            <v>2763824</v>
          </cell>
          <cell r="AQ52">
            <v>3825266</v>
          </cell>
          <cell r="AR52">
            <v>2527404</v>
          </cell>
          <cell r="AS52">
            <v>2212161</v>
          </cell>
          <cell r="AT52">
            <v>3140485</v>
          </cell>
          <cell r="AU52">
            <v>2633573</v>
          </cell>
          <cell r="AV52">
            <v>3669187</v>
          </cell>
          <cell r="AW52">
            <v>0</v>
          </cell>
          <cell r="AX52">
            <v>0</v>
          </cell>
          <cell r="AY52">
            <v>813300</v>
          </cell>
          <cell r="AZ52">
            <v>813300</v>
          </cell>
          <cell r="BA52">
            <v>1367135</v>
          </cell>
          <cell r="BB52">
            <v>562408</v>
          </cell>
          <cell r="BC52">
            <v>821253</v>
          </cell>
          <cell r="BD52">
            <v>693045</v>
          </cell>
          <cell r="BE52">
            <v>965575</v>
          </cell>
          <cell r="BF52">
            <v>0</v>
          </cell>
          <cell r="BG52">
            <v>0</v>
          </cell>
          <cell r="BH52">
            <v>2316345</v>
          </cell>
          <cell r="BI52">
            <v>4917600</v>
          </cell>
        </row>
        <row r="53">
          <cell r="A53" t="str">
            <v>Stanislaus</v>
          </cell>
          <cell r="B53">
            <v>0</v>
          </cell>
          <cell r="C53">
            <v>0</v>
          </cell>
          <cell r="D53">
            <v>0</v>
          </cell>
          <cell r="E53">
            <v>0</v>
          </cell>
          <cell r="F53">
            <v>0</v>
          </cell>
          <cell r="G53">
            <v>0</v>
          </cell>
          <cell r="H53">
            <v>0</v>
          </cell>
          <cell r="I53">
            <v>0</v>
          </cell>
          <cell r="J53">
            <v>0</v>
          </cell>
          <cell r="K53">
            <v>3858050</v>
          </cell>
          <cell r="L53">
            <v>0</v>
          </cell>
          <cell r="M53">
            <v>0</v>
          </cell>
          <cell r="N53">
            <v>0</v>
          </cell>
          <cell r="O53">
            <v>0</v>
          </cell>
          <cell r="P53">
            <v>0</v>
          </cell>
          <cell r="Q53">
            <v>0</v>
          </cell>
          <cell r="R53">
            <v>0</v>
          </cell>
          <cell r="S53">
            <v>546544</v>
          </cell>
          <cell r="T53">
            <v>580518</v>
          </cell>
          <cell r="U53">
            <v>373565</v>
          </cell>
          <cell r="V53">
            <v>728833</v>
          </cell>
          <cell r="W53">
            <v>0</v>
          </cell>
          <cell r="X53">
            <v>0</v>
          </cell>
          <cell r="Y53">
            <v>0</v>
          </cell>
          <cell r="Z53">
            <v>0</v>
          </cell>
          <cell r="AA53">
            <v>0</v>
          </cell>
          <cell r="AB53">
            <v>0</v>
          </cell>
          <cell r="AC53">
            <v>4251400</v>
          </cell>
          <cell r="AD53">
            <v>4484389</v>
          </cell>
          <cell r="AE53">
            <v>9607369</v>
          </cell>
          <cell r="AF53">
            <v>8641506</v>
          </cell>
          <cell r="AG53">
            <v>11816964</v>
          </cell>
          <cell r="AH53">
            <v>10362945</v>
          </cell>
          <cell r="AI53">
            <v>9661967</v>
          </cell>
          <cell r="AJ53">
            <v>14180657</v>
          </cell>
          <cell r="AK53">
            <v>12009213</v>
          </cell>
          <cell r="AL53">
            <v>16739771</v>
          </cell>
          <cell r="AM53">
            <v>0</v>
          </cell>
          <cell r="AN53">
            <v>0</v>
          </cell>
          <cell r="AO53">
            <v>1414500</v>
          </cell>
          <cell r="AP53">
            <v>2965600</v>
          </cell>
          <cell r="AQ53">
            <v>4320089</v>
          </cell>
          <cell r="AR53">
            <v>2847660</v>
          </cell>
          <cell r="AS53">
            <v>2452545</v>
          </cell>
          <cell r="AT53">
            <v>3596316</v>
          </cell>
          <cell r="AU53">
            <v>3035159</v>
          </cell>
          <cell r="AV53">
            <v>4200533</v>
          </cell>
          <cell r="AW53">
            <v>0</v>
          </cell>
          <cell r="AX53">
            <v>0</v>
          </cell>
          <cell r="AY53">
            <v>914400</v>
          </cell>
          <cell r="AZ53">
            <v>919048</v>
          </cell>
          <cell r="BA53">
            <v>1549298</v>
          </cell>
          <cell r="BB53">
            <v>652593</v>
          </cell>
          <cell r="BC53">
            <v>965379</v>
          </cell>
          <cell r="BD53">
            <v>814343</v>
          </cell>
          <cell r="BE53">
            <v>1115072</v>
          </cell>
          <cell r="BF53">
            <v>0</v>
          </cell>
          <cell r="BG53">
            <v>0</v>
          </cell>
          <cell r="BH53">
            <v>2568060</v>
          </cell>
          <cell r="BI53">
            <v>5686800</v>
          </cell>
        </row>
        <row r="54">
          <cell r="A54" t="str">
            <v>Sutter-Yuba</v>
          </cell>
          <cell r="B54">
            <v>0</v>
          </cell>
          <cell r="C54">
            <v>0</v>
          </cell>
          <cell r="D54">
            <v>0</v>
          </cell>
          <cell r="E54">
            <v>0</v>
          </cell>
          <cell r="F54">
            <v>0</v>
          </cell>
          <cell r="G54">
            <v>0</v>
          </cell>
          <cell r="H54">
            <v>0</v>
          </cell>
          <cell r="I54">
            <v>1952195</v>
          </cell>
          <cell r="J54">
            <v>4427976</v>
          </cell>
          <cell r="K54">
            <v>6169213</v>
          </cell>
          <cell r="L54">
            <v>0</v>
          </cell>
          <cell r="M54">
            <v>0</v>
          </cell>
          <cell r="N54">
            <v>355598</v>
          </cell>
          <cell r="O54">
            <v>101047</v>
          </cell>
          <cell r="P54">
            <v>753091</v>
          </cell>
          <cell r="Q54">
            <v>1326742</v>
          </cell>
          <cell r="R54">
            <v>1106994</v>
          </cell>
          <cell r="S54">
            <v>1542303</v>
          </cell>
          <cell r="T54">
            <v>344500</v>
          </cell>
          <cell r="U54">
            <v>344500</v>
          </cell>
          <cell r="V54">
            <v>569600</v>
          </cell>
          <cell r="W54">
            <v>264563</v>
          </cell>
          <cell r="X54">
            <v>345052</v>
          </cell>
          <cell r="Y54">
            <v>291314</v>
          </cell>
          <cell r="Z54">
            <v>405869</v>
          </cell>
          <cell r="AA54">
            <v>790526</v>
          </cell>
          <cell r="AB54">
            <v>0</v>
          </cell>
          <cell r="AC54">
            <v>1744100</v>
          </cell>
          <cell r="AD54">
            <v>1799940</v>
          </cell>
          <cell r="AE54">
            <v>2907272</v>
          </cell>
          <cell r="AF54">
            <v>3645072</v>
          </cell>
          <cell r="AG54">
            <v>4551863</v>
          </cell>
          <cell r="AH54">
            <v>3997520</v>
          </cell>
          <cell r="AI54">
            <v>3754443</v>
          </cell>
          <cell r="AJ54">
            <v>5363826</v>
          </cell>
          <cell r="AK54">
            <v>4427976</v>
          </cell>
          <cell r="AL54">
            <v>6169213</v>
          </cell>
          <cell r="AM54">
            <v>0</v>
          </cell>
          <cell r="AN54">
            <v>0</v>
          </cell>
          <cell r="AO54">
            <v>447900</v>
          </cell>
          <cell r="AP54">
            <v>926000</v>
          </cell>
          <cell r="AQ54">
            <v>1306564</v>
          </cell>
          <cell r="AR54">
            <v>871889</v>
          </cell>
          <cell r="AS54">
            <v>753091</v>
          </cell>
          <cell r="AT54">
            <v>1326742</v>
          </cell>
          <cell r="AU54">
            <v>1106994</v>
          </cell>
          <cell r="AV54">
            <v>1542303</v>
          </cell>
          <cell r="AW54">
            <v>0</v>
          </cell>
          <cell r="AX54">
            <v>0</v>
          </cell>
          <cell r="AY54">
            <v>344500</v>
          </cell>
          <cell r="AZ54">
            <v>344500</v>
          </cell>
          <cell r="BA54">
            <v>569600</v>
          </cell>
          <cell r="BB54">
            <v>264563</v>
          </cell>
          <cell r="BC54">
            <v>345052</v>
          </cell>
          <cell r="BD54">
            <v>291314</v>
          </cell>
          <cell r="BE54">
            <v>405869</v>
          </cell>
          <cell r="BF54">
            <v>0</v>
          </cell>
          <cell r="BG54">
            <v>0</v>
          </cell>
          <cell r="BH54">
            <v>900000</v>
          </cell>
          <cell r="BI54">
            <v>1765300</v>
          </cell>
        </row>
        <row r="55">
          <cell r="A55" t="str">
            <v>Tehama</v>
          </cell>
          <cell r="B55">
            <v>0</v>
          </cell>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389978</v>
          </cell>
          <cell r="T55">
            <v>53667</v>
          </cell>
          <cell r="U55">
            <v>0</v>
          </cell>
          <cell r="V55">
            <v>0</v>
          </cell>
          <cell r="W55">
            <v>0</v>
          </cell>
          <cell r="X55">
            <v>0</v>
          </cell>
          <cell r="Y55">
            <v>0</v>
          </cell>
          <cell r="Z55">
            <v>0</v>
          </cell>
          <cell r="AA55">
            <v>96354</v>
          </cell>
          <cell r="AB55">
            <v>0</v>
          </cell>
          <cell r="AC55">
            <v>709300</v>
          </cell>
          <cell r="AD55">
            <v>716402</v>
          </cell>
          <cell r="AE55">
            <v>1794667</v>
          </cell>
          <cell r="AF55">
            <v>1588705</v>
          </cell>
          <cell r="AG55">
            <v>1961640</v>
          </cell>
          <cell r="AH55">
            <v>1686178</v>
          </cell>
          <cell r="AI55">
            <v>1607764</v>
          </cell>
          <cell r="AJ55">
            <v>2205951</v>
          </cell>
          <cell r="AK55">
            <v>1866892</v>
          </cell>
          <cell r="AL55">
            <v>2601856</v>
          </cell>
          <cell r="AM55">
            <v>0</v>
          </cell>
          <cell r="AN55">
            <v>0</v>
          </cell>
          <cell r="AO55">
            <v>162900</v>
          </cell>
          <cell r="AP55">
            <v>343700</v>
          </cell>
          <cell r="AQ55">
            <v>493432</v>
          </cell>
          <cell r="AR55">
            <v>326479</v>
          </cell>
          <cell r="AS55">
            <v>286448</v>
          </cell>
          <cell r="AT55">
            <v>555672</v>
          </cell>
          <cell r="AU55">
            <v>469317</v>
          </cell>
          <cell r="AV55">
            <v>654008</v>
          </cell>
          <cell r="AW55">
            <v>0</v>
          </cell>
          <cell r="AX55">
            <v>0</v>
          </cell>
          <cell r="AY55">
            <v>144500</v>
          </cell>
          <cell r="AZ55">
            <v>144500</v>
          </cell>
          <cell r="BA55">
            <v>239869</v>
          </cell>
          <cell r="BB55">
            <v>98986</v>
          </cell>
          <cell r="BC55">
            <v>145722</v>
          </cell>
          <cell r="BD55">
            <v>123180</v>
          </cell>
          <cell r="BE55">
            <v>171283</v>
          </cell>
          <cell r="BF55">
            <v>0</v>
          </cell>
          <cell r="BG55">
            <v>0</v>
          </cell>
          <cell r="BH55">
            <v>450000</v>
          </cell>
          <cell r="BI55">
            <v>788500</v>
          </cell>
        </row>
        <row r="56">
          <cell r="A56" t="str">
            <v>Tri-City</v>
          </cell>
          <cell r="B56">
            <v>0</v>
          </cell>
          <cell r="C56">
            <v>0</v>
          </cell>
          <cell r="D56">
            <v>0</v>
          </cell>
          <cell r="E56">
            <v>0</v>
          </cell>
          <cell r="F56">
            <v>0</v>
          </cell>
          <cell r="G56">
            <v>0</v>
          </cell>
          <cell r="H56">
            <v>0</v>
          </cell>
          <cell r="I56">
            <v>0</v>
          </cell>
          <cell r="J56">
            <v>0</v>
          </cell>
          <cell r="K56">
            <v>0</v>
          </cell>
          <cell r="L56">
            <v>0</v>
          </cell>
          <cell r="M56">
            <v>211259</v>
          </cell>
          <cell r="N56">
            <v>23750</v>
          </cell>
          <cell r="O56">
            <v>0</v>
          </cell>
          <cell r="P56">
            <v>0</v>
          </cell>
          <cell r="Q56">
            <v>0</v>
          </cell>
          <cell r="R56">
            <v>0</v>
          </cell>
          <cell r="S56">
            <v>0</v>
          </cell>
          <cell r="T56">
            <v>968277</v>
          </cell>
          <cell r="U56">
            <v>275747</v>
          </cell>
          <cell r="V56">
            <v>120840</v>
          </cell>
          <cell r="W56">
            <v>0</v>
          </cell>
          <cell r="X56">
            <v>0</v>
          </cell>
          <cell r="Y56">
            <v>0</v>
          </cell>
          <cell r="Z56">
            <v>0</v>
          </cell>
          <cell r="AA56">
            <v>0</v>
          </cell>
          <cell r="AB56">
            <v>0</v>
          </cell>
          <cell r="AC56">
            <v>0</v>
          </cell>
          <cell r="AD56">
            <v>0</v>
          </cell>
          <cell r="AE56">
            <v>3586800</v>
          </cell>
          <cell r="AF56">
            <v>3721536</v>
          </cell>
          <cell r="AG56">
            <v>5033606</v>
          </cell>
          <cell r="AH56">
            <v>4378627</v>
          </cell>
          <cell r="AI56">
            <v>4129837</v>
          </cell>
          <cell r="AJ56">
            <v>6129586</v>
          </cell>
          <cell r="AK56">
            <v>5175809</v>
          </cell>
          <cell r="AL56">
            <v>7211551</v>
          </cell>
          <cell r="AM56">
            <v>0</v>
          </cell>
          <cell r="AN56">
            <v>0</v>
          </cell>
          <cell r="AO56">
            <v>702900</v>
          </cell>
          <cell r="AP56">
            <v>1416900</v>
          </cell>
          <cell r="AQ56">
            <v>1912100</v>
          </cell>
          <cell r="AR56">
            <v>1272368</v>
          </cell>
          <cell r="AS56">
            <v>1100675</v>
          </cell>
          <cell r="AT56">
            <v>1534092</v>
          </cell>
          <cell r="AU56">
            <v>1294348</v>
          </cell>
          <cell r="AV56">
            <v>1802990</v>
          </cell>
          <cell r="AW56">
            <v>0</v>
          </cell>
          <cell r="AX56">
            <v>0</v>
          </cell>
          <cell r="AY56">
            <v>402600</v>
          </cell>
          <cell r="AZ56">
            <v>402600</v>
          </cell>
          <cell r="BA56">
            <v>667100</v>
          </cell>
          <cell r="BB56">
            <v>276984</v>
          </cell>
          <cell r="BC56">
            <v>406427</v>
          </cell>
          <cell r="BD56">
            <v>343076</v>
          </cell>
          <cell r="BE56">
            <v>476603</v>
          </cell>
          <cell r="BF56">
            <v>0</v>
          </cell>
          <cell r="BG56">
            <v>0</v>
          </cell>
          <cell r="BH56">
            <v>1144030</v>
          </cell>
          <cell r="BI56">
            <v>2706700</v>
          </cell>
        </row>
        <row r="57">
          <cell r="A57" t="str">
            <v>Trinity</v>
          </cell>
          <cell r="B57">
            <v>0</v>
          </cell>
          <cell r="C57">
            <v>0</v>
          </cell>
          <cell r="D57">
            <v>0</v>
          </cell>
          <cell r="E57">
            <v>0</v>
          </cell>
          <cell r="F57">
            <v>0</v>
          </cell>
          <cell r="G57">
            <v>0</v>
          </cell>
          <cell r="H57">
            <v>0</v>
          </cell>
          <cell r="I57">
            <v>0</v>
          </cell>
          <cell r="J57">
            <v>0</v>
          </cell>
          <cell r="K57">
            <v>509402</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14284</v>
          </cell>
          <cell r="AB57">
            <v>0</v>
          </cell>
          <cell r="AC57">
            <v>351700</v>
          </cell>
          <cell r="AD57">
            <v>360905</v>
          </cell>
          <cell r="AE57">
            <v>481944</v>
          </cell>
          <cell r="AF57">
            <v>768986</v>
          </cell>
          <cell r="AG57">
            <v>1010730</v>
          </cell>
          <cell r="AH57">
            <v>881246</v>
          </cell>
          <cell r="AI57">
            <v>830873</v>
          </cell>
          <cell r="AJ57">
            <v>1132983</v>
          </cell>
          <cell r="AK57">
            <v>957168</v>
          </cell>
          <cell r="AL57">
            <v>1332966</v>
          </cell>
          <cell r="AM57">
            <v>0</v>
          </cell>
          <cell r="AN57">
            <v>0</v>
          </cell>
          <cell r="AO57">
            <v>100000</v>
          </cell>
          <cell r="AP57">
            <v>129388</v>
          </cell>
          <cell r="AQ57">
            <v>228277</v>
          </cell>
          <cell r="AR57">
            <v>151318</v>
          </cell>
          <cell r="AS57">
            <v>133057</v>
          </cell>
          <cell r="AT57">
            <v>284045</v>
          </cell>
          <cell r="AU57">
            <v>241030</v>
          </cell>
          <cell r="AV57">
            <v>334371</v>
          </cell>
          <cell r="AW57">
            <v>0</v>
          </cell>
          <cell r="AX57">
            <v>0</v>
          </cell>
          <cell r="AY57">
            <v>70900</v>
          </cell>
          <cell r="AZ57">
            <v>70900</v>
          </cell>
          <cell r="BA57">
            <v>124072</v>
          </cell>
          <cell r="BB57">
            <v>50200</v>
          </cell>
          <cell r="BC57">
            <v>74940</v>
          </cell>
          <cell r="BD57">
            <v>62813</v>
          </cell>
          <cell r="BE57">
            <v>87468</v>
          </cell>
          <cell r="BF57">
            <v>0</v>
          </cell>
          <cell r="BG57">
            <v>0</v>
          </cell>
          <cell r="BH57">
            <v>453424</v>
          </cell>
          <cell r="BI57">
            <v>788500</v>
          </cell>
        </row>
        <row r="58">
          <cell r="A58" t="str">
            <v>Tulare</v>
          </cell>
          <cell r="B58">
            <v>0</v>
          </cell>
          <cell r="C58">
            <v>0</v>
          </cell>
          <cell r="D58">
            <v>0</v>
          </cell>
          <cell r="E58">
            <v>0</v>
          </cell>
          <cell r="F58">
            <v>0</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2162091</v>
          </cell>
          <cell r="W58">
            <v>686506</v>
          </cell>
          <cell r="X58">
            <v>300307</v>
          </cell>
          <cell r="Y58">
            <v>198614</v>
          </cell>
          <cell r="Z58">
            <v>1037794</v>
          </cell>
          <cell r="AA58">
            <v>0</v>
          </cell>
          <cell r="AB58">
            <v>0</v>
          </cell>
          <cell r="AC58">
            <v>4064500</v>
          </cell>
          <cell r="AD58">
            <v>4291224</v>
          </cell>
          <cell r="AE58">
            <v>6729305</v>
          </cell>
          <cell r="AF58">
            <v>8172952</v>
          </cell>
          <cell r="AG58">
            <v>11169495</v>
          </cell>
          <cell r="AH58">
            <v>9787006</v>
          </cell>
          <cell r="AI58">
            <v>9314824</v>
          </cell>
          <cell r="AJ58">
            <v>13556332</v>
          </cell>
          <cell r="AK58">
            <v>11480112</v>
          </cell>
          <cell r="AL58">
            <v>15980073</v>
          </cell>
          <cell r="AM58">
            <v>0</v>
          </cell>
          <cell r="AN58">
            <v>0</v>
          </cell>
          <cell r="AO58">
            <v>1329223</v>
          </cell>
          <cell r="AP58">
            <v>2788335</v>
          </cell>
          <cell r="AQ58">
            <v>4067562</v>
          </cell>
          <cell r="AR58">
            <v>2771163</v>
          </cell>
          <cell r="AS58">
            <v>2351019</v>
          </cell>
          <cell r="AT58">
            <v>3405326</v>
          </cell>
          <cell r="AU58">
            <v>2871510</v>
          </cell>
          <cell r="AV58">
            <v>3993667</v>
          </cell>
          <cell r="AW58">
            <v>0</v>
          </cell>
          <cell r="AX58">
            <v>0</v>
          </cell>
          <cell r="AY58">
            <v>865300</v>
          </cell>
          <cell r="AZ58">
            <v>865300</v>
          </cell>
          <cell r="BA58">
            <v>1467513</v>
          </cell>
          <cell r="BB58">
            <v>653460</v>
          </cell>
          <cell r="BC58">
            <v>928738</v>
          </cell>
          <cell r="BD58">
            <v>790878</v>
          </cell>
          <cell r="BE58">
            <v>1094218</v>
          </cell>
          <cell r="BF58">
            <v>0</v>
          </cell>
          <cell r="BG58">
            <v>0</v>
          </cell>
          <cell r="BH58">
            <v>2414520</v>
          </cell>
          <cell r="BI58">
            <v>5339295</v>
          </cell>
        </row>
        <row r="59">
          <cell r="A59" t="str">
            <v>Tuolumne</v>
          </cell>
          <cell r="B59">
            <v>0</v>
          </cell>
          <cell r="C59">
            <v>0</v>
          </cell>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20090</v>
          </cell>
          <cell r="W59">
            <v>0</v>
          </cell>
          <cell r="X59">
            <v>0</v>
          </cell>
          <cell r="Y59">
            <v>0</v>
          </cell>
          <cell r="Z59">
            <v>0</v>
          </cell>
          <cell r="AA59">
            <v>0</v>
          </cell>
          <cell r="AB59">
            <v>0</v>
          </cell>
          <cell r="AC59">
            <v>687100</v>
          </cell>
          <cell r="AD59">
            <v>693980</v>
          </cell>
          <cell r="AE59">
            <v>1170502</v>
          </cell>
          <cell r="AF59">
            <v>1535611</v>
          </cell>
          <cell r="AG59">
            <v>1897251</v>
          </cell>
          <cell r="AH59">
            <v>1635272</v>
          </cell>
          <cell r="AI59">
            <v>1546772</v>
          </cell>
          <cell r="AJ59">
            <v>2114983</v>
          </cell>
          <cell r="AK59">
            <v>1786393</v>
          </cell>
          <cell r="AL59">
            <v>2500253</v>
          </cell>
          <cell r="AM59">
            <v>0</v>
          </cell>
          <cell r="AN59">
            <v>0</v>
          </cell>
          <cell r="AO59">
            <v>151000</v>
          </cell>
          <cell r="AP59">
            <v>310373</v>
          </cell>
          <cell r="AQ59">
            <v>434124</v>
          </cell>
          <cell r="AR59">
            <v>287423</v>
          </cell>
          <cell r="AS59">
            <v>246330</v>
          </cell>
          <cell r="AT59">
            <v>529982</v>
          </cell>
          <cell r="AU59">
            <v>446143</v>
          </cell>
          <cell r="AV59">
            <v>623310</v>
          </cell>
          <cell r="AW59">
            <v>0</v>
          </cell>
          <cell r="AX59">
            <v>0</v>
          </cell>
          <cell r="AY59">
            <v>138200</v>
          </cell>
          <cell r="AZ59">
            <v>138200</v>
          </cell>
          <cell r="BA59">
            <v>231336</v>
          </cell>
          <cell r="BB59">
            <v>94544</v>
          </cell>
          <cell r="BC59">
            <v>138396</v>
          </cell>
          <cell r="BD59">
            <v>117657</v>
          </cell>
          <cell r="BE59">
            <v>162789</v>
          </cell>
          <cell r="BF59">
            <v>0</v>
          </cell>
          <cell r="BG59">
            <v>0</v>
          </cell>
          <cell r="BH59">
            <v>450000</v>
          </cell>
          <cell r="BI59">
            <v>788500</v>
          </cell>
        </row>
        <row r="60">
          <cell r="A60" t="str">
            <v>Ventura</v>
          </cell>
          <cell r="B60">
            <v>0</v>
          </cell>
          <cell r="C60">
            <v>0</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4171486</v>
          </cell>
          <cell r="T60">
            <v>1466171</v>
          </cell>
          <cell r="U60">
            <v>1248362</v>
          </cell>
          <cell r="V60">
            <v>0</v>
          </cell>
          <cell r="W60">
            <v>0</v>
          </cell>
          <cell r="X60">
            <v>0</v>
          </cell>
          <cell r="Y60">
            <v>0</v>
          </cell>
          <cell r="Z60">
            <v>0</v>
          </cell>
          <cell r="AA60">
            <v>749699</v>
          </cell>
          <cell r="AB60">
            <v>848862</v>
          </cell>
          <cell r="AC60">
            <v>6742600</v>
          </cell>
          <cell r="AD60">
            <v>6982086</v>
          </cell>
          <cell r="AE60">
            <v>10938768</v>
          </cell>
          <cell r="AF60">
            <v>14121376</v>
          </cell>
          <cell r="AG60">
            <v>18908013</v>
          </cell>
          <cell r="AH60">
            <v>16647232</v>
          </cell>
          <cell r="AI60">
            <v>15665991</v>
          </cell>
          <cell r="AJ60">
            <v>22959059</v>
          </cell>
          <cell r="AK60">
            <v>19285263</v>
          </cell>
          <cell r="AL60">
            <v>26878794</v>
          </cell>
          <cell r="AM60">
            <v>0</v>
          </cell>
          <cell r="AN60">
            <v>0</v>
          </cell>
          <cell r="AO60">
            <v>2414300</v>
          </cell>
          <cell r="AP60">
            <v>5034531</v>
          </cell>
          <cell r="AQ60">
            <v>7136205</v>
          </cell>
          <cell r="AR60">
            <v>4639100</v>
          </cell>
          <cell r="AS60">
            <v>3991900</v>
          </cell>
          <cell r="AT60">
            <v>5710687</v>
          </cell>
          <cell r="AU60">
            <v>4821316</v>
          </cell>
          <cell r="AV60">
            <v>6727125</v>
          </cell>
          <cell r="AW60">
            <v>0</v>
          </cell>
          <cell r="AX60">
            <v>0</v>
          </cell>
          <cell r="AY60">
            <v>1494537</v>
          </cell>
          <cell r="AZ60">
            <v>1483000</v>
          </cell>
          <cell r="BA60">
            <v>2490400</v>
          </cell>
          <cell r="BB60">
            <v>1014000</v>
          </cell>
          <cell r="BC60">
            <v>1502812</v>
          </cell>
          <cell r="BD60">
            <v>1268767</v>
          </cell>
          <cell r="BE60">
            <v>1773856</v>
          </cell>
          <cell r="BF60">
            <v>0</v>
          </cell>
          <cell r="BG60">
            <v>0</v>
          </cell>
          <cell r="BH60">
            <v>4296933</v>
          </cell>
          <cell r="BI60">
            <v>9319400</v>
          </cell>
        </row>
        <row r="61">
          <cell r="A61" t="str">
            <v>Yolo</v>
          </cell>
          <cell r="B61">
            <v>0</v>
          </cell>
          <cell r="C61">
            <v>0</v>
          </cell>
          <cell r="D61">
            <v>0</v>
          </cell>
          <cell r="E61">
            <v>0</v>
          </cell>
          <cell r="F61">
            <v>0</v>
          </cell>
          <cell r="G61">
            <v>0</v>
          </cell>
          <cell r="H61">
            <v>0</v>
          </cell>
          <cell r="I61">
            <v>0</v>
          </cell>
          <cell r="J61">
            <v>0</v>
          </cell>
          <cell r="K61">
            <v>1946329</v>
          </cell>
          <cell r="L61">
            <v>0</v>
          </cell>
          <cell r="M61">
            <v>0</v>
          </cell>
          <cell r="N61">
            <v>0</v>
          </cell>
          <cell r="O61">
            <v>0</v>
          </cell>
          <cell r="P61">
            <v>0</v>
          </cell>
          <cell r="Q61">
            <v>0</v>
          </cell>
          <cell r="R61">
            <v>0</v>
          </cell>
          <cell r="S61">
            <v>1101733</v>
          </cell>
          <cell r="T61">
            <v>386700</v>
          </cell>
          <cell r="U61">
            <v>0</v>
          </cell>
          <cell r="V61">
            <v>0</v>
          </cell>
          <cell r="W61">
            <v>0</v>
          </cell>
          <cell r="X61">
            <v>0</v>
          </cell>
          <cell r="Y61">
            <v>0</v>
          </cell>
          <cell r="Z61">
            <v>0</v>
          </cell>
          <cell r="AA61">
            <v>267571</v>
          </cell>
          <cell r="AB61">
            <v>992095</v>
          </cell>
          <cell r="AC61">
            <v>1819900</v>
          </cell>
          <cell r="AD61">
            <v>1918261</v>
          </cell>
          <cell r="AE61">
            <v>3325530</v>
          </cell>
          <cell r="AF61">
            <v>3646365</v>
          </cell>
          <cell r="AG61">
            <v>4957886</v>
          </cell>
          <cell r="AH61">
            <v>4293909</v>
          </cell>
          <cell r="AI61">
            <v>4106203</v>
          </cell>
          <cell r="AJ61">
            <v>5966862</v>
          </cell>
          <cell r="AK61">
            <v>5046388</v>
          </cell>
          <cell r="AL61">
            <v>7034767</v>
          </cell>
          <cell r="AM61">
            <v>0</v>
          </cell>
          <cell r="AN61">
            <v>0</v>
          </cell>
          <cell r="AO61">
            <v>570700</v>
          </cell>
          <cell r="AP61">
            <v>1198780</v>
          </cell>
          <cell r="AQ61">
            <v>1712347</v>
          </cell>
          <cell r="AR61">
            <v>1133912</v>
          </cell>
          <cell r="AS61">
            <v>986127</v>
          </cell>
          <cell r="AT61">
            <v>1499623</v>
          </cell>
          <cell r="AU61">
            <v>1267567</v>
          </cell>
          <cell r="AV61">
            <v>1759235</v>
          </cell>
          <cell r="AW61">
            <v>0</v>
          </cell>
          <cell r="AX61">
            <v>0</v>
          </cell>
          <cell r="AY61">
            <v>386700</v>
          </cell>
          <cell r="AZ61">
            <v>386700</v>
          </cell>
          <cell r="BA61">
            <v>649495</v>
          </cell>
          <cell r="BB61">
            <v>273728</v>
          </cell>
          <cell r="BC61">
            <v>396178</v>
          </cell>
          <cell r="BD61">
            <v>333294</v>
          </cell>
          <cell r="BE61">
            <v>461471</v>
          </cell>
          <cell r="BF61">
            <v>0</v>
          </cell>
          <cell r="BG61">
            <v>0</v>
          </cell>
          <cell r="BH61">
            <v>1042520</v>
          </cell>
          <cell r="BI61">
            <v>2274600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3"/>
  <dimension ref="A1:F28"/>
  <sheetViews>
    <sheetView zoomScalePageLayoutView="0" workbookViewId="0" topLeftCell="A1">
      <selection activeCell="G22" sqref="G22"/>
    </sheetView>
  </sheetViews>
  <sheetFormatPr defaultColWidth="9.140625" defaultRowHeight="15"/>
  <cols>
    <col min="1" max="16384" width="9.140625" style="145" customWidth="1"/>
  </cols>
  <sheetData>
    <row r="1" ht="15.75">
      <c r="A1" s="19" t="s">
        <v>270</v>
      </c>
    </row>
    <row r="2" ht="15">
      <c r="A2" s="146" t="s">
        <v>273</v>
      </c>
    </row>
    <row r="3" ht="15">
      <c r="A3" s="145" t="s">
        <v>271</v>
      </c>
    </row>
    <row r="16" ht="15">
      <c r="F16" s="148"/>
    </row>
    <row r="26" ht="15">
      <c r="E26" s="149"/>
    </row>
    <row r="28" ht="15">
      <c r="F28" s="147"/>
    </row>
  </sheetData>
  <sheetProtection sheet="1" objects="1" scenarios="1" formatColumns="0" formatRows="0"/>
  <printOptions/>
  <pageMargins left="0.7" right="0.7" top="0.75" bottom="0.75" header="0.3" footer="0.3"/>
  <pageSetup horizontalDpi="600" verticalDpi="600" orientation="portrait" r:id="rId2"/>
  <legacyDrawing r:id="rId1"/>
</worksheet>
</file>

<file path=xl/worksheets/sheet10.xml><?xml version="1.0" encoding="utf-8"?>
<worksheet xmlns="http://schemas.openxmlformats.org/spreadsheetml/2006/main" xmlns:r="http://schemas.openxmlformats.org/officeDocument/2006/relationships">
  <sheetPr codeName="Sheet10"/>
  <dimension ref="A1:T16"/>
  <sheetViews>
    <sheetView showGridLines="0" zoomScale="70" zoomScaleNormal="70" zoomScalePageLayoutView="0" workbookViewId="0" topLeftCell="A1">
      <selection activeCell="E12" sqref="E12"/>
    </sheetView>
  </sheetViews>
  <sheetFormatPr defaultColWidth="0" defaultRowHeight="15" zeroHeight="1"/>
  <cols>
    <col min="1" max="1" width="2.7109375" style="49" customWidth="1"/>
    <col min="2" max="2" width="5.7109375" style="315" customWidth="1"/>
    <col min="3" max="3" width="9.421875" style="315" bestFit="1" customWidth="1"/>
    <col min="4" max="4" width="62.7109375" style="315" bestFit="1" customWidth="1"/>
    <col min="5" max="5" width="17.140625" style="315" bestFit="1" customWidth="1"/>
    <col min="6" max="6" width="17.00390625" style="315" customWidth="1"/>
    <col min="7" max="7" width="16.140625" style="315" bestFit="1" customWidth="1"/>
    <col min="8" max="8" width="22.7109375" style="315" bestFit="1" customWidth="1"/>
    <col min="9" max="9" width="18.57421875" style="315" bestFit="1" customWidth="1"/>
    <col min="10" max="10" width="18.28125" style="315" bestFit="1" customWidth="1"/>
    <col min="11" max="19" width="19.421875" style="179" hidden="1" customWidth="1"/>
    <col min="20" max="22" width="23.7109375" style="49" hidden="1" customWidth="1"/>
    <col min="23" max="23" width="21.28125" style="49" hidden="1" customWidth="1"/>
    <col min="24" max="24" width="22.140625" style="49" hidden="1" customWidth="1"/>
    <col min="25" max="16384" width="9.140625" style="49" hidden="1" customWidth="1"/>
  </cols>
  <sheetData>
    <row r="1" spans="1:10" ht="15.75">
      <c r="A1" s="284" t="s">
        <v>374</v>
      </c>
      <c r="B1" s="462"/>
      <c r="C1" s="462"/>
      <c r="D1" s="462"/>
      <c r="E1" s="49"/>
      <c r="F1" s="49"/>
      <c r="G1" s="49"/>
      <c r="H1" s="49"/>
      <c r="I1" s="49"/>
      <c r="J1" s="49"/>
    </row>
    <row r="2" s="160" customFormat="1" ht="18">
      <c r="B2" s="285" t="str">
        <f>'1. Information'!B2</f>
        <v>Version 7/1/2018</v>
      </c>
    </row>
    <row r="3" spans="2:10" ht="20.25" customHeight="1">
      <c r="B3" s="235" t="str">
        <f>'1. Information'!B3</f>
        <v>Annual Mental Health Services Act Revenue and Expenditure Report</v>
      </c>
      <c r="C3" s="39"/>
      <c r="D3" s="39"/>
      <c r="E3" s="39"/>
      <c r="F3" s="39"/>
      <c r="G3" s="39"/>
      <c r="H3" s="39"/>
      <c r="I3" s="49"/>
      <c r="J3" s="49"/>
    </row>
    <row r="4" spans="2:10" ht="18">
      <c r="B4" s="235" t="str">
        <f>'1. Information'!B4</f>
        <v>Fiscal Year 2017-18</v>
      </c>
      <c r="C4" s="1"/>
      <c r="D4" s="1"/>
      <c r="E4" s="1"/>
      <c r="F4" s="1"/>
      <c r="G4" s="1"/>
      <c r="H4" s="1"/>
      <c r="I4" s="49"/>
      <c r="J4" s="49"/>
    </row>
    <row r="5" spans="2:10" ht="18">
      <c r="B5" s="235" t="s">
        <v>289</v>
      </c>
      <c r="C5" s="1"/>
      <c r="D5" s="1"/>
      <c r="E5" s="1"/>
      <c r="F5" s="1"/>
      <c r="G5" s="1"/>
      <c r="H5" s="1"/>
      <c r="I5" s="49"/>
      <c r="J5" s="49"/>
    </row>
    <row r="6" spans="2:10" ht="15.75">
      <c r="B6" s="49"/>
      <c r="C6" s="49"/>
      <c r="D6" s="28"/>
      <c r="E6" s="28"/>
      <c r="F6" s="28"/>
      <c r="G6" s="28"/>
      <c r="H6" s="28"/>
      <c r="I6" s="49"/>
      <c r="J6" s="49"/>
    </row>
    <row r="7" spans="2:10" ht="15.75">
      <c r="B7" s="447" t="s">
        <v>1</v>
      </c>
      <c r="C7" s="447"/>
      <c r="D7" s="286" t="str">
        <f>IF(ISBLANK('1. Information'!D8),"",'1. Information'!D8)</f>
        <v>San Francisco</v>
      </c>
      <c r="E7" s="49"/>
      <c r="F7" s="248" t="s">
        <v>2</v>
      </c>
      <c r="G7" s="317">
        <f>IF(ISBLANK('1. Information'!D7),"",'1. Information'!D7)</f>
        <v>43465</v>
      </c>
      <c r="H7" s="49"/>
      <c r="I7" s="49"/>
      <c r="J7" s="49"/>
    </row>
    <row r="8" spans="2:10" ht="15.75">
      <c r="B8" s="6"/>
      <c r="C8" s="6"/>
      <c r="D8" s="6"/>
      <c r="E8" s="49"/>
      <c r="F8" s="49"/>
      <c r="G8" s="6"/>
      <c r="H8" s="69"/>
      <c r="I8" s="49"/>
      <c r="J8" s="49"/>
    </row>
    <row r="9" spans="2:10" ht="18.75" thickBot="1">
      <c r="B9" s="288" t="s">
        <v>260</v>
      </c>
      <c r="C9" s="16"/>
      <c r="D9" s="16"/>
      <c r="E9" s="52"/>
      <c r="F9" s="52"/>
      <c r="G9" s="16"/>
      <c r="H9" s="70"/>
      <c r="I9" s="52"/>
      <c r="J9" s="52"/>
    </row>
    <row r="10" spans="2:10" ht="16.5" thickTop="1">
      <c r="B10" s="6"/>
      <c r="C10" s="6"/>
      <c r="D10" s="6"/>
      <c r="E10" s="49"/>
      <c r="F10" s="49"/>
      <c r="G10" s="6"/>
      <c r="H10" s="69"/>
      <c r="I10" s="49"/>
      <c r="J10" s="49"/>
    </row>
    <row r="11" spans="2:19" ht="15.75">
      <c r="B11" s="6"/>
      <c r="C11" s="254" t="s">
        <v>27</v>
      </c>
      <c r="D11" s="254" t="s">
        <v>29</v>
      </c>
      <c r="E11" s="289" t="s">
        <v>32</v>
      </c>
      <c r="F11" s="404" t="s">
        <v>246</v>
      </c>
      <c r="G11" s="340" t="s">
        <v>247</v>
      </c>
      <c r="H11" s="340" t="s">
        <v>248</v>
      </c>
      <c r="I11" s="405" t="s">
        <v>257</v>
      </c>
      <c r="J11" s="289" t="s">
        <v>249</v>
      </c>
      <c r="R11" s="49"/>
      <c r="S11" s="49"/>
    </row>
    <row r="12" spans="2:20" ht="15.75">
      <c r="B12" s="13"/>
      <c r="C12" s="402"/>
      <c r="D12" s="304" t="s">
        <v>301</v>
      </c>
      <c r="E12" s="394" t="s">
        <v>28</v>
      </c>
      <c r="F12" s="461" t="s">
        <v>30</v>
      </c>
      <c r="G12" s="461"/>
      <c r="H12" s="461"/>
      <c r="I12" s="461"/>
      <c r="J12" s="390"/>
      <c r="R12" s="13"/>
      <c r="S12" s="13"/>
      <c r="T12" s="13"/>
    </row>
    <row r="13" spans="2:19" ht="80.25" customHeight="1">
      <c r="B13" s="331" t="s">
        <v>134</v>
      </c>
      <c r="C13" s="406" t="s">
        <v>195</v>
      </c>
      <c r="D13" s="363" t="s">
        <v>130</v>
      </c>
      <c r="E13" s="292" t="s">
        <v>300</v>
      </c>
      <c r="F13" s="395" t="s">
        <v>5</v>
      </c>
      <c r="G13" s="308" t="s">
        <v>6</v>
      </c>
      <c r="H13" s="308" t="s">
        <v>31</v>
      </c>
      <c r="I13" s="308" t="s">
        <v>15</v>
      </c>
      <c r="J13" s="336" t="s">
        <v>278</v>
      </c>
      <c r="R13" s="49"/>
      <c r="S13" s="49"/>
    </row>
    <row r="14" spans="2:19" ht="15.75">
      <c r="B14" s="340">
        <v>1</v>
      </c>
      <c r="C14" s="341">
        <f>IF(J14&lt;&gt;0,VLOOKUP($D$7,Info_County_Code,2,FALSE),"")</f>
      </c>
      <c r="D14" s="407" t="s">
        <v>120</v>
      </c>
      <c r="E14" s="56"/>
      <c r="F14" s="59"/>
      <c r="G14" s="59"/>
      <c r="H14" s="56"/>
      <c r="I14" s="173"/>
      <c r="J14" s="403">
        <f>SUM(E14:I14)</f>
        <v>0</v>
      </c>
      <c r="R14" s="49"/>
      <c r="S14" s="49"/>
    </row>
    <row r="15" spans="2:19" ht="15.75">
      <c r="B15" s="340">
        <v>2</v>
      </c>
      <c r="C15" s="341">
        <f>IF(J15&lt;&gt;0,VLOOKUP($D$7,Info_County_Code,2,FALSE),"")</f>
      </c>
      <c r="D15" s="407" t="s">
        <v>121</v>
      </c>
      <c r="E15" s="55"/>
      <c r="F15" s="57"/>
      <c r="G15" s="55"/>
      <c r="H15" s="55"/>
      <c r="I15" s="174"/>
      <c r="J15" s="403">
        <f>SUM(E15:I15)</f>
        <v>0</v>
      </c>
      <c r="R15" s="49"/>
      <c r="S15" s="49"/>
    </row>
    <row r="16" spans="4:7" ht="15.75" hidden="1">
      <c r="D16" s="408"/>
      <c r="E16" s="409"/>
      <c r="F16" s="409"/>
      <c r="G16" s="409"/>
    </row>
    <row r="17" ht="15.75" hidden="1"/>
    <row r="18" ht="15.75" hidden="1"/>
    <row r="19" ht="15.75" hidden="1"/>
    <row r="20" ht="15.75" hidden="1"/>
    <row r="21" ht="15.75" hidden="1"/>
    <row r="22" ht="15.75" hidden="1"/>
    <row r="23" ht="15.75" hidden="1"/>
    <row r="24" ht="15.75" hidden="1"/>
    <row r="25" ht="15.75" hidden="1"/>
  </sheetData>
  <sheetProtection sheet="1" objects="1" scenarios="1" formatColumns="0" formatRows="0"/>
  <mergeCells count="3">
    <mergeCell ref="B1:D1"/>
    <mergeCell ref="B7:C7"/>
    <mergeCell ref="F12:I12"/>
  </mergeCells>
  <printOptions/>
  <pageMargins left="0.25" right="0.25" top="0.316666666666667" bottom="0.75" header="0.3" footer="0.3"/>
  <pageSetup fitToHeight="0" fitToWidth="0" horizontalDpi="600" verticalDpi="600" orientation="landscape" paperSize="5" scale="91" r:id="rId1"/>
  <headerFooter>
    <oddFooter>&amp;C&amp;"Arial,Regular"&amp;16Page &amp;P of &amp;N</oddFooter>
  </headerFooter>
  <colBreaks count="1" manualBreakCount="1">
    <brk id="19" min="5" max="15" man="1"/>
  </colBreaks>
</worksheet>
</file>

<file path=xl/worksheets/sheet11.xml><?xml version="1.0" encoding="utf-8"?>
<worksheet xmlns="http://schemas.openxmlformats.org/spreadsheetml/2006/main" xmlns:r="http://schemas.openxmlformats.org/officeDocument/2006/relationships">
  <sheetPr codeName="Sheet11"/>
  <dimension ref="A1:G112"/>
  <sheetViews>
    <sheetView showGridLines="0" zoomScale="70" zoomScaleNormal="70" zoomScalePageLayoutView="0" workbookViewId="0" topLeftCell="A1">
      <selection activeCell="F31" sqref="F31"/>
    </sheetView>
  </sheetViews>
  <sheetFormatPr defaultColWidth="0" defaultRowHeight="15" zeroHeight="1"/>
  <cols>
    <col min="1" max="1" width="2.7109375" style="49" customWidth="1"/>
    <col min="2" max="2" width="6.7109375" style="315" customWidth="1"/>
    <col min="3" max="3" width="9.28125" style="315" bestFit="1" customWidth="1"/>
    <col min="4" max="4" width="26.140625" style="315" customWidth="1"/>
    <col min="5" max="5" width="20.140625" style="315" customWidth="1"/>
    <col min="6" max="6" width="30.00390625" style="315" customWidth="1"/>
    <col min="7" max="7" width="54.28125" style="315" customWidth="1"/>
    <col min="8" max="12" width="11.7109375" style="49" hidden="1" customWidth="1"/>
    <col min="13" max="16384" width="9.140625" style="49" hidden="1" customWidth="1"/>
  </cols>
  <sheetData>
    <row r="1" spans="1:7" ht="15">
      <c r="A1" s="284" t="s">
        <v>375</v>
      </c>
      <c r="B1" s="26"/>
      <c r="C1" s="26"/>
      <c r="D1" s="49"/>
      <c r="E1" s="49"/>
      <c r="F1" s="49"/>
      <c r="G1" s="49"/>
    </row>
    <row r="2" s="160" customFormat="1" ht="15">
      <c r="B2" s="219" t="str">
        <f>'1. Information'!B2</f>
        <v>Version 7/1/2018</v>
      </c>
    </row>
    <row r="3" spans="2:7" ht="18">
      <c r="B3" s="235" t="str">
        <f>'1. Information'!B3</f>
        <v>Annual Mental Health Services Act Revenue and Expenditure Report</v>
      </c>
      <c r="C3" s="1"/>
      <c r="D3" s="1"/>
      <c r="E3" s="1"/>
      <c r="F3" s="1"/>
      <c r="G3" s="49"/>
    </row>
    <row r="4" spans="2:7" ht="18">
      <c r="B4" s="235" t="str">
        <f>'1. Information'!B4</f>
        <v>Fiscal Year 2017-18</v>
      </c>
      <c r="C4" s="1"/>
      <c r="D4" s="1"/>
      <c r="E4" s="1"/>
      <c r="F4" s="1"/>
      <c r="G4" s="49"/>
    </row>
    <row r="5" spans="2:7" ht="18">
      <c r="B5" s="220" t="s">
        <v>131</v>
      </c>
      <c r="C5" s="15"/>
      <c r="D5" s="15"/>
      <c r="E5" s="15"/>
      <c r="F5" s="15"/>
      <c r="G5" s="49"/>
    </row>
    <row r="6" spans="2:7" ht="15.75">
      <c r="B6" s="49"/>
      <c r="C6" s="45"/>
      <c r="D6" s="45"/>
      <c r="E6" s="45"/>
      <c r="F6" s="45"/>
      <c r="G6" s="49"/>
    </row>
    <row r="7" spans="2:7" ht="15.75">
      <c r="B7" s="447" t="s">
        <v>1</v>
      </c>
      <c r="C7" s="447"/>
      <c r="D7" s="286" t="str">
        <f>IF(ISBLANK('1. Information'!D8),"",'1. Information'!D8)</f>
        <v>San Francisco</v>
      </c>
      <c r="E7" s="3"/>
      <c r="F7" s="304" t="s">
        <v>178</v>
      </c>
      <c r="G7" s="317">
        <f>IF(ISBLANK('1. Information'!D7),"",'1. Information'!D7)</f>
        <v>43465</v>
      </c>
    </row>
    <row r="8" spans="2:7" ht="15.75">
      <c r="B8" s="6"/>
      <c r="C8" s="6"/>
      <c r="D8" s="6"/>
      <c r="E8" s="3"/>
      <c r="F8" s="40"/>
      <c r="G8" s="51"/>
    </row>
    <row r="9" spans="2:7" ht="18.75" thickBot="1">
      <c r="B9" s="288" t="s">
        <v>260</v>
      </c>
      <c r="C9" s="16"/>
      <c r="D9" s="16"/>
      <c r="E9" s="20"/>
      <c r="F9" s="41"/>
      <c r="G9" s="53"/>
    </row>
    <row r="10" spans="2:7" ht="16.5" thickTop="1">
      <c r="B10" s="6"/>
      <c r="C10" s="6"/>
      <c r="D10" s="6"/>
      <c r="E10" s="3"/>
      <c r="F10" s="40"/>
      <c r="G10" s="51"/>
    </row>
    <row r="11" spans="2:7" ht="15">
      <c r="B11" s="49"/>
      <c r="C11" s="410" t="s">
        <v>27</v>
      </c>
      <c r="D11" s="410" t="s">
        <v>29</v>
      </c>
      <c r="E11" s="410" t="s">
        <v>32</v>
      </c>
      <c r="F11" s="410" t="s">
        <v>246</v>
      </c>
      <c r="G11" s="411" t="s">
        <v>247</v>
      </c>
    </row>
    <row r="12" spans="2:7" ht="15.75">
      <c r="B12" s="331" t="s">
        <v>134</v>
      </c>
      <c r="C12" s="334" t="s">
        <v>11</v>
      </c>
      <c r="D12" s="333" t="s">
        <v>111</v>
      </c>
      <c r="E12" s="333" t="s">
        <v>110</v>
      </c>
      <c r="F12" s="333" t="s">
        <v>112</v>
      </c>
      <c r="G12" s="333" t="s">
        <v>113</v>
      </c>
    </row>
    <row r="13" spans="2:7" ht="15">
      <c r="B13" s="340">
        <v>1</v>
      </c>
      <c r="C13" s="341">
        <f aca="true" t="shared" si="0" ref="C13:C42">IF(F13&lt;&gt;0,VLOOKUP($D$7,Info_County_Code,2,FALSE),"")</f>
        <v>38</v>
      </c>
      <c r="D13" s="71" t="s">
        <v>34</v>
      </c>
      <c r="E13" s="64" t="s">
        <v>290</v>
      </c>
      <c r="F13" s="72">
        <v>-3370.89</v>
      </c>
      <c r="G13" s="186" t="s">
        <v>361</v>
      </c>
    </row>
    <row r="14" spans="2:7" ht="15">
      <c r="B14" s="340">
        <v>2</v>
      </c>
      <c r="C14" s="341">
        <f t="shared" si="0"/>
        <v>38</v>
      </c>
      <c r="D14" s="71" t="s">
        <v>36</v>
      </c>
      <c r="E14" s="64" t="s">
        <v>290</v>
      </c>
      <c r="F14" s="72">
        <v>1151.97</v>
      </c>
      <c r="G14" s="186" t="s">
        <v>361</v>
      </c>
    </row>
    <row r="15" spans="2:7" ht="15">
      <c r="B15" s="340">
        <v>3</v>
      </c>
      <c r="C15" s="341">
        <f t="shared" si="0"/>
        <v>38</v>
      </c>
      <c r="D15" s="71" t="s">
        <v>35</v>
      </c>
      <c r="E15" s="64" t="s">
        <v>290</v>
      </c>
      <c r="F15" s="72">
        <v>-11332</v>
      </c>
      <c r="G15" s="186" t="s">
        <v>361</v>
      </c>
    </row>
    <row r="16" spans="2:7" ht="15">
      <c r="B16" s="340">
        <v>4</v>
      </c>
      <c r="C16" s="341">
        <f t="shared" si="0"/>
        <v>38</v>
      </c>
      <c r="D16" s="71" t="s">
        <v>37</v>
      </c>
      <c r="E16" s="64" t="s">
        <v>290</v>
      </c>
      <c r="F16" s="74">
        <v>771.8</v>
      </c>
      <c r="G16" s="186" t="s">
        <v>361</v>
      </c>
    </row>
    <row r="17" spans="2:7" ht="15">
      <c r="B17" s="340">
        <v>5</v>
      </c>
      <c r="C17" s="341">
        <f t="shared" si="0"/>
        <v>38</v>
      </c>
      <c r="D17" s="71" t="s">
        <v>34</v>
      </c>
      <c r="E17" s="64" t="s">
        <v>290</v>
      </c>
      <c r="F17" s="74">
        <v>-165233.78</v>
      </c>
      <c r="G17" s="186" t="s">
        <v>359</v>
      </c>
    </row>
    <row r="18" spans="2:7" ht="15">
      <c r="B18" s="340">
        <v>6</v>
      </c>
      <c r="C18" s="341">
        <f t="shared" si="0"/>
        <v>38</v>
      </c>
      <c r="D18" s="71" t="s">
        <v>35</v>
      </c>
      <c r="E18" s="64" t="s">
        <v>290</v>
      </c>
      <c r="F18" s="74">
        <v>64752.23</v>
      </c>
      <c r="G18" s="186" t="s">
        <v>359</v>
      </c>
    </row>
    <row r="19" spans="2:7" ht="15">
      <c r="B19" s="340">
        <v>7</v>
      </c>
      <c r="C19" s="341">
        <f t="shared" si="0"/>
        <v>38</v>
      </c>
      <c r="D19" s="71" t="s">
        <v>37</v>
      </c>
      <c r="E19" s="64" t="s">
        <v>290</v>
      </c>
      <c r="F19" s="74">
        <v>-1396</v>
      </c>
      <c r="G19" s="186" t="s">
        <v>359</v>
      </c>
    </row>
    <row r="20" spans="2:7" ht="15">
      <c r="B20" s="340">
        <v>8</v>
      </c>
      <c r="C20" s="341">
        <f>IF(F21&lt;&gt;0,VLOOKUP($D$7,Info_County_Code,2,FALSE),"")</f>
        <v>38</v>
      </c>
      <c r="D20" s="192" t="s">
        <v>38</v>
      </c>
      <c r="E20" s="64" t="s">
        <v>290</v>
      </c>
      <c r="F20" s="74">
        <v>101877.55</v>
      </c>
      <c r="G20" s="186" t="s">
        <v>359</v>
      </c>
    </row>
    <row r="21" spans="2:7" ht="30">
      <c r="B21" s="340">
        <v>9</v>
      </c>
      <c r="C21" s="341">
        <f>IF(F22&lt;&gt;0,VLOOKUP($D$7,Info_County_Code,2,FALSE),"")</f>
        <v>38</v>
      </c>
      <c r="D21" s="71" t="s">
        <v>34</v>
      </c>
      <c r="E21" s="64" t="s">
        <v>290</v>
      </c>
      <c r="F21" s="74">
        <v>-24476.66</v>
      </c>
      <c r="G21" s="186" t="s">
        <v>360</v>
      </c>
    </row>
    <row r="22" spans="2:7" ht="30">
      <c r="B22" s="340">
        <v>10</v>
      </c>
      <c r="C22" s="341" t="e">
        <f>IF(#REF!&lt;&gt;0,VLOOKUP($D$7,Info_County_Code,2,FALSE),"")</f>
        <v>#REF!</v>
      </c>
      <c r="D22" s="71" t="s">
        <v>37</v>
      </c>
      <c r="E22" s="64" t="s">
        <v>290</v>
      </c>
      <c r="F22" s="74">
        <v>-1182</v>
      </c>
      <c r="G22" s="186" t="s">
        <v>360</v>
      </c>
    </row>
    <row r="23" spans="2:7" ht="62.25" customHeight="1">
      <c r="B23" s="340">
        <v>11</v>
      </c>
      <c r="C23" s="341">
        <f t="shared" si="0"/>
        <v>38</v>
      </c>
      <c r="D23" s="71" t="s">
        <v>119</v>
      </c>
      <c r="E23" s="64" t="s">
        <v>291</v>
      </c>
      <c r="F23" s="72">
        <v>-126138</v>
      </c>
      <c r="G23" s="186" t="s">
        <v>363</v>
      </c>
    </row>
    <row r="24" spans="2:7" ht="45">
      <c r="B24" s="340">
        <v>12</v>
      </c>
      <c r="C24" s="341">
        <f t="shared" si="0"/>
        <v>38</v>
      </c>
      <c r="D24" s="71" t="s">
        <v>35</v>
      </c>
      <c r="E24" s="64" t="s">
        <v>291</v>
      </c>
      <c r="F24" s="72">
        <v>13150</v>
      </c>
      <c r="G24" s="186" t="s">
        <v>364</v>
      </c>
    </row>
    <row r="25" spans="2:7" ht="45">
      <c r="B25" s="340">
        <v>13</v>
      </c>
      <c r="C25" s="341">
        <f t="shared" si="0"/>
        <v>38</v>
      </c>
      <c r="D25" s="71" t="s">
        <v>35</v>
      </c>
      <c r="E25" s="64" t="s">
        <v>290</v>
      </c>
      <c r="F25" s="72">
        <v>-26000</v>
      </c>
      <c r="G25" s="186" t="s">
        <v>365</v>
      </c>
    </row>
    <row r="26" spans="2:7" ht="30">
      <c r="B26" s="340">
        <v>14</v>
      </c>
      <c r="C26" s="341">
        <f t="shared" si="0"/>
        <v>38</v>
      </c>
      <c r="D26" s="71" t="s">
        <v>41</v>
      </c>
      <c r="E26" s="64"/>
      <c r="F26" s="72">
        <v>23583.47</v>
      </c>
      <c r="G26" s="186" t="s">
        <v>366</v>
      </c>
    </row>
    <row r="27" spans="2:7" ht="15">
      <c r="B27" s="340">
        <v>15</v>
      </c>
      <c r="C27" s="341">
        <f t="shared" si="0"/>
      </c>
      <c r="D27" s="71"/>
      <c r="E27" s="64"/>
      <c r="F27" s="74"/>
      <c r="G27" s="73"/>
    </row>
    <row r="28" spans="2:7" ht="15">
      <c r="B28" s="340">
        <v>16</v>
      </c>
      <c r="C28" s="341">
        <f t="shared" si="0"/>
      </c>
      <c r="D28" s="71"/>
      <c r="E28" s="64"/>
      <c r="F28" s="72"/>
      <c r="G28" s="186"/>
    </row>
    <row r="29" spans="2:7" ht="15">
      <c r="B29" s="340">
        <v>17</v>
      </c>
      <c r="C29" s="341">
        <f t="shared" si="0"/>
      </c>
      <c r="D29" s="71"/>
      <c r="E29" s="64"/>
      <c r="F29" s="72"/>
      <c r="G29" s="186"/>
    </row>
    <row r="30" spans="2:7" ht="15">
      <c r="B30" s="340">
        <v>18</v>
      </c>
      <c r="C30" s="341">
        <f t="shared" si="0"/>
      </c>
      <c r="D30" s="71"/>
      <c r="E30" s="64"/>
      <c r="F30" s="74"/>
      <c r="G30" s="73"/>
    </row>
    <row r="31" spans="2:7" ht="15">
      <c r="B31" s="340">
        <v>19</v>
      </c>
      <c r="C31" s="341">
        <f t="shared" si="0"/>
      </c>
      <c r="D31" s="71"/>
      <c r="E31" s="64"/>
      <c r="F31" s="74"/>
      <c r="G31" s="73"/>
    </row>
    <row r="32" spans="2:7" ht="15">
      <c r="B32" s="340">
        <v>20</v>
      </c>
      <c r="C32" s="341">
        <f t="shared" si="0"/>
      </c>
      <c r="D32" s="71"/>
      <c r="E32" s="64"/>
      <c r="F32" s="74"/>
      <c r="G32" s="73"/>
    </row>
    <row r="33" spans="2:7" ht="15">
      <c r="B33" s="340">
        <v>21</v>
      </c>
      <c r="C33" s="341">
        <f t="shared" si="0"/>
      </c>
      <c r="D33" s="71"/>
      <c r="E33" s="64"/>
      <c r="F33" s="72"/>
      <c r="G33" s="73"/>
    </row>
    <row r="34" spans="2:7" ht="15">
      <c r="B34" s="340">
        <v>22</v>
      </c>
      <c r="C34" s="341">
        <f t="shared" si="0"/>
      </c>
      <c r="D34" s="71"/>
      <c r="E34" s="64"/>
      <c r="F34" s="72"/>
      <c r="G34" s="73"/>
    </row>
    <row r="35" spans="2:7" ht="15">
      <c r="B35" s="340">
        <v>23</v>
      </c>
      <c r="C35" s="341">
        <f t="shared" si="0"/>
      </c>
      <c r="D35" s="71"/>
      <c r="E35" s="64"/>
      <c r="F35" s="72"/>
      <c r="G35" s="73"/>
    </row>
    <row r="36" spans="2:7" ht="15">
      <c r="B36" s="340">
        <v>24</v>
      </c>
      <c r="C36" s="341">
        <f t="shared" si="0"/>
      </c>
      <c r="D36" s="71"/>
      <c r="E36" s="64"/>
      <c r="F36" s="72"/>
      <c r="G36" s="73"/>
    </row>
    <row r="37" spans="2:7" ht="15">
      <c r="B37" s="340">
        <v>25</v>
      </c>
      <c r="C37" s="341">
        <f t="shared" si="0"/>
      </c>
      <c r="D37" s="71"/>
      <c r="E37" s="64"/>
      <c r="F37" s="74"/>
      <c r="G37" s="73"/>
    </row>
    <row r="38" spans="2:7" ht="15">
      <c r="B38" s="340">
        <v>26</v>
      </c>
      <c r="C38" s="341">
        <f t="shared" si="0"/>
      </c>
      <c r="D38" s="71"/>
      <c r="E38" s="64"/>
      <c r="F38" s="74"/>
      <c r="G38" s="73"/>
    </row>
    <row r="39" spans="2:7" ht="15">
      <c r="B39" s="340">
        <v>27</v>
      </c>
      <c r="C39" s="341">
        <f t="shared" si="0"/>
      </c>
      <c r="D39" s="71"/>
      <c r="E39" s="64"/>
      <c r="F39" s="74"/>
      <c r="G39" s="73"/>
    </row>
    <row r="40" spans="2:7" ht="15">
      <c r="B40" s="340">
        <v>28</v>
      </c>
      <c r="C40" s="341">
        <f t="shared" si="0"/>
      </c>
      <c r="D40" s="71"/>
      <c r="E40" s="64"/>
      <c r="F40" s="74"/>
      <c r="G40" s="73"/>
    </row>
    <row r="41" spans="2:7" ht="15">
      <c r="B41" s="340">
        <v>29</v>
      </c>
      <c r="C41" s="341">
        <f t="shared" si="0"/>
      </c>
      <c r="D41" s="71"/>
      <c r="E41" s="64"/>
      <c r="F41" s="74"/>
      <c r="G41" s="73"/>
    </row>
    <row r="42" spans="2:7" ht="15">
      <c r="B42" s="340">
        <v>30</v>
      </c>
      <c r="C42" s="341">
        <f t="shared" si="0"/>
      </c>
      <c r="D42" s="71"/>
      <c r="E42" s="64"/>
      <c r="F42" s="74"/>
      <c r="G42" s="73"/>
    </row>
    <row r="43" spans="2:7" ht="15">
      <c r="B43" s="49"/>
      <c r="C43" s="75">
        <f>IF(NOT(COUNTA(D43:G43)),"",VLOOKUP(D22,Info_County_Code,2,FALSE))</f>
      </c>
      <c r="D43" s="46"/>
      <c r="E43" s="46"/>
      <c r="F43" s="76"/>
      <c r="G43" s="49"/>
    </row>
    <row r="44" spans="2:7" ht="18.75" thickBot="1">
      <c r="B44" s="303" t="s">
        <v>261</v>
      </c>
      <c r="C44" s="77"/>
      <c r="D44" s="52"/>
      <c r="E44" s="52"/>
      <c r="F44" s="78"/>
      <c r="G44" s="78"/>
    </row>
    <row r="45" s="46" customFormat="1" ht="15.75" thickTop="1"/>
    <row r="46" spans="3:7" s="46" customFormat="1" ht="15">
      <c r="C46" s="340" t="s">
        <v>27</v>
      </c>
      <c r="D46" s="340" t="s">
        <v>29</v>
      </c>
      <c r="E46" s="410" t="s">
        <v>32</v>
      </c>
      <c r="F46" s="289" t="s">
        <v>246</v>
      </c>
      <c r="G46" s="411" t="s">
        <v>247</v>
      </c>
    </row>
    <row r="47" spans="2:7" ht="15.75">
      <c r="B47" s="331" t="s">
        <v>134</v>
      </c>
      <c r="C47" s="334" t="s">
        <v>11</v>
      </c>
      <c r="D47" s="334" t="s">
        <v>191</v>
      </c>
      <c r="E47" s="333" t="s">
        <v>110</v>
      </c>
      <c r="F47" s="333" t="s">
        <v>112</v>
      </c>
      <c r="G47" s="333" t="s">
        <v>113</v>
      </c>
    </row>
    <row r="48" spans="2:7" ht="15">
      <c r="B48" s="340">
        <v>1</v>
      </c>
      <c r="C48" s="341">
        <f aca="true" t="shared" si="1" ref="C48:C77">IF(F48&lt;&gt;0,VLOOKUP($D$7,Info_County_Code,2,FALSE),"")</f>
      </c>
      <c r="D48" s="412" t="s">
        <v>286</v>
      </c>
      <c r="E48" s="178"/>
      <c r="F48" s="72"/>
      <c r="G48" s="186"/>
    </row>
    <row r="49" spans="2:7" ht="15">
      <c r="B49" s="340">
        <v>2</v>
      </c>
      <c r="C49" s="341">
        <f t="shared" si="1"/>
      </c>
      <c r="D49" s="412" t="s">
        <v>286</v>
      </c>
      <c r="E49" s="64"/>
      <c r="F49" s="72"/>
      <c r="G49" s="186"/>
    </row>
    <row r="50" spans="2:7" ht="15">
      <c r="B50" s="340">
        <v>3</v>
      </c>
      <c r="C50" s="341">
        <f t="shared" si="1"/>
      </c>
      <c r="D50" s="412" t="s">
        <v>286</v>
      </c>
      <c r="E50" s="64"/>
      <c r="F50" s="72"/>
      <c r="G50" s="73"/>
    </row>
    <row r="51" spans="2:7" ht="15">
      <c r="B51" s="340">
        <v>4</v>
      </c>
      <c r="C51" s="341">
        <f t="shared" si="1"/>
      </c>
      <c r="D51" s="412" t="s">
        <v>286</v>
      </c>
      <c r="E51" s="64"/>
      <c r="F51" s="72"/>
      <c r="G51" s="73"/>
    </row>
    <row r="52" spans="2:7" ht="15">
      <c r="B52" s="340">
        <v>5</v>
      </c>
      <c r="C52" s="341">
        <f t="shared" si="1"/>
      </c>
      <c r="D52" s="412" t="s">
        <v>286</v>
      </c>
      <c r="E52" s="64"/>
      <c r="F52" s="72"/>
      <c r="G52" s="73"/>
    </row>
    <row r="53" spans="2:7" ht="15">
      <c r="B53" s="340">
        <v>6</v>
      </c>
      <c r="C53" s="341">
        <f t="shared" si="1"/>
      </c>
      <c r="D53" s="412" t="s">
        <v>286</v>
      </c>
      <c r="E53" s="64"/>
      <c r="F53" s="72"/>
      <c r="G53" s="73"/>
    </row>
    <row r="54" spans="2:7" ht="15">
      <c r="B54" s="340">
        <v>7</v>
      </c>
      <c r="C54" s="341">
        <f t="shared" si="1"/>
      </c>
      <c r="D54" s="412" t="s">
        <v>286</v>
      </c>
      <c r="E54" s="64"/>
      <c r="F54" s="72"/>
      <c r="G54" s="73"/>
    </row>
    <row r="55" spans="2:7" ht="15">
      <c r="B55" s="340">
        <v>8</v>
      </c>
      <c r="C55" s="341">
        <f t="shared" si="1"/>
      </c>
      <c r="D55" s="412" t="s">
        <v>286</v>
      </c>
      <c r="E55" s="64"/>
      <c r="F55" s="72"/>
      <c r="G55" s="73"/>
    </row>
    <row r="56" spans="2:7" ht="15">
      <c r="B56" s="340">
        <v>9</v>
      </c>
      <c r="C56" s="341">
        <f t="shared" si="1"/>
      </c>
      <c r="D56" s="412" t="s">
        <v>286</v>
      </c>
      <c r="E56" s="64"/>
      <c r="F56" s="72"/>
      <c r="G56" s="73"/>
    </row>
    <row r="57" spans="2:7" ht="15">
      <c r="B57" s="340">
        <v>10</v>
      </c>
      <c r="C57" s="341">
        <f t="shared" si="1"/>
      </c>
      <c r="D57" s="412" t="s">
        <v>286</v>
      </c>
      <c r="E57" s="64"/>
      <c r="F57" s="72"/>
      <c r="G57" s="73"/>
    </row>
    <row r="58" spans="2:7" ht="15">
      <c r="B58" s="340">
        <v>11</v>
      </c>
      <c r="C58" s="341">
        <f t="shared" si="1"/>
      </c>
      <c r="D58" s="412" t="s">
        <v>286</v>
      </c>
      <c r="E58" s="64"/>
      <c r="F58" s="72"/>
      <c r="G58" s="73"/>
    </row>
    <row r="59" spans="2:7" ht="15">
      <c r="B59" s="340">
        <v>12</v>
      </c>
      <c r="C59" s="341">
        <f t="shared" si="1"/>
      </c>
      <c r="D59" s="412" t="s">
        <v>286</v>
      </c>
      <c r="E59" s="64"/>
      <c r="F59" s="72"/>
      <c r="G59" s="73"/>
    </row>
    <row r="60" spans="2:7" ht="15">
      <c r="B60" s="340">
        <v>13</v>
      </c>
      <c r="C60" s="341">
        <f t="shared" si="1"/>
      </c>
      <c r="D60" s="412" t="s">
        <v>286</v>
      </c>
      <c r="E60" s="64"/>
      <c r="F60" s="72"/>
      <c r="G60" s="73"/>
    </row>
    <row r="61" spans="2:7" ht="15">
      <c r="B61" s="340">
        <v>14</v>
      </c>
      <c r="C61" s="341">
        <f t="shared" si="1"/>
      </c>
      <c r="D61" s="412" t="s">
        <v>286</v>
      </c>
      <c r="E61" s="64"/>
      <c r="F61" s="72"/>
      <c r="G61" s="73"/>
    </row>
    <row r="62" spans="2:7" ht="15">
      <c r="B62" s="340">
        <v>15</v>
      </c>
      <c r="C62" s="341">
        <f t="shared" si="1"/>
      </c>
      <c r="D62" s="412" t="s">
        <v>286</v>
      </c>
      <c r="E62" s="64"/>
      <c r="F62" s="72"/>
      <c r="G62" s="73"/>
    </row>
    <row r="63" spans="2:7" ht="15">
      <c r="B63" s="340">
        <v>16</v>
      </c>
      <c r="C63" s="341">
        <f t="shared" si="1"/>
      </c>
      <c r="D63" s="412" t="s">
        <v>286</v>
      </c>
      <c r="E63" s="64"/>
      <c r="F63" s="72"/>
      <c r="G63" s="73"/>
    </row>
    <row r="64" spans="2:7" ht="15">
      <c r="B64" s="340">
        <v>17</v>
      </c>
      <c r="C64" s="341">
        <f t="shared" si="1"/>
      </c>
      <c r="D64" s="412" t="s">
        <v>286</v>
      </c>
      <c r="E64" s="64"/>
      <c r="F64" s="72"/>
      <c r="G64" s="73"/>
    </row>
    <row r="65" spans="2:7" ht="15">
      <c r="B65" s="340">
        <v>18</v>
      </c>
      <c r="C65" s="341">
        <f t="shared" si="1"/>
      </c>
      <c r="D65" s="412" t="s">
        <v>286</v>
      </c>
      <c r="E65" s="64"/>
      <c r="F65" s="72"/>
      <c r="G65" s="73"/>
    </row>
    <row r="66" spans="2:7" ht="15">
      <c r="B66" s="340">
        <v>19</v>
      </c>
      <c r="C66" s="341">
        <f t="shared" si="1"/>
      </c>
      <c r="D66" s="412" t="s">
        <v>286</v>
      </c>
      <c r="E66" s="64"/>
      <c r="F66" s="72"/>
      <c r="G66" s="73"/>
    </row>
    <row r="67" spans="2:7" ht="15">
      <c r="B67" s="340">
        <v>20</v>
      </c>
      <c r="C67" s="341">
        <f t="shared" si="1"/>
      </c>
      <c r="D67" s="412" t="s">
        <v>286</v>
      </c>
      <c r="E67" s="64"/>
      <c r="F67" s="72"/>
      <c r="G67" s="73"/>
    </row>
    <row r="68" spans="2:7" ht="15">
      <c r="B68" s="340">
        <v>21</v>
      </c>
      <c r="C68" s="341">
        <f t="shared" si="1"/>
      </c>
      <c r="D68" s="412" t="s">
        <v>286</v>
      </c>
      <c r="E68" s="64"/>
      <c r="F68" s="72"/>
      <c r="G68" s="73"/>
    </row>
    <row r="69" spans="2:7" ht="15">
      <c r="B69" s="340">
        <v>22</v>
      </c>
      <c r="C69" s="341">
        <f t="shared" si="1"/>
      </c>
      <c r="D69" s="412" t="s">
        <v>286</v>
      </c>
      <c r="E69" s="64"/>
      <c r="F69" s="72"/>
      <c r="G69" s="73"/>
    </row>
    <row r="70" spans="2:7" ht="15">
      <c r="B70" s="340">
        <v>23</v>
      </c>
      <c r="C70" s="341">
        <f t="shared" si="1"/>
      </c>
      <c r="D70" s="412" t="s">
        <v>286</v>
      </c>
      <c r="E70" s="64"/>
      <c r="F70" s="72"/>
      <c r="G70" s="73"/>
    </row>
    <row r="71" spans="2:7" ht="15">
      <c r="B71" s="340">
        <v>24</v>
      </c>
      <c r="C71" s="341">
        <f t="shared" si="1"/>
      </c>
      <c r="D71" s="412" t="s">
        <v>286</v>
      </c>
      <c r="E71" s="64"/>
      <c r="F71" s="72"/>
      <c r="G71" s="73"/>
    </row>
    <row r="72" spans="2:7" ht="15">
      <c r="B72" s="340">
        <v>25</v>
      </c>
      <c r="C72" s="341">
        <f t="shared" si="1"/>
      </c>
      <c r="D72" s="412" t="s">
        <v>286</v>
      </c>
      <c r="E72" s="64"/>
      <c r="F72" s="72"/>
      <c r="G72" s="73"/>
    </row>
    <row r="73" spans="2:7" ht="15">
      <c r="B73" s="340">
        <v>26</v>
      </c>
      <c r="C73" s="341">
        <f t="shared" si="1"/>
      </c>
      <c r="D73" s="412" t="s">
        <v>286</v>
      </c>
      <c r="E73" s="64"/>
      <c r="F73" s="72"/>
      <c r="G73" s="73"/>
    </row>
    <row r="74" spans="2:7" ht="15">
      <c r="B74" s="340">
        <v>27</v>
      </c>
      <c r="C74" s="341">
        <f t="shared" si="1"/>
      </c>
      <c r="D74" s="412" t="s">
        <v>286</v>
      </c>
      <c r="E74" s="64"/>
      <c r="F74" s="72"/>
      <c r="G74" s="73"/>
    </row>
    <row r="75" spans="2:7" ht="15">
      <c r="B75" s="340">
        <v>28</v>
      </c>
      <c r="C75" s="341">
        <f t="shared" si="1"/>
      </c>
      <c r="D75" s="412" t="s">
        <v>286</v>
      </c>
      <c r="E75" s="64"/>
      <c r="F75" s="72"/>
      <c r="G75" s="73"/>
    </row>
    <row r="76" spans="2:7" ht="15">
      <c r="B76" s="340">
        <v>29</v>
      </c>
      <c r="C76" s="341">
        <f t="shared" si="1"/>
      </c>
      <c r="D76" s="412" t="s">
        <v>286</v>
      </c>
      <c r="E76" s="64"/>
      <c r="F76" s="72"/>
      <c r="G76" s="73"/>
    </row>
    <row r="77" spans="2:7" ht="15">
      <c r="B77" s="340">
        <v>30</v>
      </c>
      <c r="C77" s="341">
        <f t="shared" si="1"/>
      </c>
      <c r="D77" s="412" t="s">
        <v>286</v>
      </c>
      <c r="E77" s="64"/>
      <c r="F77" s="72"/>
      <c r="G77" s="73"/>
    </row>
    <row r="78" spans="2:7" ht="15">
      <c r="B78" s="49"/>
      <c r="C78" s="49"/>
      <c r="D78" s="75"/>
      <c r="E78" s="50"/>
      <c r="F78" s="49"/>
      <c r="G78" s="49"/>
    </row>
    <row r="79" spans="2:7" ht="18.75" thickBot="1">
      <c r="B79" s="303" t="s">
        <v>262</v>
      </c>
      <c r="C79" s="52"/>
      <c r="D79" s="77"/>
      <c r="E79" s="54"/>
      <c r="F79" s="52"/>
      <c r="G79" s="52"/>
    </row>
    <row r="80" spans="2:7" ht="15.75" thickTop="1">
      <c r="B80" s="49"/>
      <c r="C80" s="49"/>
      <c r="D80" s="75"/>
      <c r="E80" s="50"/>
      <c r="F80" s="49"/>
      <c r="G80" s="49"/>
    </row>
    <row r="81" spans="2:7" ht="15">
      <c r="B81" s="49"/>
      <c r="C81" s="411" t="s">
        <v>27</v>
      </c>
      <c r="D81" s="413" t="s">
        <v>29</v>
      </c>
      <c r="E81" s="410" t="s">
        <v>32</v>
      </c>
      <c r="F81" s="318" t="s">
        <v>246</v>
      </c>
      <c r="G81" s="289" t="s">
        <v>247</v>
      </c>
    </row>
    <row r="82" spans="2:7" ht="15.75">
      <c r="B82" s="331" t="s">
        <v>134</v>
      </c>
      <c r="C82" s="334" t="s">
        <v>11</v>
      </c>
      <c r="D82" s="334" t="s">
        <v>191</v>
      </c>
      <c r="E82" s="333" t="s">
        <v>110</v>
      </c>
      <c r="F82" s="333" t="s">
        <v>112</v>
      </c>
      <c r="G82" s="333" t="s">
        <v>113</v>
      </c>
    </row>
    <row r="83" spans="2:7" ht="15">
      <c r="B83" s="340">
        <v>1</v>
      </c>
      <c r="C83" s="341">
        <f aca="true" t="shared" si="2" ref="C83:C112">IF(F83&lt;&gt;0,VLOOKUP($D$7,Info_County_Code,2,FALSE),"")</f>
      </c>
      <c r="D83" s="414" t="s">
        <v>192</v>
      </c>
      <c r="E83" s="178"/>
      <c r="F83" s="72"/>
      <c r="G83" s="186"/>
    </row>
    <row r="84" spans="2:7" ht="15">
      <c r="B84" s="340">
        <v>2</v>
      </c>
      <c r="C84" s="341">
        <f t="shared" si="2"/>
      </c>
      <c r="D84" s="414" t="s">
        <v>192</v>
      </c>
      <c r="E84" s="64"/>
      <c r="F84" s="72"/>
      <c r="G84" s="186"/>
    </row>
    <row r="85" spans="2:7" ht="15">
      <c r="B85" s="340">
        <v>3</v>
      </c>
      <c r="C85" s="341">
        <f t="shared" si="2"/>
      </c>
      <c r="D85" s="414" t="s">
        <v>192</v>
      </c>
      <c r="E85" s="64"/>
      <c r="F85" s="72"/>
      <c r="G85" s="73"/>
    </row>
    <row r="86" spans="2:7" ht="15">
      <c r="B86" s="340">
        <v>4</v>
      </c>
      <c r="C86" s="341">
        <f t="shared" si="2"/>
      </c>
      <c r="D86" s="414" t="s">
        <v>192</v>
      </c>
      <c r="E86" s="64"/>
      <c r="F86" s="72"/>
      <c r="G86" s="73"/>
    </row>
    <row r="87" spans="2:7" ht="15">
      <c r="B87" s="340">
        <v>5</v>
      </c>
      <c r="C87" s="341">
        <f t="shared" si="2"/>
      </c>
      <c r="D87" s="414" t="s">
        <v>192</v>
      </c>
      <c r="E87" s="64"/>
      <c r="F87" s="72"/>
      <c r="G87" s="73"/>
    </row>
    <row r="88" spans="2:7" ht="15">
      <c r="B88" s="340">
        <v>6</v>
      </c>
      <c r="C88" s="341">
        <f t="shared" si="2"/>
      </c>
      <c r="D88" s="414" t="s">
        <v>192</v>
      </c>
      <c r="E88" s="64"/>
      <c r="F88" s="72"/>
      <c r="G88" s="73"/>
    </row>
    <row r="89" spans="2:7" ht="15">
      <c r="B89" s="340">
        <v>7</v>
      </c>
      <c r="C89" s="341">
        <f t="shared" si="2"/>
      </c>
      <c r="D89" s="414" t="s">
        <v>192</v>
      </c>
      <c r="E89" s="64"/>
      <c r="F89" s="72"/>
      <c r="G89" s="73"/>
    </row>
    <row r="90" spans="2:7" ht="15">
      <c r="B90" s="340">
        <v>8</v>
      </c>
      <c r="C90" s="341">
        <f t="shared" si="2"/>
      </c>
      <c r="D90" s="414" t="s">
        <v>192</v>
      </c>
      <c r="E90" s="64"/>
      <c r="F90" s="72"/>
      <c r="G90" s="73"/>
    </row>
    <row r="91" spans="2:7" ht="15">
      <c r="B91" s="340">
        <v>9</v>
      </c>
      <c r="C91" s="341">
        <f t="shared" si="2"/>
      </c>
      <c r="D91" s="414" t="s">
        <v>192</v>
      </c>
      <c r="E91" s="64"/>
      <c r="F91" s="72"/>
      <c r="G91" s="73"/>
    </row>
    <row r="92" spans="2:7" ht="15">
      <c r="B92" s="340">
        <v>10</v>
      </c>
      <c r="C92" s="341">
        <f t="shared" si="2"/>
      </c>
      <c r="D92" s="414" t="s">
        <v>192</v>
      </c>
      <c r="E92" s="64"/>
      <c r="F92" s="72"/>
      <c r="G92" s="73"/>
    </row>
    <row r="93" spans="2:7" ht="15">
      <c r="B93" s="340">
        <v>11</v>
      </c>
      <c r="C93" s="341">
        <f t="shared" si="2"/>
      </c>
      <c r="D93" s="414" t="s">
        <v>192</v>
      </c>
      <c r="E93" s="64"/>
      <c r="F93" s="72"/>
      <c r="G93" s="73"/>
    </row>
    <row r="94" spans="2:7" ht="15">
      <c r="B94" s="340">
        <v>12</v>
      </c>
      <c r="C94" s="341">
        <f t="shared" si="2"/>
      </c>
      <c r="D94" s="414" t="s">
        <v>192</v>
      </c>
      <c r="E94" s="64"/>
      <c r="F94" s="72"/>
      <c r="G94" s="73"/>
    </row>
    <row r="95" spans="2:7" ht="15">
      <c r="B95" s="340">
        <v>13</v>
      </c>
      <c r="C95" s="341">
        <f t="shared" si="2"/>
      </c>
      <c r="D95" s="414" t="s">
        <v>192</v>
      </c>
      <c r="E95" s="64"/>
      <c r="F95" s="72"/>
      <c r="G95" s="73"/>
    </row>
    <row r="96" spans="2:7" ht="15">
      <c r="B96" s="340">
        <v>14</v>
      </c>
      <c r="C96" s="341">
        <f t="shared" si="2"/>
      </c>
      <c r="D96" s="414" t="s">
        <v>192</v>
      </c>
      <c r="E96" s="64"/>
      <c r="F96" s="72"/>
      <c r="G96" s="73"/>
    </row>
    <row r="97" spans="2:7" ht="15">
      <c r="B97" s="340">
        <v>15</v>
      </c>
      <c r="C97" s="341">
        <f t="shared" si="2"/>
      </c>
      <c r="D97" s="414" t="s">
        <v>192</v>
      </c>
      <c r="E97" s="64"/>
      <c r="F97" s="72"/>
      <c r="G97" s="73"/>
    </row>
    <row r="98" spans="2:7" ht="15">
      <c r="B98" s="340">
        <v>16</v>
      </c>
      <c r="C98" s="341">
        <f t="shared" si="2"/>
      </c>
      <c r="D98" s="414" t="s">
        <v>192</v>
      </c>
      <c r="E98" s="64"/>
      <c r="F98" s="72"/>
      <c r="G98" s="73"/>
    </row>
    <row r="99" spans="2:7" ht="15">
      <c r="B99" s="340">
        <v>17</v>
      </c>
      <c r="C99" s="341">
        <f t="shared" si="2"/>
      </c>
      <c r="D99" s="414" t="s">
        <v>192</v>
      </c>
      <c r="E99" s="64"/>
      <c r="F99" s="72"/>
      <c r="G99" s="73"/>
    </row>
    <row r="100" spans="2:7" ht="15">
      <c r="B100" s="340">
        <v>18</v>
      </c>
      <c r="C100" s="341">
        <f t="shared" si="2"/>
      </c>
      <c r="D100" s="414" t="s">
        <v>192</v>
      </c>
      <c r="E100" s="64"/>
      <c r="F100" s="72"/>
      <c r="G100" s="73"/>
    </row>
    <row r="101" spans="2:7" ht="15">
      <c r="B101" s="340">
        <v>19</v>
      </c>
      <c r="C101" s="341">
        <f t="shared" si="2"/>
      </c>
      <c r="D101" s="414" t="s">
        <v>192</v>
      </c>
      <c r="E101" s="64"/>
      <c r="F101" s="72"/>
      <c r="G101" s="73"/>
    </row>
    <row r="102" spans="2:7" ht="15">
      <c r="B102" s="340">
        <v>20</v>
      </c>
      <c r="C102" s="341">
        <f t="shared" si="2"/>
      </c>
      <c r="D102" s="414" t="s">
        <v>192</v>
      </c>
      <c r="E102" s="64"/>
      <c r="F102" s="72"/>
      <c r="G102" s="73"/>
    </row>
    <row r="103" spans="2:7" ht="15">
      <c r="B103" s="340">
        <v>21</v>
      </c>
      <c r="C103" s="341">
        <f t="shared" si="2"/>
      </c>
      <c r="D103" s="414" t="s">
        <v>192</v>
      </c>
      <c r="E103" s="64"/>
      <c r="F103" s="72"/>
      <c r="G103" s="73"/>
    </row>
    <row r="104" spans="2:7" ht="15">
      <c r="B104" s="340">
        <v>22</v>
      </c>
      <c r="C104" s="341">
        <f t="shared" si="2"/>
      </c>
      <c r="D104" s="414" t="s">
        <v>192</v>
      </c>
      <c r="E104" s="64"/>
      <c r="F104" s="72"/>
      <c r="G104" s="73"/>
    </row>
    <row r="105" spans="2:7" ht="15">
      <c r="B105" s="340">
        <v>23</v>
      </c>
      <c r="C105" s="341">
        <f t="shared" si="2"/>
      </c>
      <c r="D105" s="414" t="s">
        <v>192</v>
      </c>
      <c r="E105" s="64"/>
      <c r="F105" s="72"/>
      <c r="G105" s="73"/>
    </row>
    <row r="106" spans="2:7" ht="15">
      <c r="B106" s="340">
        <v>24</v>
      </c>
      <c r="C106" s="341">
        <f t="shared" si="2"/>
      </c>
      <c r="D106" s="414" t="s">
        <v>192</v>
      </c>
      <c r="E106" s="64"/>
      <c r="F106" s="72"/>
      <c r="G106" s="73"/>
    </row>
    <row r="107" spans="2:7" ht="15">
      <c r="B107" s="340">
        <v>25</v>
      </c>
      <c r="C107" s="341">
        <f t="shared" si="2"/>
      </c>
      <c r="D107" s="414" t="s">
        <v>192</v>
      </c>
      <c r="E107" s="64"/>
      <c r="F107" s="72"/>
      <c r="G107" s="73"/>
    </row>
    <row r="108" spans="2:7" ht="15">
      <c r="B108" s="340">
        <v>26</v>
      </c>
      <c r="C108" s="341">
        <f t="shared" si="2"/>
      </c>
      <c r="D108" s="414" t="s">
        <v>192</v>
      </c>
      <c r="E108" s="64"/>
      <c r="F108" s="72"/>
      <c r="G108" s="73"/>
    </row>
    <row r="109" spans="2:7" ht="15">
      <c r="B109" s="340">
        <v>27</v>
      </c>
      <c r="C109" s="341">
        <f t="shared" si="2"/>
      </c>
      <c r="D109" s="414" t="s">
        <v>192</v>
      </c>
      <c r="E109" s="64"/>
      <c r="F109" s="72"/>
      <c r="G109" s="73"/>
    </row>
    <row r="110" spans="2:7" ht="15">
      <c r="B110" s="340">
        <v>28</v>
      </c>
      <c r="C110" s="341">
        <f t="shared" si="2"/>
      </c>
      <c r="D110" s="414" t="s">
        <v>192</v>
      </c>
      <c r="E110" s="64"/>
      <c r="F110" s="72"/>
      <c r="G110" s="73"/>
    </row>
    <row r="111" spans="2:7" ht="15">
      <c r="B111" s="340">
        <v>29</v>
      </c>
      <c r="C111" s="341">
        <f t="shared" si="2"/>
      </c>
      <c r="D111" s="414" t="s">
        <v>192</v>
      </c>
      <c r="E111" s="64"/>
      <c r="F111" s="72"/>
      <c r="G111" s="73"/>
    </row>
    <row r="112" spans="2:7" ht="15">
      <c r="B112" s="340">
        <v>30</v>
      </c>
      <c r="C112" s="341">
        <f t="shared" si="2"/>
      </c>
      <c r="D112" s="414" t="s">
        <v>192</v>
      </c>
      <c r="E112" s="64"/>
      <c r="F112" s="72"/>
      <c r="G112" s="73"/>
    </row>
    <row r="113" ht="15" hidden="1"/>
    <row r="114" ht="15" hidden="1"/>
    <row r="115" ht="15" hidden="1"/>
    <row r="116" ht="15" hidden="1"/>
    <row r="117" ht="15" hidden="1"/>
    <row r="118" ht="15" hidden="1"/>
    <row r="119" ht="15" hidden="1"/>
    <row r="120" ht="15" hidden="1"/>
  </sheetData>
  <sheetProtection sheet="1" objects="1" scenarios="1" formatColumns="0" formatRows="0"/>
  <mergeCells count="1">
    <mergeCell ref="B7:C7"/>
  </mergeCells>
  <dataValidations count="2">
    <dataValidation type="list" allowBlank="1" showInputMessage="1" showErrorMessage="1" sqref="E48:E77 E83:E112 E13:E19 E21:E42">
      <formula1>Adjustment_MHSA_FY</formula1>
    </dataValidation>
    <dataValidation type="list" allowBlank="1" showInputMessage="1" showErrorMessage="1" sqref="D13:D19 D21:D42">
      <formula1>Adjustment_MHSA_Component</formula1>
    </dataValidation>
  </dataValidations>
  <printOptions/>
  <pageMargins left="0.25" right="0.25" top="0.4921875" bottom="0.0078125" header="0.3" footer="0.3"/>
  <pageSetup horizontalDpi="600" verticalDpi="600" orientation="landscape" paperSize="5" scale="75" r:id="rId1"/>
  <headerFooter>
    <oddFooter>&amp;C&amp;"Arial,Regular"&amp;16Page &amp;P of &amp;N</oddFooter>
  </headerFooter>
  <rowBreaks count="2" manualBreakCount="2">
    <brk id="43" min="1" max="6" man="1"/>
    <brk id="78" min="1" max="6" man="1"/>
  </rowBreaks>
</worksheet>
</file>

<file path=xl/worksheets/sheet12.xml><?xml version="1.0" encoding="utf-8"?>
<worksheet xmlns="http://schemas.openxmlformats.org/spreadsheetml/2006/main" xmlns:r="http://schemas.openxmlformats.org/officeDocument/2006/relationships">
  <sheetPr codeName="Sheet12"/>
  <dimension ref="A1:K52"/>
  <sheetViews>
    <sheetView showGridLines="0" zoomScale="85" zoomScaleNormal="85" zoomScalePageLayoutView="0" workbookViewId="0" topLeftCell="A1">
      <selection activeCell="E25" sqref="E25"/>
    </sheetView>
  </sheetViews>
  <sheetFormatPr defaultColWidth="0" defaultRowHeight="15" zeroHeight="1"/>
  <cols>
    <col min="1" max="1" width="2.7109375" style="49" customWidth="1"/>
    <col min="2" max="2" width="6.7109375" style="315" customWidth="1"/>
    <col min="3" max="3" width="9.421875" style="315" customWidth="1"/>
    <col min="4" max="4" width="17.57421875" style="315" customWidth="1"/>
    <col min="5" max="5" width="15.421875" style="315" bestFit="1" customWidth="1"/>
    <col min="6" max="6" width="15.00390625" style="315" bestFit="1" customWidth="1"/>
    <col min="7" max="7" width="30.57421875" style="315" customWidth="1"/>
    <col min="8" max="8" width="18.28125" style="315" customWidth="1"/>
    <col min="9" max="9" width="19.8515625" style="315" bestFit="1" customWidth="1"/>
    <col min="10" max="14" width="11.7109375" style="49" hidden="1" customWidth="1"/>
    <col min="15" max="16384" width="21.140625" style="49" hidden="1" customWidth="1"/>
  </cols>
  <sheetData>
    <row r="1" spans="1:9" ht="15">
      <c r="A1" s="284" t="s">
        <v>375</v>
      </c>
      <c r="B1" s="462"/>
      <c r="C1" s="462"/>
      <c r="D1" s="462"/>
      <c r="E1" s="49"/>
      <c r="F1" s="49"/>
      <c r="G1" s="49"/>
      <c r="H1" s="49"/>
      <c r="I1" s="49"/>
    </row>
    <row r="2" s="160" customFormat="1" ht="15">
      <c r="B2" s="312" t="str">
        <f>'1. Information'!B2</f>
        <v>Version 7/1/2018</v>
      </c>
    </row>
    <row r="3" spans="2:9" ht="18">
      <c r="B3" s="316" t="str">
        <f>'1. Information'!B3</f>
        <v>Annual Mental Health Services Act Revenue and Expenditure Report</v>
      </c>
      <c r="C3" s="27"/>
      <c r="D3" s="27"/>
      <c r="E3" s="27"/>
      <c r="F3" s="27"/>
      <c r="G3" s="27"/>
      <c r="H3" s="27"/>
      <c r="I3" s="49"/>
    </row>
    <row r="4" spans="2:9" ht="18">
      <c r="B4" s="316" t="str">
        <f>'1. Information'!B4</f>
        <v>Fiscal Year 2017-18</v>
      </c>
      <c r="C4" s="27"/>
      <c r="D4" s="27"/>
      <c r="E4" s="27"/>
      <c r="F4" s="27"/>
      <c r="G4" s="27"/>
      <c r="H4" s="27"/>
      <c r="I4" s="49"/>
    </row>
    <row r="5" spans="2:9" ht="18">
      <c r="B5" s="415" t="s">
        <v>33</v>
      </c>
      <c r="C5" s="42"/>
      <c r="D5" s="42"/>
      <c r="E5" s="42"/>
      <c r="F5" s="42"/>
      <c r="G5" s="42"/>
      <c r="H5" s="42"/>
      <c r="I5" s="49"/>
    </row>
    <row r="6" spans="2:9" ht="15.75">
      <c r="B6" s="45"/>
      <c r="C6" s="45"/>
      <c r="D6" s="45"/>
      <c r="E6" s="45"/>
      <c r="F6" s="45"/>
      <c r="G6" s="45"/>
      <c r="H6" s="45"/>
      <c r="I6" s="49"/>
    </row>
    <row r="7" spans="2:9" ht="15.75">
      <c r="B7" s="447" t="s">
        <v>1</v>
      </c>
      <c r="C7" s="447"/>
      <c r="D7" s="286" t="str">
        <f>IF(ISBLANK('1. Information'!D8),"",'1. Information'!D8)</f>
        <v>San Francisco</v>
      </c>
      <c r="E7" s="49"/>
      <c r="F7" s="248" t="s">
        <v>2</v>
      </c>
      <c r="G7" s="389">
        <f>IF(ISBLANK('1. Information'!D7),"",'1. Information'!D7)</f>
        <v>43465</v>
      </c>
      <c r="H7" s="12"/>
      <c r="I7" s="49"/>
    </row>
    <row r="8" spans="2:9" ht="15.75">
      <c r="B8" s="6"/>
      <c r="C8" s="6"/>
      <c r="D8" s="6"/>
      <c r="E8" s="49"/>
      <c r="F8" s="6"/>
      <c r="G8" s="43"/>
      <c r="H8" s="12"/>
      <c r="I8" s="49"/>
    </row>
    <row r="9" spans="2:9" ht="18.75" thickBot="1">
      <c r="B9" s="416" t="s">
        <v>260</v>
      </c>
      <c r="C9" s="38"/>
      <c r="D9" s="38"/>
      <c r="E9" s="38"/>
      <c r="F9" s="38"/>
      <c r="G9" s="38"/>
      <c r="H9" s="38"/>
      <c r="I9" s="52"/>
    </row>
    <row r="10" spans="2:9" ht="16.5" thickTop="1">
      <c r="B10" s="5"/>
      <c r="C10" s="5"/>
      <c r="D10" s="5"/>
      <c r="E10" s="5"/>
      <c r="F10" s="5"/>
      <c r="G10" s="5"/>
      <c r="H10" s="5"/>
      <c r="I10" s="49"/>
    </row>
    <row r="11" spans="2:9" ht="15">
      <c r="B11" s="49"/>
      <c r="C11" s="254" t="s">
        <v>27</v>
      </c>
      <c r="D11" s="254" t="s">
        <v>29</v>
      </c>
      <c r="E11" s="254" t="s">
        <v>32</v>
      </c>
      <c r="F11" s="254" t="s">
        <v>246</v>
      </c>
      <c r="G11" s="254" t="s">
        <v>247</v>
      </c>
      <c r="H11" s="254" t="s">
        <v>248</v>
      </c>
      <c r="I11" s="254" t="s">
        <v>257</v>
      </c>
    </row>
    <row r="12" spans="2:9" s="79" customFormat="1" ht="31.5">
      <c r="B12" s="236" t="s">
        <v>134</v>
      </c>
      <c r="C12" s="334" t="s">
        <v>11</v>
      </c>
      <c r="D12" s="333" t="s">
        <v>183</v>
      </c>
      <c r="E12" s="293" t="s">
        <v>179</v>
      </c>
      <c r="F12" s="293" t="s">
        <v>111</v>
      </c>
      <c r="G12" s="293" t="s">
        <v>242</v>
      </c>
      <c r="H12" s="293" t="s">
        <v>243</v>
      </c>
      <c r="I12" s="365" t="s">
        <v>244</v>
      </c>
    </row>
    <row r="13" spans="2:9" ht="15">
      <c r="B13" s="340">
        <v>1</v>
      </c>
      <c r="C13" s="341">
        <f aca="true" t="shared" si="0" ref="C13:C52">IF(I13&lt;&gt;0,VLOOKUP($D$7,Info_County_Code,2,FALSE),"")</f>
        <v>38</v>
      </c>
      <c r="D13" s="192" t="s">
        <v>290</v>
      </c>
      <c r="E13" s="71" t="s">
        <v>182</v>
      </c>
      <c r="F13" s="199" t="s">
        <v>34</v>
      </c>
      <c r="G13" s="44">
        <v>3163244.6</v>
      </c>
      <c r="H13" s="44">
        <v>-57794.58</v>
      </c>
      <c r="I13" s="255">
        <f>SUM(G13:H13)</f>
        <v>3105450.02</v>
      </c>
    </row>
    <row r="14" spans="2:9" ht="15">
      <c r="B14" s="340">
        <v>2</v>
      </c>
      <c r="C14" s="341">
        <f t="shared" si="0"/>
      </c>
      <c r="D14" s="192" t="s">
        <v>290</v>
      </c>
      <c r="E14" s="71" t="s">
        <v>182</v>
      </c>
      <c r="F14" s="199" t="s">
        <v>38</v>
      </c>
      <c r="G14" s="44">
        <v>109189.28</v>
      </c>
      <c r="H14" s="44">
        <v>-109189.28</v>
      </c>
      <c r="I14" s="255">
        <f aca="true" t="shared" si="1" ref="I14:I52">SUM(G14:H14)</f>
        <v>0</v>
      </c>
    </row>
    <row r="15" spans="2:9" ht="15">
      <c r="B15" s="340">
        <v>3</v>
      </c>
      <c r="C15" s="341">
        <f t="shared" si="0"/>
      </c>
      <c r="D15" s="192"/>
      <c r="E15" s="71"/>
      <c r="F15" s="199"/>
      <c r="G15" s="44"/>
      <c r="H15" s="44"/>
      <c r="I15" s="255">
        <f t="shared" si="1"/>
        <v>0</v>
      </c>
    </row>
    <row r="16" spans="2:9" ht="15">
      <c r="B16" s="340">
        <v>4</v>
      </c>
      <c r="C16" s="341">
        <f t="shared" si="0"/>
      </c>
      <c r="D16" s="192"/>
      <c r="E16" s="71"/>
      <c r="F16" s="199"/>
      <c r="G16" s="44"/>
      <c r="H16" s="44"/>
      <c r="I16" s="255">
        <f t="shared" si="1"/>
        <v>0</v>
      </c>
    </row>
    <row r="17" spans="2:9" ht="15">
      <c r="B17" s="340">
        <v>5</v>
      </c>
      <c r="C17" s="341">
        <f t="shared" si="0"/>
      </c>
      <c r="D17" s="192"/>
      <c r="E17" s="71"/>
      <c r="F17" s="199"/>
      <c r="G17" s="44"/>
      <c r="H17" s="44"/>
      <c r="I17" s="255">
        <f t="shared" si="1"/>
        <v>0</v>
      </c>
    </row>
    <row r="18" spans="2:9" ht="15">
      <c r="B18" s="340">
        <v>6</v>
      </c>
      <c r="C18" s="341">
        <f t="shared" si="0"/>
      </c>
      <c r="D18" s="192"/>
      <c r="E18" s="71"/>
      <c r="F18" s="199"/>
      <c r="G18" s="44"/>
      <c r="H18" s="44"/>
      <c r="I18" s="255">
        <f t="shared" si="1"/>
        <v>0</v>
      </c>
    </row>
    <row r="19" spans="2:9" ht="15">
      <c r="B19" s="340">
        <v>7</v>
      </c>
      <c r="C19" s="341">
        <f t="shared" si="0"/>
      </c>
      <c r="D19" s="192"/>
      <c r="E19" s="71"/>
      <c r="F19" s="199"/>
      <c r="G19" s="44"/>
      <c r="H19" s="44"/>
      <c r="I19" s="255">
        <f t="shared" si="1"/>
        <v>0</v>
      </c>
    </row>
    <row r="20" spans="2:9" ht="15">
      <c r="B20" s="340">
        <v>8</v>
      </c>
      <c r="C20" s="341">
        <f t="shared" si="0"/>
      </c>
      <c r="D20" s="192"/>
      <c r="E20" s="71"/>
      <c r="F20" s="199"/>
      <c r="G20" s="44"/>
      <c r="H20" s="44"/>
      <c r="I20" s="255">
        <f t="shared" si="1"/>
        <v>0</v>
      </c>
    </row>
    <row r="21" spans="2:9" ht="15">
      <c r="B21" s="340">
        <v>9</v>
      </c>
      <c r="C21" s="341">
        <f t="shared" si="0"/>
      </c>
      <c r="D21" s="192"/>
      <c r="E21" s="71"/>
      <c r="F21" s="199"/>
      <c r="G21" s="44"/>
      <c r="H21" s="44"/>
      <c r="I21" s="255">
        <f t="shared" si="1"/>
        <v>0</v>
      </c>
    </row>
    <row r="22" spans="2:9" ht="15">
      <c r="B22" s="340">
        <v>10</v>
      </c>
      <c r="C22" s="341">
        <f t="shared" si="0"/>
      </c>
      <c r="D22" s="192"/>
      <c r="E22" s="71"/>
      <c r="F22" s="199"/>
      <c r="G22" s="44"/>
      <c r="H22" s="44"/>
      <c r="I22" s="255">
        <f t="shared" si="1"/>
        <v>0</v>
      </c>
    </row>
    <row r="23" spans="2:9" ht="15">
      <c r="B23" s="340">
        <v>11</v>
      </c>
      <c r="C23" s="341">
        <f t="shared" si="0"/>
      </c>
      <c r="D23" s="192"/>
      <c r="E23" s="71"/>
      <c r="F23" s="199"/>
      <c r="G23" s="44"/>
      <c r="H23" s="44"/>
      <c r="I23" s="255">
        <f t="shared" si="1"/>
        <v>0</v>
      </c>
    </row>
    <row r="24" spans="2:9" ht="15">
      <c r="B24" s="340">
        <v>12</v>
      </c>
      <c r="C24" s="341">
        <f t="shared" si="0"/>
      </c>
      <c r="D24" s="192"/>
      <c r="E24" s="71"/>
      <c r="F24" s="199"/>
      <c r="G24" s="44"/>
      <c r="H24" s="44"/>
      <c r="I24" s="255">
        <f t="shared" si="1"/>
        <v>0</v>
      </c>
    </row>
    <row r="25" spans="2:9" ht="15">
      <c r="B25" s="340">
        <v>13</v>
      </c>
      <c r="C25" s="341">
        <f t="shared" si="0"/>
      </c>
      <c r="D25" s="192"/>
      <c r="E25" s="71"/>
      <c r="F25" s="199"/>
      <c r="G25" s="44"/>
      <c r="H25" s="44"/>
      <c r="I25" s="255">
        <f t="shared" si="1"/>
        <v>0</v>
      </c>
    </row>
    <row r="26" spans="2:9" ht="15">
      <c r="B26" s="340">
        <v>14</v>
      </c>
      <c r="C26" s="341">
        <f t="shared" si="0"/>
      </c>
      <c r="D26" s="192"/>
      <c r="E26" s="71"/>
      <c r="F26" s="199"/>
      <c r="G26" s="44"/>
      <c r="H26" s="44"/>
      <c r="I26" s="255">
        <f t="shared" si="1"/>
        <v>0</v>
      </c>
    </row>
    <row r="27" spans="2:9" ht="15">
      <c r="B27" s="340">
        <v>15</v>
      </c>
      <c r="C27" s="341">
        <f t="shared" si="0"/>
      </c>
      <c r="D27" s="192"/>
      <c r="E27" s="71"/>
      <c r="F27" s="199"/>
      <c r="G27" s="44"/>
      <c r="H27" s="44"/>
      <c r="I27" s="255">
        <f t="shared" si="1"/>
        <v>0</v>
      </c>
    </row>
    <row r="28" spans="2:11" ht="15">
      <c r="B28" s="340">
        <v>16</v>
      </c>
      <c r="C28" s="341">
        <f t="shared" si="0"/>
      </c>
      <c r="D28" s="192"/>
      <c r="E28" s="71"/>
      <c r="F28" s="199"/>
      <c r="G28" s="44"/>
      <c r="H28" s="44"/>
      <c r="I28" s="255">
        <f t="shared" si="1"/>
        <v>0</v>
      </c>
      <c r="K28" s="140"/>
    </row>
    <row r="29" spans="2:9" ht="15">
      <c r="B29" s="340">
        <v>17</v>
      </c>
      <c r="C29" s="341">
        <f t="shared" si="0"/>
      </c>
      <c r="D29" s="192"/>
      <c r="E29" s="71"/>
      <c r="F29" s="199"/>
      <c r="G29" s="44"/>
      <c r="H29" s="44"/>
      <c r="I29" s="255">
        <f t="shared" si="1"/>
        <v>0</v>
      </c>
    </row>
    <row r="30" spans="2:9" ht="15">
      <c r="B30" s="340">
        <v>18</v>
      </c>
      <c r="C30" s="341">
        <f t="shared" si="0"/>
      </c>
      <c r="D30" s="192"/>
      <c r="E30" s="71"/>
      <c r="F30" s="199"/>
      <c r="G30" s="44"/>
      <c r="H30" s="44"/>
      <c r="I30" s="255">
        <f t="shared" si="1"/>
        <v>0</v>
      </c>
    </row>
    <row r="31" spans="2:9" ht="15">
      <c r="B31" s="340">
        <v>19</v>
      </c>
      <c r="C31" s="341">
        <f t="shared" si="0"/>
      </c>
      <c r="D31" s="192"/>
      <c r="E31" s="71"/>
      <c r="F31" s="199"/>
      <c r="G31" s="44"/>
      <c r="H31" s="44"/>
      <c r="I31" s="255">
        <f t="shared" si="1"/>
        <v>0</v>
      </c>
    </row>
    <row r="32" spans="2:9" ht="15">
      <c r="B32" s="340">
        <v>20</v>
      </c>
      <c r="C32" s="341">
        <f t="shared" si="0"/>
      </c>
      <c r="D32" s="192"/>
      <c r="E32" s="71"/>
      <c r="F32" s="199"/>
      <c r="G32" s="44"/>
      <c r="H32" s="44"/>
      <c r="I32" s="255">
        <f t="shared" si="1"/>
        <v>0</v>
      </c>
    </row>
    <row r="33" spans="2:9" ht="15">
      <c r="B33" s="340">
        <v>21</v>
      </c>
      <c r="C33" s="341">
        <f t="shared" si="0"/>
      </c>
      <c r="D33" s="192"/>
      <c r="E33" s="71"/>
      <c r="F33" s="199"/>
      <c r="G33" s="44"/>
      <c r="H33" s="44"/>
      <c r="I33" s="255">
        <f t="shared" si="1"/>
        <v>0</v>
      </c>
    </row>
    <row r="34" spans="2:9" ht="15">
      <c r="B34" s="340">
        <v>22</v>
      </c>
      <c r="C34" s="341">
        <f t="shared" si="0"/>
      </c>
      <c r="D34" s="192"/>
      <c r="E34" s="71"/>
      <c r="F34" s="199"/>
      <c r="G34" s="44"/>
      <c r="H34" s="44"/>
      <c r="I34" s="255">
        <f t="shared" si="1"/>
        <v>0</v>
      </c>
    </row>
    <row r="35" spans="2:9" ht="15">
      <c r="B35" s="340">
        <v>23</v>
      </c>
      <c r="C35" s="341">
        <f t="shared" si="0"/>
      </c>
      <c r="D35" s="192"/>
      <c r="E35" s="71"/>
      <c r="F35" s="199"/>
      <c r="G35" s="44"/>
      <c r="H35" s="44"/>
      <c r="I35" s="255">
        <f t="shared" si="1"/>
        <v>0</v>
      </c>
    </row>
    <row r="36" spans="2:9" ht="15">
      <c r="B36" s="340">
        <v>24</v>
      </c>
      <c r="C36" s="341">
        <f t="shared" si="0"/>
      </c>
      <c r="D36" s="192"/>
      <c r="E36" s="71"/>
      <c r="F36" s="199"/>
      <c r="G36" s="44"/>
      <c r="H36" s="44"/>
      <c r="I36" s="255">
        <f t="shared" si="1"/>
        <v>0</v>
      </c>
    </row>
    <row r="37" spans="2:9" ht="15">
      <c r="B37" s="340">
        <v>25</v>
      </c>
      <c r="C37" s="341">
        <f t="shared" si="0"/>
      </c>
      <c r="D37" s="192"/>
      <c r="E37" s="71"/>
      <c r="F37" s="199"/>
      <c r="G37" s="44"/>
      <c r="H37" s="44"/>
      <c r="I37" s="255">
        <f t="shared" si="1"/>
        <v>0</v>
      </c>
    </row>
    <row r="38" spans="2:9" ht="15">
      <c r="B38" s="340">
        <v>26</v>
      </c>
      <c r="C38" s="341">
        <f t="shared" si="0"/>
      </c>
      <c r="D38" s="192"/>
      <c r="E38" s="71"/>
      <c r="F38" s="199"/>
      <c r="G38" s="44"/>
      <c r="H38" s="44"/>
      <c r="I38" s="255">
        <f t="shared" si="1"/>
        <v>0</v>
      </c>
    </row>
    <row r="39" spans="2:9" ht="15">
      <c r="B39" s="340">
        <v>27</v>
      </c>
      <c r="C39" s="341">
        <f t="shared" si="0"/>
      </c>
      <c r="D39" s="192"/>
      <c r="E39" s="71"/>
      <c r="F39" s="199"/>
      <c r="G39" s="44"/>
      <c r="H39" s="44"/>
      <c r="I39" s="255">
        <f t="shared" si="1"/>
        <v>0</v>
      </c>
    </row>
    <row r="40" spans="2:9" ht="15">
      <c r="B40" s="340">
        <v>28</v>
      </c>
      <c r="C40" s="341">
        <f t="shared" si="0"/>
      </c>
      <c r="D40" s="192"/>
      <c r="E40" s="71"/>
      <c r="F40" s="199"/>
      <c r="G40" s="44"/>
      <c r="H40" s="44"/>
      <c r="I40" s="255">
        <f t="shared" si="1"/>
        <v>0</v>
      </c>
    </row>
    <row r="41" spans="2:9" ht="15">
      <c r="B41" s="340">
        <v>29</v>
      </c>
      <c r="C41" s="341">
        <f t="shared" si="0"/>
      </c>
      <c r="D41" s="192"/>
      <c r="E41" s="71"/>
      <c r="F41" s="199"/>
      <c r="G41" s="44"/>
      <c r="H41" s="44"/>
      <c r="I41" s="255">
        <f t="shared" si="1"/>
        <v>0</v>
      </c>
    </row>
    <row r="42" spans="2:9" ht="15">
      <c r="B42" s="340">
        <v>30</v>
      </c>
      <c r="C42" s="341">
        <f t="shared" si="0"/>
      </c>
      <c r="D42" s="192"/>
      <c r="E42" s="71"/>
      <c r="F42" s="199"/>
      <c r="G42" s="44"/>
      <c r="H42" s="44"/>
      <c r="I42" s="255">
        <f t="shared" si="1"/>
        <v>0</v>
      </c>
    </row>
    <row r="43" spans="2:9" ht="15">
      <c r="B43" s="340">
        <v>31</v>
      </c>
      <c r="C43" s="341">
        <f t="shared" si="0"/>
      </c>
      <c r="D43" s="192"/>
      <c r="E43" s="71"/>
      <c r="F43" s="199"/>
      <c r="G43" s="44"/>
      <c r="H43" s="44"/>
      <c r="I43" s="255">
        <f t="shared" si="1"/>
        <v>0</v>
      </c>
    </row>
    <row r="44" spans="2:9" ht="15">
      <c r="B44" s="340">
        <v>32</v>
      </c>
      <c r="C44" s="341">
        <f t="shared" si="0"/>
      </c>
      <c r="D44" s="192"/>
      <c r="E44" s="71"/>
      <c r="F44" s="199"/>
      <c r="G44" s="44"/>
      <c r="H44" s="44"/>
      <c r="I44" s="255">
        <f t="shared" si="1"/>
        <v>0</v>
      </c>
    </row>
    <row r="45" spans="2:9" ht="15">
      <c r="B45" s="340">
        <v>33</v>
      </c>
      <c r="C45" s="341">
        <f t="shared" si="0"/>
      </c>
      <c r="D45" s="192"/>
      <c r="E45" s="71"/>
      <c r="F45" s="199"/>
      <c r="G45" s="44"/>
      <c r="H45" s="44"/>
      <c r="I45" s="255">
        <f t="shared" si="1"/>
        <v>0</v>
      </c>
    </row>
    <row r="46" spans="2:9" ht="15">
      <c r="B46" s="340">
        <v>34</v>
      </c>
      <c r="C46" s="341">
        <f t="shared" si="0"/>
      </c>
      <c r="D46" s="192"/>
      <c r="E46" s="71"/>
      <c r="F46" s="199"/>
      <c r="G46" s="44"/>
      <c r="H46" s="44"/>
      <c r="I46" s="255">
        <f t="shared" si="1"/>
        <v>0</v>
      </c>
    </row>
    <row r="47" spans="2:9" ht="15">
      <c r="B47" s="340">
        <v>35</v>
      </c>
      <c r="C47" s="341">
        <f t="shared" si="0"/>
      </c>
      <c r="D47" s="192"/>
      <c r="E47" s="71"/>
      <c r="F47" s="199"/>
      <c r="G47" s="44"/>
      <c r="H47" s="44"/>
      <c r="I47" s="255">
        <f t="shared" si="1"/>
        <v>0</v>
      </c>
    </row>
    <row r="48" spans="2:9" ht="15">
      <c r="B48" s="340">
        <v>36</v>
      </c>
      <c r="C48" s="341">
        <f t="shared" si="0"/>
      </c>
      <c r="D48" s="192"/>
      <c r="E48" s="71"/>
      <c r="F48" s="199"/>
      <c r="G48" s="44"/>
      <c r="H48" s="44"/>
      <c r="I48" s="255">
        <f t="shared" si="1"/>
        <v>0</v>
      </c>
    </row>
    <row r="49" spans="2:9" ht="15">
      <c r="B49" s="340">
        <v>37</v>
      </c>
      <c r="C49" s="341">
        <f t="shared" si="0"/>
      </c>
      <c r="D49" s="192"/>
      <c r="E49" s="71"/>
      <c r="F49" s="199"/>
      <c r="G49" s="44"/>
      <c r="H49" s="44"/>
      <c r="I49" s="255">
        <f t="shared" si="1"/>
        <v>0</v>
      </c>
    </row>
    <row r="50" spans="2:9" ht="15">
      <c r="B50" s="340">
        <v>38</v>
      </c>
      <c r="C50" s="341">
        <f t="shared" si="0"/>
      </c>
      <c r="D50" s="192"/>
      <c r="E50" s="71"/>
      <c r="F50" s="199"/>
      <c r="G50" s="44"/>
      <c r="H50" s="44"/>
      <c r="I50" s="255">
        <f t="shared" si="1"/>
        <v>0</v>
      </c>
    </row>
    <row r="51" spans="2:9" ht="15">
      <c r="B51" s="340">
        <v>39</v>
      </c>
      <c r="C51" s="341">
        <f t="shared" si="0"/>
      </c>
      <c r="D51" s="192"/>
      <c r="E51" s="71"/>
      <c r="F51" s="199"/>
      <c r="G51" s="44"/>
      <c r="H51" s="44"/>
      <c r="I51" s="255">
        <f t="shared" si="1"/>
        <v>0</v>
      </c>
    </row>
    <row r="52" spans="2:9" ht="15">
      <c r="B52" s="340">
        <v>40</v>
      </c>
      <c r="C52" s="341">
        <f t="shared" si="0"/>
      </c>
      <c r="D52" s="192"/>
      <c r="E52" s="71"/>
      <c r="F52" s="199"/>
      <c r="G52" s="44"/>
      <c r="H52" s="44"/>
      <c r="I52" s="255">
        <f t="shared" si="1"/>
        <v>0</v>
      </c>
    </row>
    <row r="53" ht="15" hidden="1"/>
    <row r="54" ht="15" hidden="1"/>
    <row r="55" ht="15" hidden="1"/>
    <row r="56" ht="15" hidden="1"/>
    <row r="57" ht="15" hidden="1"/>
    <row r="58" ht="15" hidden="1"/>
    <row r="59" ht="15" hidden="1"/>
    <row r="60" ht="15" hidden="1"/>
  </sheetData>
  <sheetProtection sheet="1" objects="1" scenarios="1" formatColumns="0" formatRows="0"/>
  <mergeCells count="2">
    <mergeCell ref="B7:C7"/>
    <mergeCell ref="B1:D1"/>
  </mergeCells>
  <dataValidations count="3">
    <dataValidation type="list" allowBlank="1" showInputMessage="1" showErrorMessage="1" sqref="E13:E52">
      <formula1>Cost_Report_Stage</formula1>
    </dataValidation>
    <dataValidation type="list" allowBlank="1" showInputMessage="1" showErrorMessage="1" sqref="D13:D52">
      <formula1>FFP_Adjustment_FY</formula1>
    </dataValidation>
    <dataValidation type="list" allowBlank="1" showInputMessage="1" showErrorMessage="1" sqref="F13:F52">
      <formula1>"CSS, PEI, INN, WET, CFTN"</formula1>
    </dataValidation>
  </dataValidations>
  <printOptions/>
  <pageMargins left="0.25" right="0.25" top="0.98" bottom="0.75" header="0.3" footer="0.3"/>
  <pageSetup horizontalDpi="600" verticalDpi="600" orientation="landscape" paperSize="5" scale="63" r:id="rId1"/>
  <headerFooter>
    <oddFooter>&amp;C&amp;"Arial,Regular"&amp;16Page &amp;P of &amp;N</oddFooter>
  </headerFooter>
</worksheet>
</file>

<file path=xl/worksheets/sheet13.xml><?xml version="1.0" encoding="utf-8"?>
<worksheet xmlns="http://schemas.openxmlformats.org/spreadsheetml/2006/main" xmlns:r="http://schemas.openxmlformats.org/officeDocument/2006/relationships">
  <sheetPr codeName="Sheet13"/>
  <dimension ref="A1:AB68"/>
  <sheetViews>
    <sheetView showGridLines="0" zoomScale="85" zoomScaleNormal="85" zoomScalePageLayoutView="0" workbookViewId="0" topLeftCell="A1">
      <selection activeCell="C8" sqref="C8"/>
    </sheetView>
  </sheetViews>
  <sheetFormatPr defaultColWidth="0" defaultRowHeight="15" zeroHeight="1"/>
  <cols>
    <col min="1" max="1" width="2.7109375" style="46" customWidth="1"/>
    <col min="2" max="2" width="9.140625" style="398" customWidth="1"/>
    <col min="3" max="3" width="137.00390625" style="398" customWidth="1"/>
    <col min="4" max="17" width="9.140625" style="398" hidden="1" customWidth="1"/>
    <col min="18" max="28" width="0" style="398" hidden="1" customWidth="1"/>
    <col min="29" max="16384" width="9.140625" style="398" hidden="1" customWidth="1"/>
  </cols>
  <sheetData>
    <row r="1" spans="1:3" s="46" customFormat="1" ht="15">
      <c r="A1" s="417" t="s">
        <v>376</v>
      </c>
      <c r="B1" s="26"/>
      <c r="C1" s="26"/>
    </row>
    <row r="2" s="160" customFormat="1" ht="15">
      <c r="B2" s="312" t="str">
        <f>'1. Information'!B2</f>
        <v>Version 7/1/2018</v>
      </c>
    </row>
    <row r="3" spans="2:6" s="49" customFormat="1" ht="18">
      <c r="B3" s="316" t="str">
        <f>'1. Information'!B3</f>
        <v>Annual Mental Health Services Act Revenue and Expenditure Report</v>
      </c>
      <c r="C3" s="27"/>
      <c r="D3" s="27"/>
      <c r="E3" s="27"/>
      <c r="F3" s="27"/>
    </row>
    <row r="4" spans="2:6" s="49" customFormat="1" ht="18">
      <c r="B4" s="316" t="str">
        <f>'1. Information'!B4</f>
        <v>Fiscal Year 2017-18</v>
      </c>
      <c r="C4" s="27"/>
      <c r="D4" s="27"/>
      <c r="E4" s="27"/>
      <c r="F4" s="27"/>
    </row>
    <row r="5" spans="2:6" s="49" customFormat="1" ht="18">
      <c r="B5" s="415" t="s">
        <v>274</v>
      </c>
      <c r="C5" s="42"/>
      <c r="D5" s="42"/>
      <c r="E5" s="42"/>
      <c r="F5" s="42"/>
    </row>
    <row r="6" spans="2:28" s="49" customFormat="1" ht="18">
      <c r="B6" s="144"/>
      <c r="C6" s="42"/>
      <c r="D6" s="42"/>
      <c r="E6" s="42"/>
      <c r="F6" s="42"/>
      <c r="AB6" s="161"/>
    </row>
    <row r="7" spans="2:3" ht="15.75">
      <c r="B7" s="418"/>
      <c r="C7" s="304" t="s">
        <v>274</v>
      </c>
    </row>
    <row r="8" spans="2:3" ht="57.75" customHeight="1">
      <c r="B8" s="419">
        <v>1</v>
      </c>
      <c r="C8" s="153" t="s">
        <v>327</v>
      </c>
    </row>
    <row r="9" spans="2:3" ht="50.25" customHeight="1">
      <c r="B9" s="405">
        <v>2</v>
      </c>
      <c r="C9" s="153" t="s">
        <v>362</v>
      </c>
    </row>
    <row r="10" spans="2:3" ht="33.75" customHeight="1">
      <c r="B10" s="405">
        <v>3</v>
      </c>
      <c r="C10" s="152"/>
    </row>
    <row r="11" spans="2:3" ht="33.75" customHeight="1">
      <c r="B11" s="419">
        <v>4</v>
      </c>
      <c r="C11" s="152"/>
    </row>
    <row r="12" spans="2:3" ht="33.75" customHeight="1">
      <c r="B12" s="405">
        <v>5</v>
      </c>
      <c r="C12" s="152"/>
    </row>
    <row r="13" spans="2:14" ht="33.75" customHeight="1">
      <c r="B13" s="405">
        <v>6</v>
      </c>
      <c r="C13" s="152"/>
      <c r="N13" s="312"/>
    </row>
    <row r="14" spans="2:3" ht="33.75" customHeight="1">
      <c r="B14" s="419">
        <v>7</v>
      </c>
      <c r="C14" s="152"/>
    </row>
    <row r="15" spans="2:3" ht="33.75" customHeight="1">
      <c r="B15" s="405">
        <v>8</v>
      </c>
      <c r="C15" s="152"/>
    </row>
    <row r="16" spans="2:3" ht="33.75" customHeight="1">
      <c r="B16" s="405">
        <v>9</v>
      </c>
      <c r="C16" s="152"/>
    </row>
    <row r="17" spans="2:3" ht="33.75" customHeight="1">
      <c r="B17" s="419">
        <v>10</v>
      </c>
      <c r="C17" s="152"/>
    </row>
    <row r="18" spans="2:3" ht="33.75" customHeight="1">
      <c r="B18" s="405">
        <v>11</v>
      </c>
      <c r="C18" s="152"/>
    </row>
    <row r="19" spans="2:3" ht="33.75" customHeight="1">
      <c r="B19" s="405">
        <v>12</v>
      </c>
      <c r="C19" s="152"/>
    </row>
    <row r="20" spans="2:3" ht="33.75" customHeight="1">
      <c r="B20" s="419">
        <v>13</v>
      </c>
      <c r="C20" s="152"/>
    </row>
    <row r="21" spans="2:3" ht="33.75" customHeight="1">
      <c r="B21" s="405">
        <v>14</v>
      </c>
      <c r="C21" s="152"/>
    </row>
    <row r="22" spans="2:3" ht="33.75" customHeight="1">
      <c r="B22" s="405">
        <v>15</v>
      </c>
      <c r="C22" s="152"/>
    </row>
    <row r="23" spans="2:3" ht="33.75" customHeight="1">
      <c r="B23" s="419">
        <v>16</v>
      </c>
      <c r="C23" s="152"/>
    </row>
    <row r="24" spans="2:3" ht="33.75" customHeight="1">
      <c r="B24" s="405">
        <v>17</v>
      </c>
      <c r="C24" s="152"/>
    </row>
    <row r="25" spans="2:3" ht="33.75" customHeight="1">
      <c r="B25" s="405">
        <v>18</v>
      </c>
      <c r="C25" s="152"/>
    </row>
    <row r="26" spans="2:3" ht="33.75" customHeight="1">
      <c r="B26" s="419">
        <v>19</v>
      </c>
      <c r="C26" s="152"/>
    </row>
    <row r="27" spans="2:3" ht="33.75" customHeight="1">
      <c r="B27" s="405">
        <v>20</v>
      </c>
      <c r="C27" s="152"/>
    </row>
    <row r="28" spans="2:3" ht="33.75" customHeight="1">
      <c r="B28" s="405">
        <v>21</v>
      </c>
      <c r="C28" s="152"/>
    </row>
    <row r="29" spans="2:3" ht="33.75" customHeight="1">
      <c r="B29" s="419">
        <v>22</v>
      </c>
      <c r="C29" s="152"/>
    </row>
    <row r="30" spans="2:3" ht="33.75" customHeight="1">
      <c r="B30" s="405">
        <v>23</v>
      </c>
      <c r="C30" s="152"/>
    </row>
    <row r="31" spans="2:3" ht="33.75" customHeight="1">
      <c r="B31" s="405">
        <v>24</v>
      </c>
      <c r="C31" s="152"/>
    </row>
    <row r="32" spans="2:3" ht="33.75" customHeight="1">
      <c r="B32" s="419">
        <v>25</v>
      </c>
      <c r="C32" s="152"/>
    </row>
    <row r="33" spans="2:3" ht="33.75" customHeight="1">
      <c r="B33" s="405">
        <v>26</v>
      </c>
      <c r="C33" s="152"/>
    </row>
    <row r="34" spans="2:4" ht="33.75" customHeight="1">
      <c r="B34" s="405">
        <v>27</v>
      </c>
      <c r="C34" s="153"/>
      <c r="D34" s="312"/>
    </row>
    <row r="35" spans="2:3" ht="33.75" customHeight="1">
      <c r="B35" s="419">
        <v>28</v>
      </c>
      <c r="C35" s="152"/>
    </row>
    <row r="36" spans="2:3" ht="33.75" customHeight="1">
      <c r="B36" s="405">
        <v>29</v>
      </c>
      <c r="C36" s="152"/>
    </row>
    <row r="37" spans="2:3" ht="33.75" customHeight="1">
      <c r="B37" s="405">
        <v>30</v>
      </c>
      <c r="C37" s="152"/>
    </row>
    <row r="38" spans="2:3" ht="33.75" customHeight="1">
      <c r="B38" s="419">
        <v>31</v>
      </c>
      <c r="C38" s="152"/>
    </row>
    <row r="39" spans="2:3" ht="33.75" customHeight="1">
      <c r="B39" s="405">
        <v>32</v>
      </c>
      <c r="C39" s="152"/>
    </row>
    <row r="40" spans="2:3" ht="33.75" customHeight="1">
      <c r="B40" s="405">
        <v>33</v>
      </c>
      <c r="C40" s="152"/>
    </row>
    <row r="41" spans="2:3" ht="33.75" customHeight="1">
      <c r="B41" s="419">
        <v>34</v>
      </c>
      <c r="C41" s="152"/>
    </row>
    <row r="42" spans="2:3" ht="33.75" customHeight="1">
      <c r="B42" s="405">
        <v>35</v>
      </c>
      <c r="C42" s="152"/>
    </row>
    <row r="43" spans="2:3" ht="33.75" customHeight="1">
      <c r="B43" s="405">
        <v>36</v>
      </c>
      <c r="C43" s="152"/>
    </row>
    <row r="44" spans="2:3" ht="33.75" customHeight="1">
      <c r="B44" s="419">
        <v>37</v>
      </c>
      <c r="C44" s="152"/>
    </row>
    <row r="45" spans="2:3" ht="33.75" customHeight="1">
      <c r="B45" s="405">
        <v>38</v>
      </c>
      <c r="C45" s="152"/>
    </row>
    <row r="46" spans="2:3" ht="33.75" customHeight="1">
      <c r="B46" s="419">
        <v>39</v>
      </c>
      <c r="C46" s="152"/>
    </row>
    <row r="47" spans="2:3" ht="33.75" customHeight="1">
      <c r="B47" s="405">
        <v>40</v>
      </c>
      <c r="C47" s="153"/>
    </row>
    <row r="48" ht="15" hidden="1"/>
    <row r="49" ht="15" hidden="1"/>
    <row r="50" ht="15" hidden="1">
      <c r="Q50" s="420"/>
    </row>
    <row r="51" ht="15" hidden="1"/>
    <row r="52" ht="15" hidden="1"/>
    <row r="53" ht="15" hidden="1"/>
    <row r="54" ht="15" hidden="1"/>
    <row r="55" ht="15" hidden="1"/>
    <row r="56" ht="15" hidden="1"/>
    <row r="57" ht="15" hidden="1"/>
    <row r="58" ht="15" hidden="1"/>
    <row r="59" ht="15" hidden="1"/>
    <row r="60" ht="15" hidden="1"/>
    <row r="61" ht="15" hidden="1">
      <c r="J61" s="421"/>
    </row>
    <row r="62" ht="15" hidden="1"/>
    <row r="63" ht="15" hidden="1"/>
    <row r="64" ht="15" hidden="1"/>
    <row r="65" ht="15" hidden="1">
      <c r="K65" s="422"/>
    </row>
    <row r="66" ht="15" hidden="1"/>
    <row r="67" ht="15" hidden="1">
      <c r="L67" s="420"/>
    </row>
    <row r="68" ht="15" hidden="1">
      <c r="N68" s="420"/>
    </row>
  </sheetData>
  <sheetProtection sheet="1" formatCells="0" formatColumns="0" formatRows="0"/>
  <printOptions/>
  <pageMargins left="0.7" right="0.7" top="1.19791666666667" bottom="0.75" header="0.3" footer="0.3"/>
  <pageSetup horizontalDpi="600" verticalDpi="600" orientation="landscape" paperSize="5" scale="96" r:id="rId1"/>
  <headerFooter>
    <oddFooter>&amp;CPage &amp;P of &amp;N</oddFooter>
  </headerFooter>
  <rowBreaks count="1" manualBreakCount="1">
    <brk id="32" min="1" max="2" man="1"/>
  </rowBreaks>
</worksheet>
</file>

<file path=xl/worksheets/sheet14.xml><?xml version="1.0" encoding="utf-8"?>
<worksheet xmlns="http://schemas.openxmlformats.org/spreadsheetml/2006/main" xmlns:r="http://schemas.openxmlformats.org/officeDocument/2006/relationships">
  <sheetPr codeName="Sheet14">
    <pageSetUpPr fitToPage="1"/>
  </sheetPr>
  <dimension ref="A1:P60"/>
  <sheetViews>
    <sheetView view="pageBreakPreview" zoomScale="60" zoomScaleNormal="80" zoomScalePageLayoutView="0" workbookViewId="0" topLeftCell="A1">
      <selection activeCell="F25" sqref="F25"/>
    </sheetView>
  </sheetViews>
  <sheetFormatPr defaultColWidth="9.140625" defaultRowHeight="15"/>
  <cols>
    <col min="1" max="1" width="18.140625" style="47" bestFit="1" customWidth="1"/>
    <col min="2" max="2" width="5.421875" style="47" customWidth="1"/>
    <col min="3" max="3" width="18.8515625" style="47" bestFit="1" customWidth="1"/>
    <col min="4" max="4" width="17.8515625" style="47" customWidth="1"/>
    <col min="5" max="5" width="18.00390625" style="47" customWidth="1"/>
    <col min="6" max="6" width="36.8515625" style="47" bestFit="1" customWidth="1"/>
    <col min="7" max="7" width="27.140625" style="47" customWidth="1"/>
    <col min="8" max="8" width="31.57421875" style="47" bestFit="1" customWidth="1"/>
    <col min="9" max="9" width="25.28125" style="47" customWidth="1"/>
    <col min="10" max="10" width="24.140625" style="47" customWidth="1"/>
    <col min="11" max="11" width="26.00390625" style="47" bestFit="1" customWidth="1"/>
    <col min="12" max="12" width="24.28125" style="47" bestFit="1" customWidth="1"/>
    <col min="13" max="13" width="35.8515625" style="47" customWidth="1"/>
    <col min="14" max="14" width="23.140625" style="47" bestFit="1" customWidth="1"/>
    <col min="15" max="15" width="11.7109375" style="47" customWidth="1"/>
    <col min="16" max="16" width="9.140625" style="47" customWidth="1"/>
    <col min="17" max="16384" width="9.140625" style="47" customWidth="1"/>
  </cols>
  <sheetData>
    <row r="1" spans="1:15" ht="32.25" thickBot="1">
      <c r="A1" s="470" t="s">
        <v>169</v>
      </c>
      <c r="B1" s="471"/>
      <c r="C1" s="80" t="s">
        <v>170</v>
      </c>
      <c r="D1" s="81" t="s">
        <v>168</v>
      </c>
      <c r="E1" s="81" t="s">
        <v>171</v>
      </c>
      <c r="F1" s="81" t="s">
        <v>155</v>
      </c>
      <c r="G1" s="81" t="s">
        <v>156</v>
      </c>
      <c r="H1" s="81" t="s">
        <v>172</v>
      </c>
      <c r="I1" s="81" t="s">
        <v>173</v>
      </c>
      <c r="J1" s="81" t="s">
        <v>190</v>
      </c>
      <c r="K1" s="190" t="s">
        <v>298</v>
      </c>
      <c r="L1" s="190" t="s">
        <v>299</v>
      </c>
      <c r="M1" s="81" t="s">
        <v>184</v>
      </c>
      <c r="N1" s="80" t="s">
        <v>235</v>
      </c>
      <c r="O1" s="82"/>
    </row>
    <row r="2" spans="1:15" ht="15">
      <c r="A2" s="83" t="s">
        <v>43</v>
      </c>
      <c r="B2" s="84">
        <v>1</v>
      </c>
      <c r="C2" s="84" t="s">
        <v>186</v>
      </c>
      <c r="D2" s="85" t="s">
        <v>102</v>
      </c>
      <c r="E2" s="85" t="s">
        <v>144</v>
      </c>
      <c r="F2" s="85" t="s">
        <v>136</v>
      </c>
      <c r="G2" s="85" t="s">
        <v>157</v>
      </c>
      <c r="H2" s="85" t="s">
        <v>105</v>
      </c>
      <c r="I2" s="85" t="s">
        <v>176</v>
      </c>
      <c r="J2" s="85" t="s">
        <v>34</v>
      </c>
      <c r="K2" s="154" t="s">
        <v>291</v>
      </c>
      <c r="L2" s="154" t="s">
        <v>297</v>
      </c>
      <c r="M2" s="85" t="s">
        <v>114</v>
      </c>
      <c r="N2" s="85" t="s">
        <v>180</v>
      </c>
      <c r="O2" s="86"/>
    </row>
    <row r="3" spans="1:15" ht="15">
      <c r="A3" s="83" t="s">
        <v>100</v>
      </c>
      <c r="B3" s="84">
        <v>2</v>
      </c>
      <c r="C3" s="84" t="s">
        <v>187</v>
      </c>
      <c r="D3" s="85" t="s">
        <v>103</v>
      </c>
      <c r="E3" s="85" t="s">
        <v>143</v>
      </c>
      <c r="F3" s="85" t="s">
        <v>137</v>
      </c>
      <c r="G3" s="85" t="s">
        <v>158</v>
      </c>
      <c r="H3" s="85" t="s">
        <v>106</v>
      </c>
      <c r="I3" s="85" t="s">
        <v>177</v>
      </c>
      <c r="J3" s="85" t="s">
        <v>35</v>
      </c>
      <c r="K3" s="154" t="s">
        <v>290</v>
      </c>
      <c r="L3" s="154" t="s">
        <v>296</v>
      </c>
      <c r="M3" s="85" t="s">
        <v>115</v>
      </c>
      <c r="N3" s="85" t="s">
        <v>181</v>
      </c>
      <c r="O3" s="86"/>
    </row>
    <row r="4" spans="1:15" ht="15">
      <c r="A4" s="83" t="s">
        <v>44</v>
      </c>
      <c r="B4" s="84">
        <v>3</v>
      </c>
      <c r="C4" s="84"/>
      <c r="D4" s="85"/>
      <c r="E4" s="85"/>
      <c r="F4" s="85" t="s">
        <v>145</v>
      </c>
      <c r="G4" s="85" t="s">
        <v>159</v>
      </c>
      <c r="H4" s="85" t="s">
        <v>107</v>
      </c>
      <c r="I4" s="85"/>
      <c r="J4" s="85" t="s">
        <v>36</v>
      </c>
      <c r="K4" s="85"/>
      <c r="L4" s="154" t="s">
        <v>295</v>
      </c>
      <c r="M4" s="85" t="s">
        <v>116</v>
      </c>
      <c r="N4" s="85" t="s">
        <v>182</v>
      </c>
      <c r="O4" s="86"/>
    </row>
    <row r="5" spans="1:15" ht="15">
      <c r="A5" s="83" t="s">
        <v>45</v>
      </c>
      <c r="B5" s="84">
        <v>65</v>
      </c>
      <c r="C5" s="84"/>
      <c r="D5" s="85"/>
      <c r="E5" s="85"/>
      <c r="F5" s="85" t="s">
        <v>146</v>
      </c>
      <c r="G5" s="85"/>
      <c r="H5" s="85" t="s">
        <v>108</v>
      </c>
      <c r="I5" s="85"/>
      <c r="J5" s="85" t="s">
        <v>37</v>
      </c>
      <c r="K5" s="85"/>
      <c r="L5" s="154" t="s">
        <v>294</v>
      </c>
      <c r="M5" s="85" t="s">
        <v>117</v>
      </c>
      <c r="N5" s="85"/>
      <c r="O5" s="86"/>
    </row>
    <row r="6" spans="1:15" ht="15">
      <c r="A6" s="83" t="s">
        <v>46</v>
      </c>
      <c r="B6" s="84">
        <v>4</v>
      </c>
      <c r="C6" s="84"/>
      <c r="D6" s="85"/>
      <c r="E6" s="85"/>
      <c r="F6" s="85" t="s">
        <v>147</v>
      </c>
      <c r="G6" s="85"/>
      <c r="H6" s="85" t="s">
        <v>109</v>
      </c>
      <c r="I6" s="85"/>
      <c r="J6" s="85" t="s">
        <v>38</v>
      </c>
      <c r="K6" s="85"/>
      <c r="L6" s="154" t="s">
        <v>293</v>
      </c>
      <c r="M6" s="85" t="s">
        <v>118</v>
      </c>
      <c r="N6" s="85"/>
      <c r="O6" s="86"/>
    </row>
    <row r="7" spans="1:15" ht="15">
      <c r="A7" s="83" t="s">
        <v>47</v>
      </c>
      <c r="B7" s="84">
        <v>5</v>
      </c>
      <c r="C7" s="84"/>
      <c r="D7" s="85"/>
      <c r="E7" s="85"/>
      <c r="F7" s="85" t="s">
        <v>132</v>
      </c>
      <c r="G7" s="85"/>
      <c r="H7" s="85"/>
      <c r="I7" s="85"/>
      <c r="J7" s="85" t="s">
        <v>40</v>
      </c>
      <c r="K7" s="85"/>
      <c r="L7" s="154" t="s">
        <v>292</v>
      </c>
      <c r="M7" s="85" t="s">
        <v>15</v>
      </c>
      <c r="N7" s="85"/>
      <c r="O7" s="86"/>
    </row>
    <row r="8" spans="1:15" ht="15">
      <c r="A8" s="83" t="s">
        <v>48</v>
      </c>
      <c r="B8" s="84">
        <v>6</v>
      </c>
      <c r="C8" s="84"/>
      <c r="D8" s="85"/>
      <c r="E8" s="85"/>
      <c r="F8" s="85" t="s">
        <v>148</v>
      </c>
      <c r="G8" s="85"/>
      <c r="H8" s="85"/>
      <c r="I8" s="85"/>
      <c r="J8" s="85" t="s">
        <v>119</v>
      </c>
      <c r="K8" s="85"/>
      <c r="L8" s="154" t="s">
        <v>291</v>
      </c>
      <c r="M8" s="85"/>
      <c r="N8" s="85"/>
      <c r="O8" s="86"/>
    </row>
    <row r="9" spans="1:15" ht="15">
      <c r="A9" s="83" t="s">
        <v>49</v>
      </c>
      <c r="B9" s="84">
        <v>7</v>
      </c>
      <c r="C9" s="84"/>
      <c r="D9" s="85"/>
      <c r="E9" s="85"/>
      <c r="F9" s="85" t="s">
        <v>230</v>
      </c>
      <c r="G9" s="85"/>
      <c r="H9" s="85"/>
      <c r="I9" s="85"/>
      <c r="J9" s="85" t="s">
        <v>41</v>
      </c>
      <c r="K9" s="85"/>
      <c r="L9" s="154" t="s">
        <v>290</v>
      </c>
      <c r="M9" s="85"/>
      <c r="N9" s="85"/>
      <c r="O9" s="86"/>
    </row>
    <row r="10" spans="1:15" ht="15">
      <c r="A10" s="83" t="s">
        <v>50</v>
      </c>
      <c r="B10" s="84">
        <v>8</v>
      </c>
      <c r="C10" s="84"/>
      <c r="D10" s="85"/>
      <c r="E10" s="85"/>
      <c r="F10" s="85"/>
      <c r="G10" s="85"/>
      <c r="H10" s="85"/>
      <c r="I10" s="85"/>
      <c r="J10" s="154" t="s">
        <v>192</v>
      </c>
      <c r="K10" s="85"/>
      <c r="L10" s="85"/>
      <c r="M10" s="85"/>
      <c r="N10" s="85"/>
      <c r="O10" s="86"/>
    </row>
    <row r="11" spans="1:15" ht="15">
      <c r="A11" s="83" t="s">
        <v>51</v>
      </c>
      <c r="B11" s="84">
        <v>9</v>
      </c>
      <c r="C11" s="84"/>
      <c r="D11" s="85"/>
      <c r="E11" s="85"/>
      <c r="F11" s="85"/>
      <c r="G11" s="85"/>
      <c r="H11" s="85"/>
      <c r="I11" s="85"/>
      <c r="K11" s="85"/>
      <c r="L11" s="85"/>
      <c r="M11" s="85"/>
      <c r="N11" s="85"/>
      <c r="O11" s="86"/>
    </row>
    <row r="12" spans="1:15" ht="15">
      <c r="A12" s="83" t="s">
        <v>52</v>
      </c>
      <c r="B12" s="84">
        <v>10</v>
      </c>
      <c r="C12" s="84"/>
      <c r="D12" s="85"/>
      <c r="E12" s="85"/>
      <c r="F12" s="85"/>
      <c r="G12" s="85"/>
      <c r="H12" s="85"/>
      <c r="I12" s="85"/>
      <c r="J12" s="85"/>
      <c r="K12" s="85"/>
      <c r="L12" s="85"/>
      <c r="M12" s="85"/>
      <c r="N12" s="85"/>
      <c r="O12" s="86"/>
    </row>
    <row r="13" spans="1:15" ht="15">
      <c r="A13" s="83" t="s">
        <v>53</v>
      </c>
      <c r="B13" s="84">
        <v>11</v>
      </c>
      <c r="C13" s="84"/>
      <c r="D13" s="85"/>
      <c r="E13" s="85"/>
      <c r="F13" s="85"/>
      <c r="G13" s="85"/>
      <c r="H13" s="85"/>
      <c r="I13" s="85"/>
      <c r="J13" s="85"/>
      <c r="K13" s="85"/>
      <c r="L13" s="85"/>
      <c r="M13" s="85"/>
      <c r="N13" s="85"/>
      <c r="O13" s="86"/>
    </row>
    <row r="14" spans="1:15" ht="15">
      <c r="A14" s="83" t="s">
        <v>54</v>
      </c>
      <c r="B14" s="84">
        <v>12</v>
      </c>
      <c r="C14" s="84"/>
      <c r="D14" s="85"/>
      <c r="E14" s="85"/>
      <c r="F14" s="85"/>
      <c r="G14" s="85"/>
      <c r="H14" s="85"/>
      <c r="I14" s="85"/>
      <c r="J14" s="85"/>
      <c r="K14" s="85"/>
      <c r="L14" s="85"/>
      <c r="M14" s="85"/>
      <c r="N14" s="85"/>
      <c r="O14" s="86"/>
    </row>
    <row r="15" spans="1:15" ht="15">
      <c r="A15" s="83" t="s">
        <v>55</v>
      </c>
      <c r="B15" s="84">
        <v>13</v>
      </c>
      <c r="C15" s="84"/>
      <c r="D15" s="85"/>
      <c r="E15" s="85"/>
      <c r="F15" s="85"/>
      <c r="G15" s="85"/>
      <c r="H15" s="85"/>
      <c r="I15" s="85"/>
      <c r="J15" s="85"/>
      <c r="K15" s="85"/>
      <c r="L15" s="85"/>
      <c r="M15" s="85"/>
      <c r="N15" s="85"/>
      <c r="O15" s="86"/>
    </row>
    <row r="16" spans="1:15" ht="15">
      <c r="A16" s="83" t="s">
        <v>56</v>
      </c>
      <c r="B16" s="84">
        <v>14</v>
      </c>
      <c r="C16" s="84"/>
      <c r="D16" s="85"/>
      <c r="E16" s="85"/>
      <c r="F16" s="139"/>
      <c r="G16" s="85"/>
      <c r="H16" s="85"/>
      <c r="I16" s="85"/>
      <c r="J16" s="85"/>
      <c r="K16" s="85"/>
      <c r="L16" s="85"/>
      <c r="M16" s="85"/>
      <c r="N16" s="85"/>
      <c r="O16" s="86"/>
    </row>
    <row r="17" spans="1:15" ht="15">
      <c r="A17" s="83" t="s">
        <v>57</v>
      </c>
      <c r="B17" s="84">
        <v>15</v>
      </c>
      <c r="C17" s="84"/>
      <c r="D17" s="85"/>
      <c r="E17" s="85"/>
      <c r="F17" s="85"/>
      <c r="G17" s="85"/>
      <c r="H17" s="85"/>
      <c r="I17" s="85"/>
      <c r="J17" s="85"/>
      <c r="K17" s="85"/>
      <c r="L17" s="85"/>
      <c r="M17" s="85"/>
      <c r="N17" s="85"/>
      <c r="O17" s="86"/>
    </row>
    <row r="18" spans="1:15" ht="15">
      <c r="A18" s="83" t="s">
        <v>58</v>
      </c>
      <c r="B18" s="84">
        <v>16</v>
      </c>
      <c r="C18" s="84"/>
      <c r="D18" s="85"/>
      <c r="E18" s="85"/>
      <c r="F18" s="85"/>
      <c r="G18" s="85"/>
      <c r="H18" s="85"/>
      <c r="I18" s="85"/>
      <c r="J18" s="85"/>
      <c r="K18" s="85"/>
      <c r="L18" s="85"/>
      <c r="M18" s="85"/>
      <c r="N18" s="85"/>
      <c r="O18" s="86"/>
    </row>
    <row r="19" spans="1:15" ht="15">
      <c r="A19" s="83" t="s">
        <v>59</v>
      </c>
      <c r="B19" s="84">
        <v>17</v>
      </c>
      <c r="C19" s="84"/>
      <c r="D19" s="85"/>
      <c r="E19" s="85"/>
      <c r="F19" s="85"/>
      <c r="G19" s="85"/>
      <c r="H19" s="191"/>
      <c r="I19" s="85"/>
      <c r="J19" s="85"/>
      <c r="K19" s="85"/>
      <c r="L19" s="85"/>
      <c r="M19" s="85"/>
      <c r="N19" s="85"/>
      <c r="O19" s="86"/>
    </row>
    <row r="20" spans="1:15" ht="15">
      <c r="A20" s="83" t="s">
        <v>60</v>
      </c>
      <c r="B20" s="84">
        <v>18</v>
      </c>
      <c r="C20" s="84"/>
      <c r="D20" s="85"/>
      <c r="E20" s="85"/>
      <c r="F20" s="85"/>
      <c r="G20" s="85"/>
      <c r="H20" s="85"/>
      <c r="I20" s="85"/>
      <c r="J20" s="85"/>
      <c r="K20" s="85"/>
      <c r="L20" s="85"/>
      <c r="M20" s="85"/>
      <c r="N20" s="85"/>
      <c r="O20" s="86"/>
    </row>
    <row r="21" spans="1:15" ht="15">
      <c r="A21" s="83" t="s">
        <v>61</v>
      </c>
      <c r="B21" s="84">
        <v>19</v>
      </c>
      <c r="C21" s="84"/>
      <c r="D21" s="85"/>
      <c r="E21" s="85"/>
      <c r="F21" s="141"/>
      <c r="G21" s="85"/>
      <c r="H21" s="85"/>
      <c r="I21" s="85"/>
      <c r="J21" s="85"/>
      <c r="K21" s="85"/>
      <c r="L21" s="85"/>
      <c r="M21" s="85"/>
      <c r="N21" s="85"/>
      <c r="O21" s="86"/>
    </row>
    <row r="22" spans="1:15" ht="15">
      <c r="A22" s="83" t="s">
        <v>62</v>
      </c>
      <c r="B22" s="84">
        <v>20</v>
      </c>
      <c r="C22" s="84"/>
      <c r="D22" s="85"/>
      <c r="E22" s="85"/>
      <c r="F22" s="85"/>
      <c r="G22" s="85"/>
      <c r="H22" s="85"/>
      <c r="I22" s="85"/>
      <c r="J22" s="85"/>
      <c r="K22" s="85"/>
      <c r="L22" s="85"/>
      <c r="M22" s="85"/>
      <c r="N22" s="85"/>
      <c r="O22" s="86"/>
    </row>
    <row r="23" spans="1:16" ht="15">
      <c r="A23" s="83" t="s">
        <v>63</v>
      </c>
      <c r="B23" s="84">
        <v>21</v>
      </c>
      <c r="C23" s="84"/>
      <c r="D23" s="85"/>
      <c r="E23" s="85"/>
      <c r="F23" s="85"/>
      <c r="G23" s="85"/>
      <c r="H23" s="85"/>
      <c r="I23" s="85"/>
      <c r="J23" s="85"/>
      <c r="K23" s="85"/>
      <c r="L23" s="85"/>
      <c r="M23" s="85"/>
      <c r="N23" s="85"/>
      <c r="O23" s="86"/>
      <c r="P23" s="142"/>
    </row>
    <row r="24" spans="1:15" ht="15">
      <c r="A24" s="83" t="s">
        <v>64</v>
      </c>
      <c r="B24" s="84">
        <v>22</v>
      </c>
      <c r="C24" s="84"/>
      <c r="D24" s="85"/>
      <c r="E24" s="85"/>
      <c r="F24" s="85"/>
      <c r="G24" s="85"/>
      <c r="H24" s="85"/>
      <c r="I24" s="85"/>
      <c r="J24" s="85"/>
      <c r="K24" s="85"/>
      <c r="L24" s="85"/>
      <c r="M24" s="85"/>
      <c r="N24" s="85"/>
      <c r="O24" s="86"/>
    </row>
    <row r="25" spans="1:15" ht="15">
      <c r="A25" s="83" t="s">
        <v>65</v>
      </c>
      <c r="B25" s="84">
        <v>23</v>
      </c>
      <c r="C25" s="84"/>
      <c r="D25" s="85"/>
      <c r="E25" s="85"/>
      <c r="F25" s="85"/>
      <c r="G25" s="139"/>
      <c r="H25" s="85"/>
      <c r="I25" s="85"/>
      <c r="J25" s="85"/>
      <c r="K25" s="85"/>
      <c r="L25" s="85"/>
      <c r="M25" s="85"/>
      <c r="N25" s="85"/>
      <c r="O25" s="86"/>
    </row>
    <row r="26" spans="1:15" ht="15">
      <c r="A26" s="83" t="s">
        <v>66</v>
      </c>
      <c r="B26" s="84">
        <v>24</v>
      </c>
      <c r="C26" s="84"/>
      <c r="D26" s="85"/>
      <c r="E26" s="85"/>
      <c r="F26" s="85"/>
      <c r="G26" s="85"/>
      <c r="H26" s="85"/>
      <c r="I26" s="85"/>
      <c r="J26" s="85"/>
      <c r="K26" s="85"/>
      <c r="L26" s="85"/>
      <c r="M26" s="85"/>
      <c r="N26" s="85"/>
      <c r="O26" s="86"/>
    </row>
    <row r="27" spans="1:15" ht="15">
      <c r="A27" s="83" t="s">
        <v>67</v>
      </c>
      <c r="B27" s="84">
        <v>25</v>
      </c>
      <c r="C27" s="84"/>
      <c r="D27" s="85"/>
      <c r="E27" s="85"/>
      <c r="F27" s="85"/>
      <c r="G27" s="85"/>
      <c r="H27" s="85"/>
      <c r="I27" s="85"/>
      <c r="J27" s="85"/>
      <c r="K27" s="85"/>
      <c r="L27" s="85"/>
      <c r="M27" s="85"/>
      <c r="N27" s="85"/>
      <c r="O27" s="86"/>
    </row>
    <row r="28" spans="1:15" ht="15">
      <c r="A28" s="83" t="s">
        <v>68</v>
      </c>
      <c r="B28" s="84">
        <v>26</v>
      </c>
      <c r="C28" s="84"/>
      <c r="D28" s="85"/>
      <c r="E28" s="85"/>
      <c r="F28" s="85"/>
      <c r="G28" s="85"/>
      <c r="H28" s="85"/>
      <c r="I28" s="85"/>
      <c r="J28" s="85"/>
      <c r="K28" s="85"/>
      <c r="L28" s="85"/>
      <c r="M28" s="85"/>
      <c r="N28" s="85"/>
      <c r="O28" s="86"/>
    </row>
    <row r="29" spans="1:15" ht="15">
      <c r="A29" s="83" t="s">
        <v>69</v>
      </c>
      <c r="B29" s="84">
        <v>27</v>
      </c>
      <c r="C29" s="84"/>
      <c r="D29" s="85"/>
      <c r="E29" s="85"/>
      <c r="F29" s="85"/>
      <c r="G29" s="85"/>
      <c r="H29" s="85"/>
      <c r="I29" s="85"/>
      <c r="J29" s="85"/>
      <c r="K29" s="85"/>
      <c r="L29" s="85"/>
      <c r="M29" s="85"/>
      <c r="N29" s="85"/>
      <c r="O29" s="86"/>
    </row>
    <row r="30" spans="1:15" ht="15">
      <c r="A30" s="83" t="s">
        <v>70</v>
      </c>
      <c r="B30" s="84">
        <v>28</v>
      </c>
      <c r="C30" s="84"/>
      <c r="D30" s="85"/>
      <c r="E30" s="85"/>
      <c r="F30" s="85"/>
      <c r="G30" s="85"/>
      <c r="H30" s="85"/>
      <c r="I30" s="85"/>
      <c r="J30" s="85"/>
      <c r="K30" s="85"/>
      <c r="L30" s="85"/>
      <c r="M30" s="85"/>
      <c r="N30" s="85"/>
      <c r="O30" s="86"/>
    </row>
    <row r="31" spans="1:15" ht="15">
      <c r="A31" s="83" t="s">
        <v>71</v>
      </c>
      <c r="B31" s="84">
        <v>29</v>
      </c>
      <c r="C31" s="84"/>
      <c r="D31" s="85"/>
      <c r="E31" s="85"/>
      <c r="F31" s="85"/>
      <c r="G31" s="85"/>
      <c r="H31" s="85"/>
      <c r="I31" s="85"/>
      <c r="J31" s="85"/>
      <c r="K31" s="85"/>
      <c r="L31" s="85"/>
      <c r="M31" s="85"/>
      <c r="N31" s="85"/>
      <c r="O31" s="86"/>
    </row>
    <row r="32" spans="1:15" ht="15">
      <c r="A32" s="83" t="s">
        <v>72</v>
      </c>
      <c r="B32" s="84">
        <v>30</v>
      </c>
      <c r="C32" s="84"/>
      <c r="D32" s="85"/>
      <c r="E32" s="85"/>
      <c r="F32" s="85"/>
      <c r="G32" s="85"/>
      <c r="H32" s="85"/>
      <c r="I32" s="85"/>
      <c r="J32" s="85"/>
      <c r="K32" s="85"/>
      <c r="L32" s="85"/>
      <c r="M32" s="85"/>
      <c r="N32" s="85"/>
      <c r="O32" s="86"/>
    </row>
    <row r="33" spans="1:15" ht="15">
      <c r="A33" s="83" t="s">
        <v>73</v>
      </c>
      <c r="B33" s="84">
        <v>31</v>
      </c>
      <c r="C33" s="84"/>
      <c r="D33" s="85"/>
      <c r="E33" s="85"/>
      <c r="F33" s="85"/>
      <c r="G33" s="85"/>
      <c r="H33" s="85"/>
      <c r="I33" s="85"/>
      <c r="J33" s="85"/>
      <c r="K33" s="85"/>
      <c r="L33" s="85"/>
      <c r="M33" s="85"/>
      <c r="N33" s="85"/>
      <c r="O33" s="86"/>
    </row>
    <row r="34" spans="1:15" ht="15">
      <c r="A34" s="83" t="s">
        <v>74</v>
      </c>
      <c r="B34" s="84">
        <v>32</v>
      </c>
      <c r="C34" s="84"/>
      <c r="D34" s="85"/>
      <c r="E34" s="85"/>
      <c r="F34" s="85"/>
      <c r="G34" s="85"/>
      <c r="H34" s="85"/>
      <c r="I34" s="85"/>
      <c r="J34" s="85"/>
      <c r="K34" s="85"/>
      <c r="L34" s="85"/>
      <c r="M34" s="85"/>
      <c r="N34" s="85"/>
      <c r="O34" s="86"/>
    </row>
    <row r="35" spans="1:15" ht="15">
      <c r="A35" s="83" t="s">
        <v>75</v>
      </c>
      <c r="B35" s="84">
        <v>33</v>
      </c>
      <c r="C35" s="84"/>
      <c r="D35" s="85"/>
      <c r="E35" s="85"/>
      <c r="F35" s="85"/>
      <c r="G35" s="85"/>
      <c r="H35" s="85"/>
      <c r="I35" s="85"/>
      <c r="J35" s="85"/>
      <c r="K35" s="85"/>
      <c r="L35" s="85"/>
      <c r="M35" s="85"/>
      <c r="N35" s="85"/>
      <c r="O35" s="86"/>
    </row>
    <row r="36" spans="1:15" ht="15">
      <c r="A36" s="83" t="s">
        <v>76</v>
      </c>
      <c r="B36" s="84">
        <v>34</v>
      </c>
      <c r="C36" s="84"/>
      <c r="D36" s="85"/>
      <c r="E36" s="85"/>
      <c r="F36" s="85"/>
      <c r="G36" s="85"/>
      <c r="H36" s="85"/>
      <c r="I36" s="85"/>
      <c r="J36" s="85"/>
      <c r="K36" s="85"/>
      <c r="L36" s="85"/>
      <c r="M36" s="85"/>
      <c r="N36" s="85"/>
      <c r="O36" s="86"/>
    </row>
    <row r="37" spans="1:15" ht="15">
      <c r="A37" s="83" t="s">
        <v>77</v>
      </c>
      <c r="B37" s="84">
        <v>35</v>
      </c>
      <c r="C37" s="84"/>
      <c r="D37" s="85"/>
      <c r="E37" s="85"/>
      <c r="F37" s="85"/>
      <c r="G37" s="85"/>
      <c r="H37" s="85"/>
      <c r="I37" s="85"/>
      <c r="J37" s="85"/>
      <c r="K37" s="85"/>
      <c r="L37" s="85"/>
      <c r="M37" s="85"/>
      <c r="N37" s="85"/>
      <c r="O37" s="86"/>
    </row>
    <row r="38" spans="1:15" ht="15">
      <c r="A38" s="83" t="s">
        <v>78</v>
      </c>
      <c r="B38" s="84">
        <v>36</v>
      </c>
      <c r="C38" s="84"/>
      <c r="D38" s="85"/>
      <c r="E38" s="85"/>
      <c r="F38" s="85"/>
      <c r="G38" s="85"/>
      <c r="H38" s="85"/>
      <c r="I38" s="85"/>
      <c r="J38" s="85"/>
      <c r="K38" s="85"/>
      <c r="L38" s="85"/>
      <c r="M38" s="85"/>
      <c r="N38" s="85"/>
      <c r="O38" s="86"/>
    </row>
    <row r="39" spans="1:15" ht="15">
      <c r="A39" s="83" t="s">
        <v>79</v>
      </c>
      <c r="B39" s="84">
        <v>37</v>
      </c>
      <c r="C39" s="84"/>
      <c r="D39" s="85"/>
      <c r="E39" s="85"/>
      <c r="F39" s="85"/>
      <c r="G39" s="85"/>
      <c r="H39" s="85"/>
      <c r="I39" s="85"/>
      <c r="J39" s="85"/>
      <c r="K39" s="85"/>
      <c r="L39" s="85"/>
      <c r="M39" s="85"/>
      <c r="N39" s="85"/>
      <c r="O39" s="86"/>
    </row>
    <row r="40" spans="1:15" ht="15">
      <c r="A40" s="83" t="s">
        <v>80</v>
      </c>
      <c r="B40" s="84">
        <v>38</v>
      </c>
      <c r="C40" s="84"/>
      <c r="D40" s="85"/>
      <c r="E40" s="85"/>
      <c r="F40" s="85"/>
      <c r="G40" s="85"/>
      <c r="H40" s="85"/>
      <c r="I40" s="85"/>
      <c r="J40" s="85"/>
      <c r="K40" s="85"/>
      <c r="L40" s="85"/>
      <c r="M40" s="85"/>
      <c r="N40" s="85"/>
      <c r="O40" s="86"/>
    </row>
    <row r="41" spans="1:15" ht="15">
      <c r="A41" s="83" t="s">
        <v>81</v>
      </c>
      <c r="B41" s="84">
        <v>39</v>
      </c>
      <c r="C41" s="84"/>
      <c r="D41" s="85"/>
      <c r="E41" s="85"/>
      <c r="F41" s="85"/>
      <c r="G41" s="85"/>
      <c r="H41" s="85"/>
      <c r="I41" s="85"/>
      <c r="J41" s="85"/>
      <c r="K41" s="85"/>
      <c r="L41" s="85"/>
      <c r="M41" s="85"/>
      <c r="N41" s="85"/>
      <c r="O41" s="86"/>
    </row>
    <row r="42" spans="1:15" ht="15">
      <c r="A42" s="83" t="s">
        <v>82</v>
      </c>
      <c r="B42" s="84">
        <v>40</v>
      </c>
      <c r="C42" s="84"/>
      <c r="D42" s="85"/>
      <c r="E42" s="85"/>
      <c r="F42" s="85"/>
      <c r="G42" s="85"/>
      <c r="H42" s="85"/>
      <c r="I42" s="85"/>
      <c r="J42" s="85"/>
      <c r="K42" s="85"/>
      <c r="L42" s="85"/>
      <c r="M42" s="85"/>
      <c r="N42" s="85"/>
      <c r="O42" s="86"/>
    </row>
    <row r="43" spans="1:15" ht="15">
      <c r="A43" s="83" t="s">
        <v>83</v>
      </c>
      <c r="B43" s="84">
        <v>41</v>
      </c>
      <c r="C43" s="84"/>
      <c r="D43" s="85"/>
      <c r="E43" s="85"/>
      <c r="F43" s="85"/>
      <c r="G43" s="85"/>
      <c r="H43" s="85"/>
      <c r="I43" s="85"/>
      <c r="J43" s="85"/>
      <c r="K43" s="85"/>
      <c r="L43" s="85"/>
      <c r="M43" s="85"/>
      <c r="N43" s="85"/>
      <c r="O43" s="86"/>
    </row>
    <row r="44" spans="1:15" ht="15">
      <c r="A44" s="83" t="s">
        <v>84</v>
      </c>
      <c r="B44" s="84">
        <v>42</v>
      </c>
      <c r="C44" s="84"/>
      <c r="D44" s="85"/>
      <c r="E44" s="85"/>
      <c r="F44" s="85"/>
      <c r="G44" s="85"/>
      <c r="H44" s="85"/>
      <c r="I44" s="85"/>
      <c r="J44" s="85"/>
      <c r="K44" s="85"/>
      <c r="L44" s="85"/>
      <c r="M44" s="85"/>
      <c r="N44" s="85"/>
      <c r="O44" s="86"/>
    </row>
    <row r="45" spans="1:15" ht="15">
      <c r="A45" s="83" t="s">
        <v>85</v>
      </c>
      <c r="B45" s="84">
        <v>43</v>
      </c>
      <c r="C45" s="84"/>
      <c r="D45" s="85"/>
      <c r="E45" s="85"/>
      <c r="F45" s="85"/>
      <c r="G45" s="85"/>
      <c r="H45" s="85"/>
      <c r="I45" s="85"/>
      <c r="J45" s="85"/>
      <c r="K45" s="85"/>
      <c r="L45" s="85"/>
      <c r="M45" s="85"/>
      <c r="N45" s="85"/>
      <c r="O45" s="86"/>
    </row>
    <row r="46" spans="1:15" ht="15">
      <c r="A46" s="83" t="s">
        <v>86</v>
      </c>
      <c r="B46" s="84">
        <v>44</v>
      </c>
      <c r="C46" s="84"/>
      <c r="D46" s="85"/>
      <c r="E46" s="85"/>
      <c r="F46" s="85"/>
      <c r="G46" s="85"/>
      <c r="H46" s="85"/>
      <c r="I46" s="85"/>
      <c r="J46" s="85"/>
      <c r="K46" s="85"/>
      <c r="L46" s="85"/>
      <c r="M46" s="85"/>
      <c r="N46" s="85"/>
      <c r="O46" s="86"/>
    </row>
    <row r="47" spans="1:15" ht="15">
      <c r="A47" s="83" t="s">
        <v>87</v>
      </c>
      <c r="B47" s="84">
        <v>45</v>
      </c>
      <c r="C47" s="84"/>
      <c r="D47" s="85"/>
      <c r="E47" s="85"/>
      <c r="F47" s="85"/>
      <c r="G47" s="85"/>
      <c r="H47" s="85"/>
      <c r="I47" s="85"/>
      <c r="J47" s="85"/>
      <c r="K47" s="85"/>
      <c r="L47" s="85"/>
      <c r="M47" s="85"/>
      <c r="N47" s="85"/>
      <c r="O47" s="86"/>
    </row>
    <row r="48" spans="1:15" ht="15">
      <c r="A48" s="83" t="s">
        <v>88</v>
      </c>
      <c r="B48" s="84">
        <v>46</v>
      </c>
      <c r="C48" s="84"/>
      <c r="D48" s="85"/>
      <c r="E48" s="85"/>
      <c r="F48" s="85"/>
      <c r="G48" s="85"/>
      <c r="H48" s="85"/>
      <c r="I48" s="85"/>
      <c r="J48" s="85"/>
      <c r="K48" s="85"/>
      <c r="L48" s="85"/>
      <c r="M48" s="85"/>
      <c r="N48" s="85"/>
      <c r="O48" s="86"/>
    </row>
    <row r="49" spans="1:15" ht="15">
      <c r="A49" s="83" t="s">
        <v>89</v>
      </c>
      <c r="B49" s="84">
        <v>47</v>
      </c>
      <c r="C49" s="84"/>
      <c r="D49" s="85"/>
      <c r="E49" s="85"/>
      <c r="F49" s="85"/>
      <c r="G49" s="85"/>
      <c r="H49" s="85"/>
      <c r="I49" s="85"/>
      <c r="J49" s="85"/>
      <c r="K49" s="85"/>
      <c r="L49" s="85"/>
      <c r="M49" s="85"/>
      <c r="N49" s="85"/>
      <c r="O49" s="86"/>
    </row>
    <row r="50" spans="1:15" ht="15">
      <c r="A50" s="83" t="s">
        <v>90</v>
      </c>
      <c r="B50" s="84">
        <v>48</v>
      </c>
      <c r="C50" s="84"/>
      <c r="D50" s="85"/>
      <c r="E50" s="85"/>
      <c r="F50" s="85"/>
      <c r="G50" s="85"/>
      <c r="H50" s="85"/>
      <c r="I50" s="85"/>
      <c r="J50" s="85"/>
      <c r="K50" s="85"/>
      <c r="L50" s="85"/>
      <c r="M50" s="85"/>
      <c r="N50" s="85"/>
      <c r="O50" s="86"/>
    </row>
    <row r="51" spans="1:15" ht="15">
      <c r="A51" s="83" t="s">
        <v>91</v>
      </c>
      <c r="B51" s="84">
        <v>49</v>
      </c>
      <c r="C51" s="84"/>
      <c r="D51" s="85"/>
      <c r="E51" s="85"/>
      <c r="F51" s="85"/>
      <c r="G51" s="85"/>
      <c r="H51" s="85"/>
      <c r="I51" s="85"/>
      <c r="J51" s="85"/>
      <c r="K51" s="85"/>
      <c r="L51" s="85"/>
      <c r="M51" s="85"/>
      <c r="N51" s="85"/>
      <c r="O51" s="86"/>
    </row>
    <row r="52" spans="1:15" ht="15">
      <c r="A52" s="83" t="s">
        <v>92</v>
      </c>
      <c r="B52" s="84">
        <v>50</v>
      </c>
      <c r="C52" s="84"/>
      <c r="D52" s="85"/>
      <c r="E52" s="85"/>
      <c r="F52" s="85"/>
      <c r="G52" s="85"/>
      <c r="H52" s="85"/>
      <c r="I52" s="85"/>
      <c r="J52" s="85"/>
      <c r="K52" s="85"/>
      <c r="L52" s="85"/>
      <c r="M52" s="85"/>
      <c r="N52" s="85"/>
      <c r="O52" s="86"/>
    </row>
    <row r="53" spans="1:15" ht="15">
      <c r="A53" s="83" t="s">
        <v>101</v>
      </c>
      <c r="B53" s="84">
        <v>63</v>
      </c>
      <c r="C53" s="84"/>
      <c r="D53" s="85"/>
      <c r="E53" s="85"/>
      <c r="F53" s="85"/>
      <c r="G53" s="85"/>
      <c r="H53" s="85"/>
      <c r="I53" s="85"/>
      <c r="J53" s="85"/>
      <c r="K53" s="85"/>
      <c r="L53" s="85"/>
      <c r="M53" s="85"/>
      <c r="N53" s="85"/>
      <c r="O53" s="86"/>
    </row>
    <row r="54" spans="1:15" ht="15">
      <c r="A54" s="83" t="s">
        <v>93</v>
      </c>
      <c r="B54" s="84">
        <v>52</v>
      </c>
      <c r="C54" s="84"/>
      <c r="D54" s="85"/>
      <c r="E54" s="85"/>
      <c r="F54" s="85"/>
      <c r="G54" s="85"/>
      <c r="H54" s="85"/>
      <c r="I54" s="85"/>
      <c r="J54" s="85"/>
      <c r="K54" s="85"/>
      <c r="L54" s="85"/>
      <c r="M54" s="85"/>
      <c r="N54" s="85"/>
      <c r="O54" s="86"/>
    </row>
    <row r="55" spans="1:15" ht="15">
      <c r="A55" s="83" t="s">
        <v>94</v>
      </c>
      <c r="B55" s="84">
        <v>66</v>
      </c>
      <c r="C55" s="84"/>
      <c r="D55" s="85"/>
      <c r="E55" s="85"/>
      <c r="F55" s="85"/>
      <c r="G55" s="85"/>
      <c r="H55" s="85"/>
      <c r="I55" s="85"/>
      <c r="J55" s="85"/>
      <c r="K55" s="85"/>
      <c r="L55" s="85"/>
      <c r="M55" s="85"/>
      <c r="N55" s="85"/>
      <c r="O55" s="86"/>
    </row>
    <row r="56" spans="1:15" ht="15">
      <c r="A56" s="83" t="s">
        <v>95</v>
      </c>
      <c r="B56" s="84">
        <v>53</v>
      </c>
      <c r="C56" s="84"/>
      <c r="D56" s="85"/>
      <c r="E56" s="85"/>
      <c r="F56" s="85"/>
      <c r="G56" s="85"/>
      <c r="H56" s="85"/>
      <c r="I56" s="85"/>
      <c r="J56" s="85"/>
      <c r="K56" s="85"/>
      <c r="L56" s="85"/>
      <c r="M56" s="85"/>
      <c r="N56" s="85"/>
      <c r="O56" s="86"/>
    </row>
    <row r="57" spans="1:15" ht="15">
      <c r="A57" s="83" t="s">
        <v>96</v>
      </c>
      <c r="B57" s="84">
        <v>54</v>
      </c>
      <c r="C57" s="84"/>
      <c r="D57" s="85"/>
      <c r="E57" s="85"/>
      <c r="F57" s="85"/>
      <c r="G57" s="85"/>
      <c r="H57" s="85"/>
      <c r="I57" s="85"/>
      <c r="J57" s="85"/>
      <c r="K57" s="85"/>
      <c r="L57" s="85"/>
      <c r="M57" s="85"/>
      <c r="N57" s="85"/>
      <c r="O57" s="86"/>
    </row>
    <row r="58" spans="1:15" ht="15">
      <c r="A58" s="83" t="s">
        <v>97</v>
      </c>
      <c r="B58" s="84">
        <v>55</v>
      </c>
      <c r="C58" s="84"/>
      <c r="D58" s="85"/>
      <c r="E58" s="85"/>
      <c r="F58" s="85"/>
      <c r="G58" s="85"/>
      <c r="H58" s="85"/>
      <c r="I58" s="85"/>
      <c r="J58" s="85"/>
      <c r="M58" s="85"/>
      <c r="N58" s="85"/>
      <c r="O58" s="86"/>
    </row>
    <row r="59" spans="1:15" ht="15">
      <c r="A59" s="83" t="s">
        <v>98</v>
      </c>
      <c r="B59" s="84">
        <v>56</v>
      </c>
      <c r="C59" s="84"/>
      <c r="D59" s="85"/>
      <c r="E59" s="85"/>
      <c r="F59" s="85"/>
      <c r="G59" s="85"/>
      <c r="H59" s="85"/>
      <c r="I59" s="85"/>
      <c r="J59" s="85"/>
      <c r="M59" s="85"/>
      <c r="N59" s="85"/>
      <c r="O59" s="86"/>
    </row>
    <row r="60" spans="1:15" ht="15.75" thickBot="1">
      <c r="A60" s="87" t="s">
        <v>99</v>
      </c>
      <c r="B60" s="88">
        <v>57</v>
      </c>
      <c r="C60" s="88"/>
      <c r="D60" s="89"/>
      <c r="E60" s="89"/>
      <c r="F60" s="89"/>
      <c r="G60" s="89"/>
      <c r="H60" s="89"/>
      <c r="I60" s="89"/>
      <c r="J60" s="89"/>
      <c r="K60" s="89"/>
      <c r="L60" s="89"/>
      <c r="M60" s="89"/>
      <c r="N60" s="89"/>
      <c r="O60" s="90"/>
    </row>
  </sheetData>
  <sheetProtection sheet="1" objects="1" scenarios="1" formatColumns="0" formatRows="0"/>
  <mergeCells count="1">
    <mergeCell ref="A1:B1"/>
  </mergeCells>
  <printOptions gridLines="1" headings="1"/>
  <pageMargins left="0.25" right="0.25" top="0.75" bottom="0.75" header="0.3" footer="0.3"/>
  <pageSetup fitToHeight="1" fitToWidth="1" horizontalDpi="600" verticalDpi="600" orientation="landscape" paperSize="5" scale="49" r:id="rId1"/>
  <headerFooter>
    <oddFooter>&amp;CPage &amp;P of &amp;N</oddFooter>
  </headerFooter>
</worksheet>
</file>

<file path=xl/worksheets/sheet15.xml><?xml version="1.0" encoding="utf-8"?>
<worksheet xmlns="http://schemas.openxmlformats.org/spreadsheetml/2006/main" xmlns:r="http://schemas.openxmlformats.org/officeDocument/2006/relationships">
  <sheetPr codeName="Sheet15"/>
  <dimension ref="A1:G83"/>
  <sheetViews>
    <sheetView zoomScale="80" zoomScaleNormal="80" zoomScalePageLayoutView="0" workbookViewId="0" topLeftCell="A49">
      <selection activeCell="C71" sqref="C71"/>
    </sheetView>
  </sheetViews>
  <sheetFormatPr defaultColWidth="19.57421875" defaultRowHeight="15"/>
  <cols>
    <col min="1" max="1" width="25.8515625" style="91" customWidth="1"/>
    <col min="2" max="2" width="14.8515625" style="91" customWidth="1"/>
    <col min="3" max="3" width="16.00390625" style="91" customWidth="1"/>
    <col min="4" max="4" width="18.421875" style="91" customWidth="1"/>
    <col min="5" max="5" width="55.421875" style="91" customWidth="1"/>
    <col min="6" max="7" width="19.57421875" style="91" customWidth="1"/>
    <col min="8" max="16384" width="19.57421875" style="91" customWidth="1"/>
  </cols>
  <sheetData>
    <row r="1" ht="15">
      <c r="D1" s="92" t="s">
        <v>197</v>
      </c>
    </row>
    <row r="2" spans="1:5" ht="14.25" customHeight="1">
      <c r="A2" s="473" t="s">
        <v>198</v>
      </c>
      <c r="B2" s="473"/>
      <c r="C2" s="473"/>
      <c r="D2" s="473"/>
      <c r="E2" s="473"/>
    </row>
    <row r="3" spans="1:5" ht="14.25" customHeight="1">
      <c r="A3" s="473" t="s">
        <v>307</v>
      </c>
      <c r="B3" s="473"/>
      <c r="C3" s="473"/>
      <c r="D3" s="473"/>
      <c r="E3" s="473"/>
    </row>
    <row r="4" spans="1:4" ht="14.25" customHeight="1" thickBot="1">
      <c r="A4" s="93"/>
      <c r="B4" s="94"/>
      <c r="C4" s="95"/>
      <c r="D4" s="96"/>
    </row>
    <row r="5" spans="1:5" ht="14.25" customHeight="1">
      <c r="A5" s="97" t="s">
        <v>199</v>
      </c>
      <c r="B5" s="472" t="s">
        <v>200</v>
      </c>
      <c r="C5" s="472"/>
      <c r="D5" s="98" t="s">
        <v>201</v>
      </c>
      <c r="E5" s="99"/>
    </row>
    <row r="6" spans="1:5" ht="14.25" customHeight="1" thickBot="1">
      <c r="A6" s="100"/>
      <c r="B6" s="101">
        <v>42736</v>
      </c>
      <c r="C6" s="102">
        <v>43101</v>
      </c>
      <c r="D6" s="103" t="s">
        <v>202</v>
      </c>
      <c r="E6" s="104" t="s">
        <v>185</v>
      </c>
    </row>
    <row r="7" spans="1:5" ht="14.25" customHeight="1">
      <c r="A7" s="105"/>
      <c r="B7" s="106"/>
      <c r="C7" s="106"/>
      <c r="D7" s="107"/>
      <c r="E7" s="108"/>
    </row>
    <row r="8" spans="1:5" ht="14.25" customHeight="1">
      <c r="A8" s="109" t="s">
        <v>203</v>
      </c>
      <c r="B8" s="110">
        <v>39500973</v>
      </c>
      <c r="C8" s="110">
        <v>39809693</v>
      </c>
      <c r="D8" s="111">
        <v>0.8</v>
      </c>
      <c r="E8" s="112"/>
    </row>
    <row r="9" spans="1:5" ht="14.25" customHeight="1">
      <c r="A9" s="113"/>
      <c r="B9" s="114"/>
      <c r="C9" s="114"/>
      <c r="D9" s="115"/>
      <c r="E9" s="108"/>
    </row>
    <row r="10" spans="1:6" ht="14.25" customHeight="1">
      <c r="A10" s="116" t="s">
        <v>43</v>
      </c>
      <c r="B10" s="110">
        <v>1646405</v>
      </c>
      <c r="C10" s="110">
        <v>1660202</v>
      </c>
      <c r="D10" s="111">
        <v>0.8</v>
      </c>
      <c r="E10" s="112" t="str">
        <f>IF(B10&gt;=200000,"Yes","No")</f>
        <v>Yes</v>
      </c>
      <c r="F10" s="138"/>
    </row>
    <row r="11" spans="1:5" ht="14.25" customHeight="1">
      <c r="A11" s="116" t="s">
        <v>100</v>
      </c>
      <c r="B11" s="110">
        <v>1156</v>
      </c>
      <c r="C11" s="110">
        <v>1154</v>
      </c>
      <c r="D11" s="111">
        <v>-0.2</v>
      </c>
      <c r="E11" s="112" t="str">
        <f aca="true" t="shared" si="0" ref="E11:E71">IF(B11&gt;=200000,"Yes","No")</f>
        <v>No</v>
      </c>
    </row>
    <row r="12" spans="1:5" ht="14.25" customHeight="1">
      <c r="A12" s="116" t="s">
        <v>44</v>
      </c>
      <c r="B12" s="110">
        <v>38382</v>
      </c>
      <c r="C12" s="110">
        <v>38094</v>
      </c>
      <c r="D12" s="111">
        <v>-0.8</v>
      </c>
      <c r="E12" s="112" t="str">
        <f t="shared" si="0"/>
        <v>No</v>
      </c>
    </row>
    <row r="13" spans="1:5" ht="14.25" customHeight="1">
      <c r="A13" s="116" t="s">
        <v>46</v>
      </c>
      <c r="B13" s="110">
        <v>226403</v>
      </c>
      <c r="C13" s="110">
        <v>227621</v>
      </c>
      <c r="D13" s="111">
        <v>0.5</v>
      </c>
      <c r="E13" s="112" t="str">
        <f t="shared" si="0"/>
        <v>Yes</v>
      </c>
    </row>
    <row r="14" spans="1:7" ht="14.25" customHeight="1">
      <c r="A14" s="116" t="s">
        <v>47</v>
      </c>
      <c r="B14" s="110">
        <v>45175</v>
      </c>
      <c r="C14" s="110">
        <v>45157</v>
      </c>
      <c r="D14" s="111">
        <v>0</v>
      </c>
      <c r="E14" s="112" t="str">
        <f t="shared" si="0"/>
        <v>No</v>
      </c>
      <c r="G14" s="138"/>
    </row>
    <row r="15" spans="1:5" ht="14.25" customHeight="1">
      <c r="A15" s="116" t="s">
        <v>48</v>
      </c>
      <c r="B15" s="110">
        <v>22050</v>
      </c>
      <c r="C15" s="110">
        <v>22098</v>
      </c>
      <c r="D15" s="111">
        <v>0.2</v>
      </c>
      <c r="E15" s="112" t="str">
        <f t="shared" si="0"/>
        <v>No</v>
      </c>
    </row>
    <row r="16" spans="1:5" ht="14.25" customHeight="1">
      <c r="A16" s="116" t="s">
        <v>49</v>
      </c>
      <c r="B16" s="110">
        <v>1139313</v>
      </c>
      <c r="C16" s="110">
        <v>1149363</v>
      </c>
      <c r="D16" s="111">
        <v>0.9</v>
      </c>
      <c r="E16" s="112" t="str">
        <f t="shared" si="0"/>
        <v>Yes</v>
      </c>
    </row>
    <row r="17" spans="1:5" ht="14.25" customHeight="1">
      <c r="A17" s="116" t="s">
        <v>50</v>
      </c>
      <c r="B17" s="110">
        <v>27060</v>
      </c>
      <c r="C17" s="110">
        <v>27221</v>
      </c>
      <c r="D17" s="111">
        <v>0.6</v>
      </c>
      <c r="E17" s="112" t="str">
        <f t="shared" si="0"/>
        <v>No</v>
      </c>
    </row>
    <row r="18" spans="1:5" ht="14.25" customHeight="1">
      <c r="A18" s="116" t="s">
        <v>51</v>
      </c>
      <c r="B18" s="110">
        <v>186223</v>
      </c>
      <c r="C18" s="110">
        <v>188399</v>
      </c>
      <c r="D18" s="111">
        <v>1.2</v>
      </c>
      <c r="E18" s="112" t="str">
        <f t="shared" si="0"/>
        <v>No</v>
      </c>
    </row>
    <row r="19" spans="1:5" ht="14.25" customHeight="1">
      <c r="A19" s="116" t="s">
        <v>52</v>
      </c>
      <c r="B19" s="110">
        <v>995233</v>
      </c>
      <c r="C19" s="110">
        <v>1007229</v>
      </c>
      <c r="D19" s="111">
        <v>1.2</v>
      </c>
      <c r="E19" s="112" t="str">
        <f t="shared" si="0"/>
        <v>Yes</v>
      </c>
    </row>
    <row r="20" spans="1:5" ht="14.25" customHeight="1">
      <c r="A20" s="116" t="s">
        <v>53</v>
      </c>
      <c r="B20" s="110">
        <v>28730</v>
      </c>
      <c r="C20" s="110">
        <v>28796</v>
      </c>
      <c r="D20" s="111">
        <v>0.2</v>
      </c>
      <c r="E20" s="112" t="str">
        <f t="shared" si="0"/>
        <v>No</v>
      </c>
    </row>
    <row r="21" spans="1:5" ht="14.25" customHeight="1">
      <c r="A21" s="116" t="s">
        <v>54</v>
      </c>
      <c r="B21" s="110">
        <v>136430</v>
      </c>
      <c r="C21" s="110">
        <v>136002</v>
      </c>
      <c r="D21" s="111">
        <v>-0.3</v>
      </c>
      <c r="E21" s="112" t="str">
        <f t="shared" si="0"/>
        <v>No</v>
      </c>
    </row>
    <row r="22" spans="1:5" ht="14.25" customHeight="1">
      <c r="A22" s="116" t="s">
        <v>55</v>
      </c>
      <c r="B22" s="110">
        <v>187921</v>
      </c>
      <c r="C22" s="110">
        <v>190624</v>
      </c>
      <c r="D22" s="111">
        <v>1.4</v>
      </c>
      <c r="E22" s="112" t="str">
        <f t="shared" si="0"/>
        <v>No</v>
      </c>
    </row>
    <row r="23" spans="1:5" ht="14.25" customHeight="1">
      <c r="A23" s="116" t="s">
        <v>56</v>
      </c>
      <c r="B23" s="110">
        <v>18598</v>
      </c>
      <c r="C23" s="110">
        <v>18577</v>
      </c>
      <c r="D23" s="111">
        <v>-0.1</v>
      </c>
      <c r="E23" s="112" t="str">
        <f t="shared" si="0"/>
        <v>No</v>
      </c>
    </row>
    <row r="24" spans="1:5" ht="14.25" customHeight="1">
      <c r="A24" s="116" t="s">
        <v>57</v>
      </c>
      <c r="B24" s="110">
        <v>896101</v>
      </c>
      <c r="C24" s="110">
        <v>905801</v>
      </c>
      <c r="D24" s="111">
        <v>1.1</v>
      </c>
      <c r="E24" s="112" t="str">
        <f t="shared" si="0"/>
        <v>Yes</v>
      </c>
    </row>
    <row r="25" spans="1:5" ht="14.25" customHeight="1">
      <c r="A25" s="116" t="s">
        <v>58</v>
      </c>
      <c r="B25" s="110">
        <v>149559</v>
      </c>
      <c r="C25" s="110">
        <v>151662</v>
      </c>
      <c r="D25" s="111">
        <v>1.4</v>
      </c>
      <c r="E25" s="112" t="str">
        <f t="shared" si="0"/>
        <v>No</v>
      </c>
    </row>
    <row r="26" spans="1:5" ht="14.25" customHeight="1">
      <c r="A26" s="116" t="s">
        <v>59</v>
      </c>
      <c r="B26" s="110">
        <v>64740</v>
      </c>
      <c r="C26" s="110">
        <v>65081</v>
      </c>
      <c r="D26" s="111">
        <v>0.5</v>
      </c>
      <c r="E26" s="112" t="str">
        <f t="shared" si="0"/>
        <v>No</v>
      </c>
    </row>
    <row r="27" spans="1:5" ht="14.25" customHeight="1">
      <c r="A27" s="116" t="s">
        <v>60</v>
      </c>
      <c r="B27" s="110">
        <v>30661</v>
      </c>
      <c r="C27" s="110">
        <v>30911</v>
      </c>
      <c r="D27" s="111">
        <v>0.8</v>
      </c>
      <c r="E27" s="112" t="str">
        <f t="shared" si="0"/>
        <v>No</v>
      </c>
    </row>
    <row r="28" spans="1:5" ht="14.25" customHeight="1">
      <c r="A28" s="116" t="s">
        <v>61</v>
      </c>
      <c r="B28" s="110">
        <v>10231271</v>
      </c>
      <c r="C28" s="110">
        <v>10283729</v>
      </c>
      <c r="D28" s="111">
        <v>0.5</v>
      </c>
      <c r="E28" s="112" t="str">
        <f t="shared" si="0"/>
        <v>Yes</v>
      </c>
    </row>
    <row r="29" spans="1:5" ht="14.25" customHeight="1">
      <c r="A29" s="116" t="s">
        <v>62</v>
      </c>
      <c r="B29" s="110">
        <v>156963</v>
      </c>
      <c r="C29" s="110">
        <v>158894</v>
      </c>
      <c r="D29" s="111">
        <v>1.2</v>
      </c>
      <c r="E29" s="112" t="str">
        <f t="shared" si="0"/>
        <v>No</v>
      </c>
    </row>
    <row r="30" spans="1:5" ht="14.25" customHeight="1">
      <c r="A30" s="116" t="s">
        <v>63</v>
      </c>
      <c r="B30" s="110">
        <v>263262</v>
      </c>
      <c r="C30" s="110">
        <v>263886</v>
      </c>
      <c r="D30" s="111">
        <v>0.2</v>
      </c>
      <c r="E30" s="112" t="str">
        <f t="shared" si="0"/>
        <v>Yes</v>
      </c>
    </row>
    <row r="31" spans="1:5" ht="14.25" customHeight="1">
      <c r="A31" s="116" t="s">
        <v>64</v>
      </c>
      <c r="B31" s="110">
        <v>18137</v>
      </c>
      <c r="C31" s="110">
        <v>18129</v>
      </c>
      <c r="D31" s="111">
        <v>0</v>
      </c>
      <c r="E31" s="112" t="str">
        <f t="shared" si="0"/>
        <v>No</v>
      </c>
    </row>
    <row r="32" spans="1:5" ht="14.25" customHeight="1">
      <c r="A32" s="116" t="s">
        <v>65</v>
      </c>
      <c r="B32" s="110">
        <v>89092</v>
      </c>
      <c r="C32" s="110">
        <v>89299</v>
      </c>
      <c r="D32" s="111">
        <v>0.2</v>
      </c>
      <c r="E32" s="112" t="str">
        <f t="shared" si="0"/>
        <v>No</v>
      </c>
    </row>
    <row r="33" spans="1:5" ht="14.25" customHeight="1">
      <c r="A33" s="116" t="s">
        <v>66</v>
      </c>
      <c r="B33" s="110">
        <v>275104</v>
      </c>
      <c r="C33" s="110">
        <v>279977</v>
      </c>
      <c r="D33" s="111">
        <v>1.8</v>
      </c>
      <c r="E33" s="112" t="str">
        <f t="shared" si="0"/>
        <v>Yes</v>
      </c>
    </row>
    <row r="34" spans="1:5" ht="14.25" customHeight="1">
      <c r="A34" s="116" t="s">
        <v>67</v>
      </c>
      <c r="B34" s="110">
        <v>9562</v>
      </c>
      <c r="C34" s="110">
        <v>9612</v>
      </c>
      <c r="D34" s="111">
        <v>0.5</v>
      </c>
      <c r="E34" s="112" t="str">
        <f t="shared" si="0"/>
        <v>No</v>
      </c>
    </row>
    <row r="35" spans="1:5" ht="14.25" customHeight="1">
      <c r="A35" s="116" t="s">
        <v>68</v>
      </c>
      <c r="B35" s="110">
        <v>13759</v>
      </c>
      <c r="C35" s="110">
        <v>13822</v>
      </c>
      <c r="D35" s="111">
        <v>0.5</v>
      </c>
      <c r="E35" s="112" t="str">
        <f t="shared" si="0"/>
        <v>No</v>
      </c>
    </row>
    <row r="36" spans="1:5" ht="14.25" customHeight="1">
      <c r="A36" s="116" t="s">
        <v>69</v>
      </c>
      <c r="B36" s="110">
        <v>442149</v>
      </c>
      <c r="C36" s="110">
        <v>443281</v>
      </c>
      <c r="D36" s="111">
        <v>0.3</v>
      </c>
      <c r="E36" s="112" t="str">
        <f t="shared" si="0"/>
        <v>Yes</v>
      </c>
    </row>
    <row r="37" spans="1:5" ht="14.25" customHeight="1">
      <c r="A37" s="116" t="s">
        <v>70</v>
      </c>
      <c r="B37" s="110">
        <v>141784</v>
      </c>
      <c r="C37" s="110">
        <v>141294</v>
      </c>
      <c r="D37" s="111">
        <v>-0.3</v>
      </c>
      <c r="E37" s="112" t="str">
        <f t="shared" si="0"/>
        <v>No</v>
      </c>
    </row>
    <row r="38" spans="1:5" ht="14.25" customHeight="1">
      <c r="A38" s="116" t="s">
        <v>71</v>
      </c>
      <c r="B38" s="110">
        <v>98613</v>
      </c>
      <c r="C38" s="110">
        <v>99155</v>
      </c>
      <c r="D38" s="111">
        <v>0.5</v>
      </c>
      <c r="E38" s="112" t="str">
        <f t="shared" si="0"/>
        <v>No</v>
      </c>
    </row>
    <row r="39" spans="1:5" ht="14.25" customHeight="1">
      <c r="A39" s="116" t="s">
        <v>72</v>
      </c>
      <c r="B39" s="110">
        <v>3198968</v>
      </c>
      <c r="C39" s="110">
        <v>3221103</v>
      </c>
      <c r="D39" s="111">
        <v>0.7</v>
      </c>
      <c r="E39" s="112" t="str">
        <f t="shared" si="0"/>
        <v>Yes</v>
      </c>
    </row>
    <row r="40" spans="1:5" ht="14.25" customHeight="1">
      <c r="A40" s="116" t="s">
        <v>73</v>
      </c>
      <c r="B40" s="110">
        <v>383173</v>
      </c>
      <c r="C40" s="110">
        <v>389532</v>
      </c>
      <c r="D40" s="111">
        <v>1.7</v>
      </c>
      <c r="E40" s="112" t="str">
        <f t="shared" si="0"/>
        <v>Yes</v>
      </c>
    </row>
    <row r="41" spans="1:5" ht="14.25" customHeight="1">
      <c r="A41" s="116" t="s">
        <v>74</v>
      </c>
      <c r="B41" s="110">
        <v>19818</v>
      </c>
      <c r="C41" s="110">
        <v>19773</v>
      </c>
      <c r="D41" s="111">
        <v>-0.2</v>
      </c>
      <c r="E41" s="112" t="str">
        <f t="shared" si="0"/>
        <v>No</v>
      </c>
    </row>
    <row r="42" spans="1:5" ht="14.25" customHeight="1">
      <c r="A42" s="116" t="s">
        <v>75</v>
      </c>
      <c r="B42" s="110">
        <v>2382640</v>
      </c>
      <c r="C42" s="110">
        <v>2415955</v>
      </c>
      <c r="D42" s="111">
        <v>1.4</v>
      </c>
      <c r="E42" s="112" t="str">
        <f t="shared" si="0"/>
        <v>Yes</v>
      </c>
    </row>
    <row r="43" spans="1:5" ht="14.25" customHeight="1">
      <c r="A43" s="116" t="s">
        <v>76</v>
      </c>
      <c r="B43" s="110">
        <v>1513415</v>
      </c>
      <c r="C43" s="110">
        <v>1529501</v>
      </c>
      <c r="D43" s="111">
        <v>1.1</v>
      </c>
      <c r="E43" s="112" t="str">
        <f t="shared" si="0"/>
        <v>Yes</v>
      </c>
    </row>
    <row r="44" spans="1:5" ht="14.25" customHeight="1">
      <c r="A44" s="116" t="s">
        <v>77</v>
      </c>
      <c r="B44" s="110">
        <v>56879</v>
      </c>
      <c r="C44" s="110">
        <v>57088</v>
      </c>
      <c r="D44" s="111">
        <v>0.4</v>
      </c>
      <c r="E44" s="112" t="str">
        <f t="shared" si="0"/>
        <v>No</v>
      </c>
    </row>
    <row r="45" spans="1:5" ht="14.25" customHeight="1">
      <c r="A45" s="116" t="s">
        <v>78</v>
      </c>
      <c r="B45" s="110">
        <v>2155590</v>
      </c>
      <c r="C45" s="110">
        <v>2174938</v>
      </c>
      <c r="D45" s="111">
        <v>0.9</v>
      </c>
      <c r="E45" s="112" t="str">
        <f t="shared" si="0"/>
        <v>Yes</v>
      </c>
    </row>
    <row r="46" spans="1:5" ht="14.25" customHeight="1">
      <c r="A46" s="116" t="s">
        <v>79</v>
      </c>
      <c r="B46" s="110">
        <v>3309509</v>
      </c>
      <c r="C46" s="110">
        <v>3337456</v>
      </c>
      <c r="D46" s="111">
        <v>0.8</v>
      </c>
      <c r="E46" s="112" t="str">
        <f t="shared" si="0"/>
        <v>Yes</v>
      </c>
    </row>
    <row r="47" spans="1:5" ht="14.25" customHeight="1">
      <c r="A47" s="116" t="s">
        <v>80</v>
      </c>
      <c r="B47" s="110">
        <v>874008</v>
      </c>
      <c r="C47" s="110">
        <v>883963</v>
      </c>
      <c r="D47" s="111">
        <v>1.1</v>
      </c>
      <c r="E47" s="112" t="str">
        <f t="shared" si="0"/>
        <v>Yes</v>
      </c>
    </row>
    <row r="48" spans="1:5" ht="14.25" customHeight="1">
      <c r="A48" s="116" t="s">
        <v>81</v>
      </c>
      <c r="B48" s="110">
        <v>747263</v>
      </c>
      <c r="C48" s="110">
        <v>758744</v>
      </c>
      <c r="D48" s="111">
        <v>1.5</v>
      </c>
      <c r="E48" s="112" t="str">
        <f t="shared" si="0"/>
        <v>Yes</v>
      </c>
    </row>
    <row r="49" spans="1:5" ht="14.25" customHeight="1">
      <c r="A49" s="116" t="s">
        <v>82</v>
      </c>
      <c r="B49" s="110">
        <v>279210</v>
      </c>
      <c r="C49" s="110">
        <v>280101</v>
      </c>
      <c r="D49" s="111">
        <v>0.3</v>
      </c>
      <c r="E49" s="112" t="str">
        <f t="shared" si="0"/>
        <v>Yes</v>
      </c>
    </row>
    <row r="50" spans="1:5" ht="14.25" customHeight="1">
      <c r="A50" s="116" t="s">
        <v>83</v>
      </c>
      <c r="B50" s="110">
        <v>770256</v>
      </c>
      <c r="C50" s="110">
        <v>774155</v>
      </c>
      <c r="D50" s="111">
        <v>0.5</v>
      </c>
      <c r="E50" s="112" t="str">
        <f t="shared" si="0"/>
        <v>Yes</v>
      </c>
    </row>
    <row r="51" spans="1:5" ht="14.25" customHeight="1">
      <c r="A51" s="116" t="s">
        <v>84</v>
      </c>
      <c r="B51" s="110">
        <v>450025</v>
      </c>
      <c r="C51" s="110">
        <v>453457</v>
      </c>
      <c r="D51" s="111">
        <v>0.8</v>
      </c>
      <c r="E51" s="112" t="str">
        <f t="shared" si="0"/>
        <v>Yes</v>
      </c>
    </row>
    <row r="52" spans="1:5" ht="14.25" customHeight="1">
      <c r="A52" s="116" t="s">
        <v>85</v>
      </c>
      <c r="B52" s="110">
        <v>1937473</v>
      </c>
      <c r="C52" s="110">
        <v>1956598</v>
      </c>
      <c r="D52" s="111">
        <v>1</v>
      </c>
      <c r="E52" s="112" t="str">
        <f t="shared" si="0"/>
        <v>Yes</v>
      </c>
    </row>
    <row r="53" spans="1:5" ht="14.25" customHeight="1">
      <c r="A53" s="116" t="s">
        <v>86</v>
      </c>
      <c r="B53" s="110">
        <v>276504</v>
      </c>
      <c r="C53" s="110">
        <v>276864</v>
      </c>
      <c r="D53" s="111">
        <v>0.1</v>
      </c>
      <c r="E53" s="112" t="str">
        <f t="shared" si="0"/>
        <v>Yes</v>
      </c>
    </row>
    <row r="54" spans="1:5" ht="14.25" customHeight="1">
      <c r="A54" s="116" t="s">
        <v>87</v>
      </c>
      <c r="B54" s="110">
        <v>178148</v>
      </c>
      <c r="C54" s="110">
        <v>178271</v>
      </c>
      <c r="D54" s="111">
        <v>0.1</v>
      </c>
      <c r="E54" s="112" t="str">
        <f t="shared" si="0"/>
        <v>No</v>
      </c>
    </row>
    <row r="55" spans="1:5" ht="14.25" customHeight="1">
      <c r="A55" s="116" t="s">
        <v>88</v>
      </c>
      <c r="B55" s="110">
        <v>3203</v>
      </c>
      <c r="C55" s="110">
        <v>3207</v>
      </c>
      <c r="D55" s="111">
        <v>0.1</v>
      </c>
      <c r="E55" s="112" t="str">
        <f t="shared" si="0"/>
        <v>No</v>
      </c>
    </row>
    <row r="56" spans="1:5" ht="14.25" customHeight="1">
      <c r="A56" s="116" t="s">
        <v>89</v>
      </c>
      <c r="B56" s="110">
        <v>44655</v>
      </c>
      <c r="C56" s="110">
        <v>44612</v>
      </c>
      <c r="D56" s="111">
        <v>-0.1</v>
      </c>
      <c r="E56" s="112" t="str">
        <f t="shared" si="0"/>
        <v>No</v>
      </c>
    </row>
    <row r="57" spans="1:5" ht="14.25" customHeight="1">
      <c r="A57" s="116" t="s">
        <v>90</v>
      </c>
      <c r="B57" s="110">
        <v>436640</v>
      </c>
      <c r="C57" s="110">
        <v>439793</v>
      </c>
      <c r="D57" s="111">
        <v>0.7</v>
      </c>
      <c r="E57" s="112" t="str">
        <f t="shared" si="0"/>
        <v>Yes</v>
      </c>
    </row>
    <row r="58" spans="1:5" ht="14.25" customHeight="1">
      <c r="A58" s="116" t="s">
        <v>91</v>
      </c>
      <c r="B58" s="110">
        <v>504613</v>
      </c>
      <c r="C58" s="110">
        <v>503332</v>
      </c>
      <c r="D58" s="111">
        <v>-0.3</v>
      </c>
      <c r="E58" s="112" t="str">
        <f t="shared" si="0"/>
        <v>Yes</v>
      </c>
    </row>
    <row r="59" spans="1:5" ht="14.25" customHeight="1">
      <c r="A59" s="116" t="s">
        <v>92</v>
      </c>
      <c r="B59" s="110">
        <v>549976</v>
      </c>
      <c r="C59" s="110">
        <v>555624</v>
      </c>
      <c r="D59" s="111">
        <v>1</v>
      </c>
      <c r="E59" s="112" t="str">
        <f t="shared" si="0"/>
        <v>Yes</v>
      </c>
    </row>
    <row r="60" spans="1:5" ht="14.25" customHeight="1">
      <c r="A60" s="116" t="s">
        <v>204</v>
      </c>
      <c r="B60" s="110">
        <v>96919</v>
      </c>
      <c r="C60" s="110">
        <v>97238</v>
      </c>
      <c r="D60" s="111">
        <v>0.3</v>
      </c>
      <c r="E60" s="112" t="str">
        <f t="shared" si="0"/>
        <v>No</v>
      </c>
    </row>
    <row r="61" spans="1:5" ht="14.25" customHeight="1">
      <c r="A61" s="116" t="s">
        <v>93</v>
      </c>
      <c r="B61" s="110">
        <v>63949</v>
      </c>
      <c r="C61" s="110">
        <v>64039</v>
      </c>
      <c r="D61" s="111">
        <v>0.1</v>
      </c>
      <c r="E61" s="112" t="str">
        <f t="shared" si="0"/>
        <v>No</v>
      </c>
    </row>
    <row r="62" spans="1:5" ht="14.25" customHeight="1">
      <c r="A62" s="116" t="s">
        <v>95</v>
      </c>
      <c r="B62" s="110">
        <v>13634</v>
      </c>
      <c r="C62" s="110">
        <v>13635</v>
      </c>
      <c r="D62" s="111">
        <v>0</v>
      </c>
      <c r="E62" s="112" t="str">
        <f t="shared" si="0"/>
        <v>No</v>
      </c>
    </row>
    <row r="63" spans="1:5" ht="14.25" customHeight="1">
      <c r="A63" s="116" t="s">
        <v>96</v>
      </c>
      <c r="B63" s="110">
        <v>470716</v>
      </c>
      <c r="C63" s="110">
        <v>475834</v>
      </c>
      <c r="D63" s="111">
        <v>1.1</v>
      </c>
      <c r="E63" s="112" t="str">
        <f t="shared" si="0"/>
        <v>Yes</v>
      </c>
    </row>
    <row r="64" spans="1:5" ht="14.25" customHeight="1">
      <c r="A64" s="116" t="s">
        <v>97</v>
      </c>
      <c r="B64" s="110">
        <v>54725</v>
      </c>
      <c r="C64" s="110">
        <v>54740</v>
      </c>
      <c r="D64" s="111">
        <v>0</v>
      </c>
      <c r="E64" s="112" t="str">
        <f t="shared" si="0"/>
        <v>No</v>
      </c>
    </row>
    <row r="65" spans="1:5" ht="14.25" customHeight="1">
      <c r="A65" s="116" t="s">
        <v>98</v>
      </c>
      <c r="B65" s="110">
        <v>855910</v>
      </c>
      <c r="C65" s="110">
        <v>859073</v>
      </c>
      <c r="D65" s="111">
        <v>0.4</v>
      </c>
      <c r="E65" s="112" t="str">
        <f t="shared" si="0"/>
        <v>Yes</v>
      </c>
    </row>
    <row r="66" spans="1:5" ht="14.25" customHeight="1">
      <c r="A66" s="116" t="s">
        <v>99</v>
      </c>
      <c r="B66" s="110">
        <v>218673</v>
      </c>
      <c r="C66" s="110">
        <v>221270</v>
      </c>
      <c r="D66" s="111">
        <v>1.2</v>
      </c>
      <c r="E66" s="112" t="str">
        <f t="shared" si="0"/>
        <v>Yes</v>
      </c>
    </row>
    <row r="67" spans="1:5" ht="14.25" customHeight="1" thickBot="1">
      <c r="A67" s="117" t="s">
        <v>205</v>
      </c>
      <c r="B67" s="118">
        <v>74645</v>
      </c>
      <c r="C67" s="118">
        <v>74727</v>
      </c>
      <c r="D67" s="119">
        <v>0.1</v>
      </c>
      <c r="E67" s="193" t="str">
        <f t="shared" si="0"/>
        <v>No</v>
      </c>
    </row>
    <row r="68" spans="1:6" ht="14.25" customHeight="1" thickBot="1">
      <c r="A68" s="116"/>
      <c r="B68" s="110"/>
      <c r="C68" s="110"/>
      <c r="D68" s="111"/>
      <c r="E68" s="133"/>
      <c r="F68" s="126"/>
    </row>
    <row r="69" spans="1:5" ht="15">
      <c r="A69" s="120" t="s">
        <v>101</v>
      </c>
      <c r="B69" s="121">
        <f>B60+B67</f>
        <v>171564</v>
      </c>
      <c r="C69" s="121">
        <f>C60+C67</f>
        <v>171965</v>
      </c>
      <c r="D69" s="122"/>
      <c r="E69" s="123" t="str">
        <f t="shared" si="0"/>
        <v>No</v>
      </c>
    </row>
    <row r="70" spans="1:5" ht="15">
      <c r="A70" s="124" t="s">
        <v>45</v>
      </c>
      <c r="B70" s="125">
        <v>120700</v>
      </c>
      <c r="C70" s="125">
        <v>121874</v>
      </c>
      <c r="D70" s="126">
        <v>1</v>
      </c>
      <c r="E70" s="127" t="str">
        <f t="shared" si="0"/>
        <v>No</v>
      </c>
    </row>
    <row r="71" spans="1:5" ht="15.75" thickBot="1">
      <c r="A71" s="128" t="s">
        <v>94</v>
      </c>
      <c r="B71" s="129">
        <f>B73+B74+B75</f>
        <v>224180</v>
      </c>
      <c r="C71" s="129">
        <f>C73+C74+C75</f>
        <v>225393</v>
      </c>
      <c r="D71" s="130"/>
      <c r="E71" s="131" t="str">
        <f t="shared" si="0"/>
        <v>Yes</v>
      </c>
    </row>
    <row r="72" spans="1:5" ht="15">
      <c r="A72" s="85"/>
      <c r="B72" s="132"/>
      <c r="C72" s="132"/>
      <c r="D72" s="126"/>
      <c r="E72" s="133"/>
    </row>
    <row r="73" spans="1:5" ht="15">
      <c r="A73" s="194" t="s">
        <v>317</v>
      </c>
      <c r="B73" s="195">
        <v>36293</v>
      </c>
      <c r="C73" s="134">
        <v>36446</v>
      </c>
      <c r="D73" s="126">
        <v>0.4</v>
      </c>
      <c r="E73" s="133"/>
    </row>
    <row r="74" spans="1:5" ht="15">
      <c r="A74" s="194" t="s">
        <v>318</v>
      </c>
      <c r="B74" s="195">
        <v>33169</v>
      </c>
      <c r="C74" s="134">
        <v>33260</v>
      </c>
      <c r="D74" s="126">
        <v>0.3</v>
      </c>
      <c r="E74" s="133"/>
    </row>
    <row r="75" spans="1:5" ht="15">
      <c r="A75" s="194" t="s">
        <v>319</v>
      </c>
      <c r="B75" s="195">
        <v>154718</v>
      </c>
      <c r="C75" s="134">
        <v>155687</v>
      </c>
      <c r="D75" s="126">
        <v>0.6</v>
      </c>
      <c r="E75" s="133"/>
    </row>
    <row r="76" spans="1:5" ht="15">
      <c r="A76" s="126"/>
      <c r="B76" s="132"/>
      <c r="C76" s="132"/>
      <c r="D76" s="126"/>
      <c r="E76" s="133"/>
    </row>
    <row r="77" spans="1:5" ht="15">
      <c r="A77" s="126"/>
      <c r="B77" s="132"/>
      <c r="C77" s="132"/>
      <c r="D77" s="126"/>
      <c r="E77" s="133"/>
    </row>
    <row r="78" spans="1:5" ht="15.75">
      <c r="A78" s="135" t="s">
        <v>206</v>
      </c>
      <c r="B78" s="136"/>
      <c r="C78" s="136"/>
      <c r="D78" s="136"/>
      <c r="E78" s="136"/>
    </row>
    <row r="79" spans="1:5" ht="15.75">
      <c r="A79" s="135" t="s">
        <v>207</v>
      </c>
      <c r="B79" s="136"/>
      <c r="C79" s="136"/>
      <c r="D79" s="136"/>
      <c r="E79" s="136"/>
    </row>
    <row r="80" spans="1:5" ht="15.75">
      <c r="A80" s="135" t="s">
        <v>208</v>
      </c>
      <c r="B80" s="136"/>
      <c r="C80" s="136"/>
      <c r="D80" s="136"/>
      <c r="E80" s="136"/>
    </row>
    <row r="81" spans="1:5" ht="15.75">
      <c r="A81" s="136"/>
      <c r="B81" s="136"/>
      <c r="C81" s="136"/>
      <c r="D81" s="136"/>
      <c r="E81" s="136"/>
    </row>
    <row r="82" spans="1:5" ht="15.75">
      <c r="A82" s="137" t="s">
        <v>209</v>
      </c>
      <c r="B82" s="136"/>
      <c r="C82" s="136"/>
      <c r="D82" s="136"/>
      <c r="E82" s="136"/>
    </row>
    <row r="83" spans="1:5" ht="15.75">
      <c r="A83" s="137" t="s">
        <v>210</v>
      </c>
      <c r="B83" s="136"/>
      <c r="C83" s="136"/>
      <c r="D83" s="136"/>
      <c r="E83" s="136"/>
    </row>
  </sheetData>
  <sheetProtection sheet="1" objects="1" scenarios="1" formatColumns="0" formatRows="0"/>
  <mergeCells count="3">
    <mergeCell ref="B5:C5"/>
    <mergeCell ref="A2:E2"/>
    <mergeCell ref="A3:E3"/>
  </mergeCells>
  <hyperlinks>
    <hyperlink ref="D1" location="'About the Data'!A1" display="About the Data"/>
  </hyperlinks>
  <printOptions gridLines="1" headings="1"/>
  <pageMargins left="0.7" right="0.7" top="0.75" bottom="0.75" header="0.3" footer="0.3"/>
  <pageSetup horizontalDpi="600" verticalDpi="600" orientation="landscape" paperSize="5" scale="43" r:id="rId1"/>
</worksheet>
</file>

<file path=xl/worksheets/sheet2.xml><?xml version="1.0" encoding="utf-8"?>
<worksheet xmlns="http://schemas.openxmlformats.org/spreadsheetml/2006/main" xmlns:r="http://schemas.openxmlformats.org/officeDocument/2006/relationships">
  <sheetPr codeName="Sheet1"/>
  <dimension ref="A1:G19"/>
  <sheetViews>
    <sheetView showGridLines="0" tabSelected="1" zoomScale="70" zoomScaleNormal="70" zoomScaleSheetLayoutView="70" zoomScalePageLayoutView="0" workbookViewId="0" topLeftCell="A1">
      <selection activeCell="C11" sqref="C11"/>
    </sheetView>
  </sheetViews>
  <sheetFormatPr defaultColWidth="0" defaultRowHeight="15" zeroHeight="1"/>
  <cols>
    <col min="1" max="1" width="2.7109375" style="227" customWidth="1"/>
    <col min="2" max="2" width="44.28125" style="227" customWidth="1"/>
    <col min="3" max="3" width="98.8515625" style="227" customWidth="1"/>
    <col min="4" max="13" width="9.140625" style="227" customWidth="1"/>
    <col min="14" max="16" width="9.140625" style="227" hidden="1" customWidth="1"/>
    <col min="17" max="16384" width="9.140625" style="227" hidden="1" customWidth="1"/>
  </cols>
  <sheetData>
    <row r="1" ht="15">
      <c r="A1" s="234" t="s">
        <v>367</v>
      </c>
    </row>
    <row r="2" spans="1:3" ht="15">
      <c r="A2" s="2"/>
      <c r="B2" s="219" t="str">
        <f>'1. Information'!B2</f>
        <v>Version 7/1/2018</v>
      </c>
      <c r="C2" s="2"/>
    </row>
    <row r="3" spans="1:3" ht="21" customHeight="1">
      <c r="A3" s="2"/>
      <c r="B3" s="220" t="str">
        <f>'1. Information'!B3</f>
        <v>Annual Mental Health Services Act Revenue and Expenditure Report</v>
      </c>
      <c r="C3" s="2"/>
    </row>
    <row r="4" spans="1:3" ht="18">
      <c r="A4" s="2"/>
      <c r="B4" s="221" t="str">
        <f>'1. Information'!B4</f>
        <v>Fiscal Year 2017-18</v>
      </c>
      <c r="C4" s="2"/>
    </row>
    <row r="5" ht="18">
      <c r="B5" s="222" t="s">
        <v>282</v>
      </c>
    </row>
    <row r="6" ht="15.75">
      <c r="B6" s="228"/>
    </row>
    <row r="7" spans="2:6" ht="39.75" customHeight="1">
      <c r="B7" s="428" t="s">
        <v>280</v>
      </c>
      <c r="C7" s="426"/>
      <c r="F7" s="229"/>
    </row>
    <row r="8" spans="2:7" ht="55.5" customHeight="1">
      <c r="B8" s="429" t="s">
        <v>281</v>
      </c>
      <c r="C8" s="430"/>
      <c r="F8" s="230"/>
      <c r="G8" s="229"/>
    </row>
    <row r="9" spans="2:6" ht="39.75" customHeight="1">
      <c r="B9" s="429" t="s">
        <v>279</v>
      </c>
      <c r="C9" s="430"/>
      <c r="E9" s="230"/>
      <c r="F9" s="231"/>
    </row>
    <row r="10" spans="2:4" ht="39.75" customHeight="1">
      <c r="B10" s="430" t="s">
        <v>264</v>
      </c>
      <c r="C10" s="430"/>
      <c r="D10" s="232"/>
    </row>
    <row r="11" ht="15"/>
    <row r="12" spans="2:3" ht="29.25" customHeight="1">
      <c r="B12" s="426" t="s">
        <v>266</v>
      </c>
      <c r="C12" s="427" t="s">
        <v>272</v>
      </c>
    </row>
    <row r="13" spans="2:3" ht="18" customHeight="1">
      <c r="B13" s="426"/>
      <c r="C13" s="426"/>
    </row>
    <row r="14" spans="2:3" ht="60.75" customHeight="1">
      <c r="B14" s="423" t="s">
        <v>267</v>
      </c>
      <c r="C14" s="223" t="s">
        <v>311</v>
      </c>
    </row>
    <row r="15" spans="2:3" ht="68.25" customHeight="1">
      <c r="B15" s="424"/>
      <c r="C15" s="224" t="s">
        <v>321</v>
      </c>
    </row>
    <row r="16" spans="2:3" ht="66" customHeight="1">
      <c r="B16" s="425"/>
      <c r="C16" s="223" t="s">
        <v>305</v>
      </c>
    </row>
    <row r="17" spans="2:3" ht="53.25" customHeight="1">
      <c r="B17" s="225" t="s">
        <v>268</v>
      </c>
      <c r="C17" s="225" t="s">
        <v>265</v>
      </c>
    </row>
    <row r="18" spans="2:3" ht="54" customHeight="1">
      <c r="B18" s="225" t="s">
        <v>269</v>
      </c>
      <c r="C18" s="226" t="s">
        <v>320</v>
      </c>
    </row>
    <row r="19" ht="50.25" customHeight="1">
      <c r="B19" s="233"/>
    </row>
    <row r="20" ht="15" hidden="1"/>
    <row r="21" ht="15" hidden="1"/>
    <row r="22" ht="15" hidden="1"/>
    <row r="23" ht="15" hidden="1"/>
    <row r="24" ht="15" hidden="1"/>
    <row r="25" ht="15" hidden="1"/>
  </sheetData>
  <sheetProtection sheet="1" objects="1" scenarios="1" formatColumns="0" formatRows="0"/>
  <mergeCells count="7">
    <mergeCell ref="B14:B16"/>
    <mergeCell ref="B12:B13"/>
    <mergeCell ref="C12:C13"/>
    <mergeCell ref="B7:C7"/>
    <mergeCell ref="B8:C8"/>
    <mergeCell ref="B9:C9"/>
    <mergeCell ref="B10:C10"/>
  </mergeCells>
  <printOptions/>
  <pageMargins left="0.7" right="0.7" top="1.23958333333333" bottom="0.75" header="0.3" footer="0.3"/>
  <pageSetup horizontalDpi="600" verticalDpi="600" orientation="landscape" paperSize="5" scale="70" r:id="rId2"/>
  <headerFooter>
    <oddFooter>&amp;CPage &amp;P of &amp;N</oddFooter>
  </headerFooter>
  <drawing r:id="rId1"/>
</worksheet>
</file>

<file path=xl/worksheets/sheet3.xml><?xml version="1.0" encoding="utf-8"?>
<worksheet xmlns="http://schemas.openxmlformats.org/spreadsheetml/2006/main" xmlns:r="http://schemas.openxmlformats.org/officeDocument/2006/relationships">
  <sheetPr codeName="Sheet2"/>
  <dimension ref="A1:E17"/>
  <sheetViews>
    <sheetView showGridLines="0" zoomScale="80" zoomScaleNormal="80" zoomScalePageLayoutView="0" workbookViewId="0" topLeftCell="A1">
      <selection activeCell="C14" sqref="C14"/>
    </sheetView>
  </sheetViews>
  <sheetFormatPr defaultColWidth="0" defaultRowHeight="15" zeroHeight="1"/>
  <cols>
    <col min="1" max="1" width="2.7109375" style="46" customWidth="1"/>
    <col min="2" max="2" width="6.7109375" style="46" customWidth="1"/>
    <col min="3" max="4" width="50.7109375" style="46" customWidth="1"/>
    <col min="5" max="7" width="9.140625" style="46" hidden="1" customWidth="1"/>
    <col min="8" max="16384" width="11.57421875" style="46" hidden="1" customWidth="1"/>
  </cols>
  <sheetData>
    <row r="1" ht="15">
      <c r="A1" s="234" t="s">
        <v>367</v>
      </c>
    </row>
    <row r="2" spans="2:4" ht="15.75">
      <c r="B2" s="219" t="s">
        <v>310</v>
      </c>
      <c r="C2" s="1"/>
      <c r="D2" s="1"/>
    </row>
    <row r="3" spans="2:4" ht="18">
      <c r="B3" s="235" t="s">
        <v>259</v>
      </c>
      <c r="C3" s="1"/>
      <c r="D3" s="1"/>
    </row>
    <row r="4" spans="2:4" ht="18">
      <c r="B4" s="235" t="s">
        <v>276</v>
      </c>
      <c r="C4" s="1"/>
      <c r="D4" s="1"/>
    </row>
    <row r="5" spans="2:5" ht="18">
      <c r="B5" s="235" t="s">
        <v>241</v>
      </c>
      <c r="C5" s="1"/>
      <c r="D5" s="1"/>
      <c r="E5" s="49"/>
    </row>
    <row r="6" ht="15">
      <c r="D6" s="177"/>
    </row>
    <row r="7" spans="2:4" ht="34.5" customHeight="1">
      <c r="B7" s="236">
        <v>1</v>
      </c>
      <c r="C7" s="237" t="s">
        <v>2</v>
      </c>
      <c r="D7" s="150">
        <v>43465</v>
      </c>
    </row>
    <row r="8" spans="2:4" ht="34.5" customHeight="1">
      <c r="B8" s="236">
        <v>2</v>
      </c>
      <c r="C8" s="237" t="s">
        <v>1</v>
      </c>
      <c r="D8" s="187" t="s">
        <v>80</v>
      </c>
    </row>
    <row r="9" spans="2:4" ht="34.5" customHeight="1">
      <c r="B9" s="236">
        <v>3</v>
      </c>
      <c r="C9" s="238" t="s">
        <v>125</v>
      </c>
      <c r="D9" s="239">
        <f>IF(ISBLANK(D8),"",VLOOKUP(D8,Info_County_Code,2))</f>
        <v>38</v>
      </c>
    </row>
    <row r="10" spans="2:4" ht="34.5" customHeight="1">
      <c r="B10" s="236">
        <v>4</v>
      </c>
      <c r="C10" s="237" t="s">
        <v>126</v>
      </c>
      <c r="D10" s="211" t="s">
        <v>322</v>
      </c>
    </row>
    <row r="11" spans="2:4" ht="34.5" customHeight="1">
      <c r="B11" s="236">
        <v>5</v>
      </c>
      <c r="C11" s="237" t="s">
        <v>127</v>
      </c>
      <c r="D11" s="187" t="s">
        <v>80</v>
      </c>
    </row>
    <row r="12" spans="2:4" ht="34.5" customHeight="1">
      <c r="B12" s="236">
        <v>6</v>
      </c>
      <c r="C12" s="237" t="s">
        <v>128</v>
      </c>
      <c r="D12" s="151">
        <v>94103</v>
      </c>
    </row>
    <row r="13" spans="2:4" ht="34.5" customHeight="1">
      <c r="B13" s="236">
        <v>7</v>
      </c>
      <c r="C13" s="240" t="s">
        <v>185</v>
      </c>
      <c r="D13" s="241" t="str">
        <f>IF(ISBLANK(D8),"",VLOOKUP(D8,County_Population,5,FALSE))</f>
        <v>Yes</v>
      </c>
    </row>
    <row r="14" spans="2:4" ht="34.5" customHeight="1">
      <c r="B14" s="236">
        <v>8</v>
      </c>
      <c r="C14" s="237" t="s">
        <v>124</v>
      </c>
      <c r="D14" s="187" t="s">
        <v>323</v>
      </c>
    </row>
    <row r="15" spans="2:4" ht="34.5" customHeight="1">
      <c r="B15" s="236">
        <v>9</v>
      </c>
      <c r="C15" s="242" t="s">
        <v>193</v>
      </c>
      <c r="D15" s="212" t="s">
        <v>324</v>
      </c>
    </row>
    <row r="16" spans="2:4" ht="34.5" customHeight="1">
      <c r="B16" s="236">
        <v>10</v>
      </c>
      <c r="C16" s="242" t="s">
        <v>211</v>
      </c>
      <c r="D16" s="212" t="s">
        <v>325</v>
      </c>
    </row>
    <row r="17" spans="2:4" ht="34.5" customHeight="1">
      <c r="B17" s="236">
        <v>11</v>
      </c>
      <c r="C17" s="237" t="s">
        <v>194</v>
      </c>
      <c r="D17" s="213" t="s">
        <v>326</v>
      </c>
    </row>
    <row r="18" ht="15" hidden="1"/>
    <row r="19" ht="15" hidden="1"/>
    <row r="20" ht="15" hidden="1"/>
  </sheetData>
  <sheetProtection sheet="1" objects="1" scenarios="1" formatColumns="0" formatRows="0"/>
  <dataValidations count="1">
    <dataValidation type="list" allowBlank="1" showInputMessage="1" showErrorMessage="1" sqref="D8">
      <formula1>County</formula1>
    </dataValidation>
  </dataValidations>
  <printOptions/>
  <pageMargins left="0.25" right="0.25" top="1.194375" bottom="0.75" header="0.3" footer="0.3"/>
  <pageSetup horizontalDpi="600" verticalDpi="600" orientation="landscape" paperSize="5" scale="91" r:id="rId1"/>
  <headerFooter>
    <oddFooter>&amp;C&amp;"Arial,Regular"&amp;14Page &amp;P of &amp;N</oddFooter>
  </headerFooter>
</worksheet>
</file>

<file path=xl/worksheets/sheet4.xml><?xml version="1.0" encoding="utf-8"?>
<worksheet xmlns="http://schemas.openxmlformats.org/spreadsheetml/2006/main" xmlns:r="http://schemas.openxmlformats.org/officeDocument/2006/relationships">
  <sheetPr codeName="Sheet4"/>
  <dimension ref="A1:N41"/>
  <sheetViews>
    <sheetView showGridLines="0" zoomScale="55" zoomScaleNormal="55" zoomScaleSheetLayoutView="40" zoomScalePageLayoutView="0" workbookViewId="0" topLeftCell="A1">
      <pane xSplit="3" ySplit="20" topLeftCell="D21" activePane="bottomRight" state="frozen"/>
      <selection pane="topLeft" activeCell="A1" sqref="A1"/>
      <selection pane="topRight" activeCell="D1" sqref="D1"/>
      <selection pane="bottomLeft" activeCell="A16" sqref="A16"/>
      <selection pane="bottomRight" activeCell="B15" sqref="B15"/>
    </sheetView>
  </sheetViews>
  <sheetFormatPr defaultColWidth="0" defaultRowHeight="15" zeroHeight="1"/>
  <cols>
    <col min="1" max="1" width="5.28125" style="179" customWidth="1"/>
    <col min="2" max="2" width="12.57421875" style="283" customWidth="1"/>
    <col min="3" max="3" width="60.7109375" style="283" customWidth="1"/>
    <col min="4" max="4" width="22.7109375" style="283" customWidth="1"/>
    <col min="5" max="13" width="22.7109375" style="157" customWidth="1"/>
    <col min="14" max="14" width="24.00390625" style="157" bestFit="1" customWidth="1"/>
    <col min="15" max="16384" width="9.140625" style="179" hidden="1" customWidth="1"/>
  </cols>
  <sheetData>
    <row r="1" spans="1:4" ht="15.75">
      <c r="A1" s="243" t="s">
        <v>368</v>
      </c>
      <c r="B1" s="157"/>
      <c r="C1" s="157"/>
      <c r="D1" s="157"/>
    </row>
    <row r="2" s="160" customFormat="1" ht="15">
      <c r="B2" s="219" t="str">
        <f>'1. Information'!B2</f>
        <v>Version 7/1/2018</v>
      </c>
    </row>
    <row r="3" spans="2:4" ht="21" customHeight="1">
      <c r="B3" s="244" t="str">
        <f>'1. Information'!B3</f>
        <v>Annual Mental Health Services Act Revenue and Expenditure Report</v>
      </c>
      <c r="C3" s="157"/>
      <c r="D3" s="157"/>
    </row>
    <row r="4" spans="2:8" ht="15.75">
      <c r="B4" s="245" t="str">
        <f>'1. Information'!B4</f>
        <v>Fiscal Year 2017-18</v>
      </c>
      <c r="C4" s="157"/>
      <c r="D4" s="15"/>
      <c r="E4" s="15"/>
      <c r="F4" s="15"/>
      <c r="G4" s="15"/>
      <c r="H4" s="15"/>
    </row>
    <row r="5" spans="2:8" ht="15.75">
      <c r="B5" s="245" t="s">
        <v>275</v>
      </c>
      <c r="C5" s="15"/>
      <c r="D5" s="15"/>
      <c r="E5" s="15"/>
      <c r="F5" s="15"/>
      <c r="G5" s="15"/>
      <c r="H5" s="15"/>
    </row>
    <row r="6" spans="2:8" ht="15.75">
      <c r="B6" s="157"/>
      <c r="C6" s="15"/>
      <c r="D6" s="15"/>
      <c r="E6" s="15"/>
      <c r="F6" s="15"/>
      <c r="G6" s="15"/>
      <c r="H6" s="15"/>
    </row>
    <row r="7" spans="2:7" ht="15.75">
      <c r="B7" s="246" t="s">
        <v>1</v>
      </c>
      <c r="C7" s="247" t="str">
        <f>IF(ISBLANK('1. Information'!D8),"",'1. Information'!D8)</f>
        <v>San Francisco</v>
      </c>
      <c r="D7" s="157"/>
      <c r="F7" s="248" t="s">
        <v>2</v>
      </c>
      <c r="G7" s="247">
        <f>IF(ISBLANK('1. Information'!D7),"",'1. Information'!D7)</f>
        <v>43465</v>
      </c>
    </row>
    <row r="8" spans="2:14" ht="15.75">
      <c r="B8" s="158"/>
      <c r="C8" s="158"/>
      <c r="D8" s="158"/>
      <c r="E8" s="158"/>
      <c r="F8" s="158"/>
      <c r="G8" s="43"/>
      <c r="H8" s="158"/>
      <c r="I8" s="158"/>
      <c r="J8" s="158"/>
      <c r="K8" s="158"/>
      <c r="L8" s="158"/>
      <c r="M8" s="158"/>
      <c r="N8" s="158"/>
    </row>
    <row r="9" spans="2:14" ht="15.75">
      <c r="B9" s="158"/>
      <c r="C9" s="158"/>
      <c r="D9" s="158"/>
      <c r="E9" s="158"/>
      <c r="F9" s="158"/>
      <c r="G9" s="43"/>
      <c r="H9" s="158"/>
      <c r="I9" s="158"/>
      <c r="J9" s="158"/>
      <c r="K9" s="158"/>
      <c r="L9" s="158"/>
      <c r="M9" s="158"/>
      <c r="N9" s="158"/>
    </row>
    <row r="10" spans="2:14" ht="15.75">
      <c r="B10" s="158"/>
      <c r="C10" s="158"/>
      <c r="D10" s="158"/>
      <c r="E10" s="158"/>
      <c r="F10" s="158"/>
      <c r="G10" s="43"/>
      <c r="H10" s="158"/>
      <c r="I10" s="158"/>
      <c r="J10" s="158"/>
      <c r="K10" s="158"/>
      <c r="L10" s="158"/>
      <c r="M10" s="158"/>
      <c r="N10" s="158"/>
    </row>
    <row r="11" spans="2:14" ht="15.75">
      <c r="B11" s="158"/>
      <c r="C11" s="158"/>
      <c r="D11" s="158"/>
      <c r="E11" s="158"/>
      <c r="F11" s="158"/>
      <c r="G11" s="43"/>
      <c r="H11" s="158"/>
      <c r="I11" s="158"/>
      <c r="J11" s="158"/>
      <c r="K11" s="158"/>
      <c r="L11" s="158"/>
      <c r="M11" s="158"/>
      <c r="N11" s="158"/>
    </row>
    <row r="12" spans="2:14" ht="15.75">
      <c r="B12" s="158"/>
      <c r="C12" s="158"/>
      <c r="D12" s="158"/>
      <c r="E12" s="158"/>
      <c r="F12" s="158"/>
      <c r="G12" s="43"/>
      <c r="H12" s="158"/>
      <c r="I12" s="158"/>
      <c r="J12" s="158"/>
      <c r="K12" s="158"/>
      <c r="L12" s="158"/>
      <c r="M12" s="158"/>
      <c r="N12" s="158"/>
    </row>
    <row r="13" spans="2:14" ht="15.75">
      <c r="B13" s="158"/>
      <c r="C13" s="158"/>
      <c r="D13" s="6"/>
      <c r="E13" s="158"/>
      <c r="F13" s="158"/>
      <c r="G13" s="43"/>
      <c r="H13" s="158"/>
      <c r="I13" s="158"/>
      <c r="J13" s="158"/>
      <c r="K13" s="158"/>
      <c r="L13" s="158"/>
      <c r="M13" s="158"/>
      <c r="N13" s="158"/>
    </row>
    <row r="14" spans="2:14" ht="15.75">
      <c r="B14" s="249" t="s">
        <v>308</v>
      </c>
      <c r="C14" s="250"/>
      <c r="D14" s="251" t="s">
        <v>25</v>
      </c>
      <c r="E14" s="158"/>
      <c r="F14" s="158"/>
      <c r="G14" s="43"/>
      <c r="H14" s="158"/>
      <c r="I14" s="158"/>
      <c r="J14" s="158"/>
      <c r="K14" s="158"/>
      <c r="L14" s="158"/>
      <c r="M14" s="158"/>
      <c r="N14" s="158"/>
    </row>
    <row r="15" spans="2:14" ht="15.75">
      <c r="B15" s="252">
        <v>1</v>
      </c>
      <c r="C15" s="253" t="s">
        <v>285</v>
      </c>
      <c r="D15" s="44">
        <v>420695.1</v>
      </c>
      <c r="E15" s="158"/>
      <c r="F15" s="158"/>
      <c r="G15" s="43"/>
      <c r="H15" s="158"/>
      <c r="I15" s="158"/>
      <c r="J15" s="158"/>
      <c r="K15" s="158"/>
      <c r="L15" s="158"/>
      <c r="M15" s="158"/>
      <c r="N15" s="158"/>
    </row>
    <row r="16" spans="2:14" ht="15.75">
      <c r="B16" s="254">
        <v>2</v>
      </c>
      <c r="C16" s="253" t="s">
        <v>306</v>
      </c>
      <c r="D16" s="200">
        <v>6303479.75</v>
      </c>
      <c r="E16" s="158"/>
      <c r="F16" s="158"/>
      <c r="G16" s="43"/>
      <c r="H16" s="158"/>
      <c r="I16" s="158"/>
      <c r="J16" s="158"/>
      <c r="K16" s="158"/>
      <c r="L16" s="158"/>
      <c r="M16" s="158"/>
      <c r="N16" s="158"/>
    </row>
    <row r="17" spans="2:14" ht="15.75">
      <c r="B17" s="254">
        <v>3</v>
      </c>
      <c r="C17" s="253" t="s">
        <v>312</v>
      </c>
      <c r="D17" s="255">
        <f>D16+M22+M27+SUM('9. Adjustment (MHSA)'!F83:F112)</f>
        <v>7259570</v>
      </c>
      <c r="E17" s="158"/>
      <c r="F17" s="158"/>
      <c r="G17" s="43"/>
      <c r="H17" s="158"/>
      <c r="I17" s="158"/>
      <c r="J17" s="158"/>
      <c r="K17" s="158"/>
      <c r="L17" s="158"/>
      <c r="M17" s="158"/>
      <c r="N17" s="158"/>
    </row>
    <row r="18" spans="2:14" ht="15.75">
      <c r="B18" s="158"/>
      <c r="C18" s="158"/>
      <c r="D18" s="179"/>
      <c r="E18" s="158"/>
      <c r="F18" s="158"/>
      <c r="G18" s="43"/>
      <c r="H18" s="158"/>
      <c r="I18" s="158"/>
      <c r="J18" s="158"/>
      <c r="K18" s="158"/>
      <c r="L18" s="158"/>
      <c r="M18" s="158"/>
      <c r="N18" s="158"/>
    </row>
    <row r="19" spans="2:14" ht="15.75">
      <c r="B19" s="256"/>
      <c r="C19" s="248"/>
      <c r="D19" s="248" t="s">
        <v>27</v>
      </c>
      <c r="E19" s="248" t="s">
        <v>29</v>
      </c>
      <c r="F19" s="248" t="s">
        <v>32</v>
      </c>
      <c r="G19" s="248" t="s">
        <v>246</v>
      </c>
      <c r="H19" s="248" t="s">
        <v>247</v>
      </c>
      <c r="I19" s="248" t="s">
        <v>248</v>
      </c>
      <c r="J19" s="248" t="s">
        <v>257</v>
      </c>
      <c r="K19" s="248" t="s">
        <v>249</v>
      </c>
      <c r="L19" s="248" t="s">
        <v>250</v>
      </c>
      <c r="M19" s="248" t="s">
        <v>251</v>
      </c>
      <c r="N19" s="248" t="s">
        <v>252</v>
      </c>
    </row>
    <row r="20" spans="2:14" ht="23.25" customHeight="1">
      <c r="B20" s="257"/>
      <c r="C20" s="258"/>
      <c r="D20" s="259" t="s">
        <v>34</v>
      </c>
      <c r="E20" s="259" t="s">
        <v>35</v>
      </c>
      <c r="F20" s="259" t="s">
        <v>36</v>
      </c>
      <c r="G20" s="259" t="s">
        <v>37</v>
      </c>
      <c r="H20" s="259" t="s">
        <v>38</v>
      </c>
      <c r="I20" s="259" t="s">
        <v>39</v>
      </c>
      <c r="J20" s="259" t="s">
        <v>40</v>
      </c>
      <c r="K20" s="259" t="s">
        <v>119</v>
      </c>
      <c r="L20" s="259" t="s">
        <v>41</v>
      </c>
      <c r="M20" s="259" t="s">
        <v>42</v>
      </c>
      <c r="N20" s="259" t="s">
        <v>25</v>
      </c>
    </row>
    <row r="21" spans="2:14" ht="24" customHeight="1">
      <c r="B21" s="249" t="s">
        <v>304</v>
      </c>
      <c r="C21" s="260"/>
      <c r="D21" s="261"/>
      <c r="E21" s="262"/>
      <c r="F21" s="263"/>
      <c r="G21" s="263"/>
      <c r="H21" s="263"/>
      <c r="I21" s="263"/>
      <c r="J21" s="263"/>
      <c r="K21" s="263"/>
      <c r="L21" s="263"/>
      <c r="M21" s="263"/>
      <c r="N21" s="264"/>
    </row>
    <row r="22" spans="2:14" ht="24" customHeight="1">
      <c r="B22" s="252">
        <v>4</v>
      </c>
      <c r="C22" s="265" t="s">
        <v>26</v>
      </c>
      <c r="D22" s="44">
        <v>0</v>
      </c>
      <c r="E22" s="44">
        <v>0</v>
      </c>
      <c r="F22" s="255"/>
      <c r="G22" s="266"/>
      <c r="H22" s="266"/>
      <c r="I22" s="267"/>
      <c r="J22" s="266"/>
      <c r="K22" s="267"/>
      <c r="L22" s="267"/>
      <c r="M22" s="268">
        <f>(-D22-E22)</f>
        <v>0</v>
      </c>
      <c r="N22" s="269">
        <f>SUM(D22:M22)</f>
        <v>0</v>
      </c>
    </row>
    <row r="23" spans="2:14" ht="24" customHeight="1">
      <c r="B23" s="254">
        <v>5</v>
      </c>
      <c r="C23" s="253" t="s">
        <v>277</v>
      </c>
      <c r="D23" s="268">
        <f>D15*0.76</f>
        <v>319728.276</v>
      </c>
      <c r="E23" s="270">
        <f>D15*0.19</f>
        <v>79932.069</v>
      </c>
      <c r="F23" s="271">
        <f>D15*0.05</f>
        <v>21034.755</v>
      </c>
      <c r="G23" s="266"/>
      <c r="H23" s="266"/>
      <c r="I23" s="266"/>
      <c r="J23" s="267"/>
      <c r="K23" s="266"/>
      <c r="L23" s="266"/>
      <c r="M23" s="266"/>
      <c r="N23" s="269">
        <f>SUM(D23:M23)</f>
        <v>420695.10000000003</v>
      </c>
    </row>
    <row r="24" spans="2:14" ht="24" customHeight="1">
      <c r="B24" s="254">
        <v>6</v>
      </c>
      <c r="C24" s="272" t="s">
        <v>25</v>
      </c>
      <c r="D24" s="273">
        <f aca="true" t="shared" si="0" ref="D24:L24">SUM(D22:D23)</f>
        <v>319728.276</v>
      </c>
      <c r="E24" s="273">
        <f t="shared" si="0"/>
        <v>79932.069</v>
      </c>
      <c r="F24" s="273">
        <f t="shared" si="0"/>
        <v>21034.755</v>
      </c>
      <c r="G24" s="273">
        <f t="shared" si="0"/>
        <v>0</v>
      </c>
      <c r="H24" s="273">
        <f t="shared" si="0"/>
        <v>0</v>
      </c>
      <c r="I24" s="273">
        <f t="shared" si="0"/>
        <v>0</v>
      </c>
      <c r="J24" s="273">
        <f t="shared" si="0"/>
        <v>0</v>
      </c>
      <c r="K24" s="273">
        <f t="shared" si="0"/>
        <v>0</v>
      </c>
      <c r="L24" s="273">
        <f t="shared" si="0"/>
        <v>0</v>
      </c>
      <c r="M24" s="273">
        <v>0</v>
      </c>
      <c r="N24" s="274">
        <f>SUM(D24:M24)</f>
        <v>420695.10000000003</v>
      </c>
    </row>
    <row r="25" spans="2:14" ht="24" customHeight="1">
      <c r="B25" s="180"/>
      <c r="C25" s="180"/>
      <c r="D25" s="180"/>
      <c r="E25" s="180"/>
      <c r="F25" s="180"/>
      <c r="G25" s="180"/>
      <c r="H25" s="180"/>
      <c r="I25" s="180"/>
      <c r="J25" s="180"/>
      <c r="K25" s="180"/>
      <c r="L25" s="180"/>
      <c r="M25" s="180"/>
      <c r="N25" s="180"/>
    </row>
    <row r="26" spans="2:14" ht="24" customHeight="1">
      <c r="B26" s="249" t="s">
        <v>302</v>
      </c>
      <c r="C26" s="260"/>
      <c r="D26" s="275"/>
      <c r="E26" s="276"/>
      <c r="F26" s="276"/>
      <c r="G26" s="276"/>
      <c r="H26" s="276"/>
      <c r="I26" s="276"/>
      <c r="J26" s="276"/>
      <c r="K26" s="276"/>
      <c r="L26" s="276"/>
      <c r="M26" s="276"/>
      <c r="N26" s="277"/>
    </row>
    <row r="27" spans="2:14" ht="24" customHeight="1">
      <c r="B27" s="252">
        <v>7</v>
      </c>
      <c r="C27" s="278" t="s">
        <v>284</v>
      </c>
      <c r="D27" s="268">
        <f>(G27+H27+M27)*-1</f>
        <v>-4670771.58</v>
      </c>
      <c r="E27" s="267"/>
      <c r="F27" s="267"/>
      <c r="G27" s="268">
        <f>'3. CSS'!F20</f>
        <v>2189828.27</v>
      </c>
      <c r="H27" s="268">
        <f>'3. CSS'!F21</f>
        <v>1524853.06</v>
      </c>
      <c r="I27" s="267"/>
      <c r="J27" s="267"/>
      <c r="K27" s="267"/>
      <c r="L27" s="267"/>
      <c r="M27" s="268">
        <f>'3. CSS'!F22</f>
        <v>956090.25</v>
      </c>
      <c r="N27" s="268">
        <f>SUM(D27:M27)</f>
        <v>0</v>
      </c>
    </row>
    <row r="28" spans="2:14" ht="24" customHeight="1">
      <c r="B28" s="180"/>
      <c r="C28" s="180"/>
      <c r="D28" s="180"/>
      <c r="E28" s="180"/>
      <c r="F28" s="180"/>
      <c r="G28" s="180"/>
      <c r="H28" s="180"/>
      <c r="I28" s="180"/>
      <c r="J28" s="180"/>
      <c r="K28" s="180"/>
      <c r="L28" s="180"/>
      <c r="M28" s="180"/>
      <c r="N28" s="180"/>
    </row>
    <row r="29" spans="2:14" ht="24" customHeight="1">
      <c r="B29" s="249" t="s">
        <v>303</v>
      </c>
      <c r="C29" s="260"/>
      <c r="D29" s="260"/>
      <c r="E29" s="263"/>
      <c r="F29" s="263"/>
      <c r="G29" s="263"/>
      <c r="H29" s="263"/>
      <c r="I29" s="263"/>
      <c r="J29" s="263"/>
      <c r="K29" s="263"/>
      <c r="L29" s="263"/>
      <c r="M29" s="263"/>
      <c r="N29" s="264"/>
    </row>
    <row r="30" spans="2:14" ht="24" customHeight="1">
      <c r="B30" s="254">
        <v>8</v>
      </c>
      <c r="C30" s="278" t="s">
        <v>288</v>
      </c>
      <c r="D30" s="268">
        <f>'3. CSS'!F25</f>
        <v>23552724.155999996</v>
      </c>
      <c r="E30" s="268">
        <f>'4. PEI'!F21</f>
        <v>4343978.41</v>
      </c>
      <c r="F30" s="268">
        <f>'5. INN'!F22</f>
        <v>978795.8</v>
      </c>
      <c r="G30" s="268">
        <f>'6. WET'!F20</f>
        <v>2188022.07</v>
      </c>
      <c r="H30" s="268">
        <f>'7. CFTN'!F21</f>
        <v>1517541.334</v>
      </c>
      <c r="I30" s="267"/>
      <c r="J30" s="268">
        <f>'8. WET RP, HP'!E14</f>
        <v>0</v>
      </c>
      <c r="K30" s="268">
        <f>'4. PEI'!F17</f>
        <v>0</v>
      </c>
      <c r="L30" s="268">
        <f>'8. WET RP, HP'!E15</f>
        <v>0</v>
      </c>
      <c r="M30" s="267"/>
      <c r="N30" s="268">
        <f aca="true" t="shared" si="1" ref="N30:N35">SUM(D30:M30)</f>
        <v>32581061.769999996</v>
      </c>
    </row>
    <row r="31" spans="2:14" ht="24" customHeight="1">
      <c r="B31" s="254">
        <v>9</v>
      </c>
      <c r="C31" s="256" t="s">
        <v>5</v>
      </c>
      <c r="D31" s="271">
        <f>'3. CSS'!G25</f>
        <v>3154958.0387655627</v>
      </c>
      <c r="E31" s="271">
        <f>'4. PEI'!G21</f>
        <v>3881.78</v>
      </c>
      <c r="F31" s="271">
        <f>'5. INN'!G22</f>
        <v>0</v>
      </c>
      <c r="G31" s="271">
        <f>'6. WET'!G20</f>
        <v>0</v>
      </c>
      <c r="H31" s="271">
        <f>'7. CFTN'!G21</f>
        <v>0</v>
      </c>
      <c r="I31" s="279"/>
      <c r="J31" s="271">
        <f>'8. WET RP, HP'!F14</f>
        <v>0</v>
      </c>
      <c r="K31" s="271">
        <f>'4. PEI'!G17</f>
        <v>0</v>
      </c>
      <c r="L31" s="271">
        <f>'8. WET RP, HP'!F15</f>
        <v>0</v>
      </c>
      <c r="M31" s="266"/>
      <c r="N31" s="268">
        <f t="shared" si="1"/>
        <v>3158839.8187655625</v>
      </c>
    </row>
    <row r="32" spans="2:14" ht="24" customHeight="1">
      <c r="B32" s="254">
        <v>10</v>
      </c>
      <c r="C32" s="256" t="s">
        <v>6</v>
      </c>
      <c r="D32" s="271">
        <f>'3. CSS'!H25</f>
        <v>3561366</v>
      </c>
      <c r="E32" s="271">
        <f>'4. PEI'!H21</f>
        <v>0</v>
      </c>
      <c r="F32" s="271">
        <f>'5. INN'!H22</f>
        <v>0</v>
      </c>
      <c r="G32" s="271">
        <f>'6. WET'!H20</f>
        <v>79396</v>
      </c>
      <c r="H32" s="271">
        <f>'7. CFTN'!H21</f>
        <v>0</v>
      </c>
      <c r="I32" s="279"/>
      <c r="J32" s="271">
        <f>'8. WET RP, HP'!G14</f>
        <v>0</v>
      </c>
      <c r="K32" s="271">
        <f>'4. PEI'!H17</f>
        <v>0</v>
      </c>
      <c r="L32" s="271">
        <f>'8. WET RP, HP'!G15</f>
        <v>0</v>
      </c>
      <c r="M32" s="266"/>
      <c r="N32" s="268">
        <f t="shared" si="1"/>
        <v>3640762</v>
      </c>
    </row>
    <row r="33" spans="2:14" ht="24" customHeight="1">
      <c r="B33" s="254">
        <v>11</v>
      </c>
      <c r="C33" s="256" t="s">
        <v>31</v>
      </c>
      <c r="D33" s="271">
        <f>'3. CSS'!I25</f>
        <v>1810314</v>
      </c>
      <c r="E33" s="271">
        <f>'4. PEI'!I21</f>
        <v>0</v>
      </c>
      <c r="F33" s="271">
        <f>'5. INN'!I22</f>
        <v>0</v>
      </c>
      <c r="G33" s="271">
        <f>'6. WET'!I20</f>
        <v>0</v>
      </c>
      <c r="H33" s="271">
        <f>'7. CFTN'!I21</f>
        <v>0</v>
      </c>
      <c r="I33" s="279"/>
      <c r="J33" s="271">
        <f>'8. WET RP, HP'!H14</f>
        <v>0</v>
      </c>
      <c r="K33" s="271">
        <f>'4. PEI'!I17</f>
        <v>0</v>
      </c>
      <c r="L33" s="271">
        <f>'8. WET RP, HP'!H15</f>
        <v>0</v>
      </c>
      <c r="M33" s="266"/>
      <c r="N33" s="268">
        <f t="shared" si="1"/>
        <v>1810314</v>
      </c>
    </row>
    <row r="34" spans="2:14" ht="24" customHeight="1">
      <c r="B34" s="254">
        <v>12</v>
      </c>
      <c r="C34" s="256" t="s">
        <v>15</v>
      </c>
      <c r="D34" s="271">
        <f>'3. CSS'!J25</f>
        <v>10759051</v>
      </c>
      <c r="E34" s="271">
        <f>'4. PEI'!J21</f>
        <v>3669969</v>
      </c>
      <c r="F34" s="271">
        <f>'5. INN'!J22</f>
        <v>0</v>
      </c>
      <c r="G34" s="271">
        <f>'6. WET'!J20</f>
        <v>375957</v>
      </c>
      <c r="H34" s="271">
        <f>'7. CFTN'!J21</f>
        <v>0</v>
      </c>
      <c r="I34" s="279"/>
      <c r="J34" s="271">
        <f>'8. WET RP, HP'!I14</f>
        <v>0</v>
      </c>
      <c r="K34" s="271">
        <f>'4. PEI'!J17</f>
        <v>0</v>
      </c>
      <c r="L34" s="271">
        <f>'8. WET RP, HP'!I15</f>
        <v>0</v>
      </c>
      <c r="M34" s="266"/>
      <c r="N34" s="268">
        <f t="shared" si="1"/>
        <v>14804977</v>
      </c>
    </row>
    <row r="35" spans="2:14" ht="24" customHeight="1">
      <c r="B35" s="254">
        <v>13</v>
      </c>
      <c r="C35" s="272" t="s">
        <v>25</v>
      </c>
      <c r="D35" s="280">
        <f>SUM(D30:D34)</f>
        <v>42838413.19476556</v>
      </c>
      <c r="E35" s="280">
        <f aca="true" t="shared" si="2" ref="E35:L35">SUM(E30:E34)</f>
        <v>8017829.19</v>
      </c>
      <c r="F35" s="280">
        <f t="shared" si="2"/>
        <v>978795.8</v>
      </c>
      <c r="G35" s="280">
        <f t="shared" si="2"/>
        <v>2643375.07</v>
      </c>
      <c r="H35" s="280">
        <f t="shared" si="2"/>
        <v>1517541.334</v>
      </c>
      <c r="I35" s="280">
        <f t="shared" si="2"/>
        <v>0</v>
      </c>
      <c r="J35" s="280">
        <f t="shared" si="2"/>
        <v>0</v>
      </c>
      <c r="K35" s="280">
        <f t="shared" si="2"/>
        <v>0</v>
      </c>
      <c r="L35" s="280">
        <f t="shared" si="2"/>
        <v>0</v>
      </c>
      <c r="M35" s="279"/>
      <c r="N35" s="273">
        <f t="shared" si="1"/>
        <v>55995954.588765554</v>
      </c>
    </row>
    <row r="36" spans="2:14" ht="24" customHeight="1">
      <c r="B36" s="180"/>
      <c r="C36" s="180"/>
      <c r="D36" s="180"/>
      <c r="E36" s="180"/>
      <c r="F36" s="180"/>
      <c r="G36" s="180"/>
      <c r="H36" s="180"/>
      <c r="I36" s="180"/>
      <c r="J36" s="180"/>
      <c r="K36" s="180"/>
      <c r="L36" s="180"/>
      <c r="M36" s="180"/>
      <c r="N36" s="180"/>
    </row>
    <row r="37" spans="2:14" ht="15.75">
      <c r="B37" s="158"/>
      <c r="C37" s="3"/>
      <c r="D37" s="179"/>
      <c r="F37" s="158"/>
      <c r="G37" s="43"/>
      <c r="H37" s="158"/>
      <c r="I37" s="158"/>
      <c r="J37" s="158"/>
      <c r="K37" s="158"/>
      <c r="L37" s="158"/>
      <c r="M37" s="158"/>
      <c r="N37" s="158"/>
    </row>
    <row r="38" spans="2:14" ht="15.75">
      <c r="B38" s="249" t="s">
        <v>309</v>
      </c>
      <c r="C38" s="250"/>
      <c r="D38" s="251" t="s">
        <v>25</v>
      </c>
      <c r="E38" s="158"/>
      <c r="F38" s="43"/>
      <c r="G38" s="158"/>
      <c r="H38" s="158"/>
      <c r="I38" s="158"/>
      <c r="J38" s="158"/>
      <c r="K38" s="158"/>
      <c r="L38" s="158"/>
      <c r="M38" s="158"/>
      <c r="N38" s="179"/>
    </row>
    <row r="39" spans="2:14" ht="15.75">
      <c r="B39" s="254">
        <v>14</v>
      </c>
      <c r="C39" s="281" t="s">
        <v>22</v>
      </c>
      <c r="D39" s="282">
        <f>'3. CSS'!K14+'4. PEI'!K14+'5. INN'!K14+'6. WET'!K14+'7. CFTN'!K14</f>
        <v>0</v>
      </c>
      <c r="F39" s="43"/>
      <c r="G39" s="158"/>
      <c r="H39" s="158"/>
      <c r="I39" s="158"/>
      <c r="J39" s="158"/>
      <c r="K39" s="158"/>
      <c r="L39" s="158"/>
      <c r="M39" s="158"/>
      <c r="N39" s="179"/>
    </row>
    <row r="40" spans="2:14" ht="15.75">
      <c r="B40" s="254">
        <v>15</v>
      </c>
      <c r="C40" s="281" t="s">
        <v>23</v>
      </c>
      <c r="D40" s="282">
        <f>'3. CSS'!K15+'4. PEI'!K15+'5. INN'!K19+'6. WET'!K15+'7. CFTN'!K16+'7. CFTN'!K17</f>
        <v>1127414.75</v>
      </c>
      <c r="E40" s="159"/>
      <c r="F40" s="158"/>
      <c r="G40" s="158"/>
      <c r="H40" s="158"/>
      <c r="I40" s="158"/>
      <c r="J40" s="158"/>
      <c r="K40" s="158"/>
      <c r="L40" s="158"/>
      <c r="M40" s="158"/>
      <c r="N40" s="179"/>
    </row>
    <row r="41" spans="2:14" ht="15.75">
      <c r="B41" s="254">
        <v>16</v>
      </c>
      <c r="C41" s="281" t="s">
        <v>24</v>
      </c>
      <c r="D41" s="282">
        <f>'3. CSS'!K16+'4. PEI'!K16+'5. INN'!K15+'5. INN'!K18+'6. WET'!K16+'7. CFTN'!K18+'7. CFTN'!K19</f>
        <v>2420577.5299999993</v>
      </c>
      <c r="E41" s="159"/>
      <c r="F41" s="158"/>
      <c r="G41" s="158"/>
      <c r="H41" s="158"/>
      <c r="I41" s="158"/>
      <c r="J41" s="158"/>
      <c r="K41" s="158"/>
      <c r="L41" s="158"/>
      <c r="M41" s="158"/>
      <c r="N41" s="179"/>
    </row>
    <row r="42" ht="15.75" hidden="1"/>
    <row r="43" ht="15.75" hidden="1"/>
    <row r="44" ht="15.75" hidden="1"/>
    <row r="45" ht="15.75" hidden="1"/>
    <row r="46" ht="15.75" hidden="1"/>
    <row r="47" ht="15.75" hidden="1"/>
    <row r="48" ht="15.75" hidden="1"/>
    <row r="49" ht="15.75" hidden="1"/>
    <row r="50" ht="15.75" hidden="1"/>
  </sheetData>
  <sheetProtection sheet="1" objects="1" scenarios="1" formatColumns="0" formatRows="0"/>
  <dataValidations count="2">
    <dataValidation type="whole" operator="lessThanOrEqual" showInputMessage="1" showErrorMessage="1" errorTitle="Prudent Reserve Balance Exceeded" error="Combined transfers to CSS &amp; PEI cannot exceed total available Prudent Reserve (PR), (Unspent PR +Interest earned this Fiscal Year). Enter whole numbers only. " sqref="E22">
      <formula1>D16-D22</formula1>
    </dataValidation>
    <dataValidation type="whole" operator="lessThanOrEqual" showInputMessage="1" showErrorMessage="1" errorTitle="Prudent Reserve Balance Exceeded" error="Combined transfers to CSS &amp; PEI cannot exceed total available Prudent Reserve (PR), (Unspent PR +Interest earned this Fiscal Year). Enter whole numbers only. " sqref="D22">
      <formula1>D16-E22</formula1>
    </dataValidation>
  </dataValidations>
  <printOptions/>
  <pageMargins left="0.25" right="0.25" top="1.12364583333333" bottom="0.75" header="0.3" footer="0.3"/>
  <pageSetup fitToHeight="0" fitToWidth="0" horizontalDpi="600" verticalDpi="600" orientation="landscape" paperSize="5" scale="41" r:id="rId1"/>
  <headerFooter>
    <oddFooter>&amp;C&amp;"Arial,Regular"&amp;14Page &amp;P of &amp;N</oddFooter>
  </headerFooter>
</worksheet>
</file>

<file path=xl/worksheets/sheet5.xml><?xml version="1.0" encoding="utf-8"?>
<worksheet xmlns="http://schemas.openxmlformats.org/spreadsheetml/2006/main" xmlns:r="http://schemas.openxmlformats.org/officeDocument/2006/relationships">
  <sheetPr codeName="Sheet5"/>
  <dimension ref="A1:L133"/>
  <sheetViews>
    <sheetView showGridLines="0" zoomScale="70" zoomScaleNormal="70" zoomScaleSheetLayoutView="40" zoomScalePageLayoutView="70" workbookViewId="0" topLeftCell="A1">
      <selection activeCell="G13" sqref="G13"/>
    </sheetView>
  </sheetViews>
  <sheetFormatPr defaultColWidth="0" defaultRowHeight="15" zeroHeight="1"/>
  <cols>
    <col min="1" max="1" width="2.7109375" style="160" customWidth="1"/>
    <col min="2" max="2" width="6.7109375" style="312" customWidth="1"/>
    <col min="3" max="3" width="13.57421875" style="312" customWidth="1"/>
    <col min="4" max="5" width="50.7109375" style="312" customWidth="1"/>
    <col min="6" max="6" width="20.7109375" style="312" customWidth="1"/>
    <col min="7" max="7" width="27.57421875" style="312" bestFit="1" customWidth="1"/>
    <col min="8" max="8" width="21.57421875" style="312" customWidth="1"/>
    <col min="9" max="9" width="25.8515625" style="312" bestFit="1" customWidth="1"/>
    <col min="10" max="10" width="17.7109375" style="312" customWidth="1"/>
    <col min="11" max="11" width="23.00390625" style="312" customWidth="1"/>
    <col min="12" max="12" width="20.140625" style="312" customWidth="1"/>
    <col min="13" max="13" width="40.28125" style="214" hidden="1" customWidth="1"/>
    <col min="14" max="16384" width="9.140625" style="214" hidden="1" customWidth="1"/>
  </cols>
  <sheetData>
    <row r="1" spans="1:12" s="179" customFormat="1" ht="15.75">
      <c r="A1" s="284" t="s">
        <v>370</v>
      </c>
      <c r="B1" s="446"/>
      <c r="C1" s="446"/>
      <c r="D1" s="446"/>
      <c r="E1" s="161"/>
      <c r="F1" s="161"/>
      <c r="G1" s="161"/>
      <c r="H1" s="161"/>
      <c r="I1" s="161"/>
      <c r="J1" s="161"/>
      <c r="K1" s="161"/>
      <c r="L1" s="161"/>
    </row>
    <row r="2" s="160" customFormat="1" ht="18">
      <c r="B2" s="285" t="str">
        <f>'1. Information'!B2</f>
        <v>Version 7/1/2018</v>
      </c>
    </row>
    <row r="3" spans="1:12" s="179" customFormat="1" ht="18">
      <c r="A3" s="161"/>
      <c r="B3" s="235" t="str">
        <f>'1. Information'!B3</f>
        <v>Annual Mental Health Services Act Revenue and Expenditure Report</v>
      </c>
      <c r="C3" s="143"/>
      <c r="D3" s="143"/>
      <c r="E3" s="143"/>
      <c r="F3" s="143"/>
      <c r="G3" s="143"/>
      <c r="H3" s="143"/>
      <c r="I3" s="143"/>
      <c r="J3" s="143"/>
      <c r="K3" s="143"/>
      <c r="L3" s="161"/>
    </row>
    <row r="4" spans="1:12" s="179" customFormat="1" ht="18">
      <c r="A4" s="161"/>
      <c r="B4" s="235" t="str">
        <f>'1. Information'!B4</f>
        <v>Fiscal Year 2017-18</v>
      </c>
      <c r="C4" s="143"/>
      <c r="D4" s="143"/>
      <c r="E4" s="143"/>
      <c r="F4" s="143"/>
      <c r="G4" s="143"/>
      <c r="H4" s="143"/>
      <c r="I4" s="143"/>
      <c r="J4" s="143"/>
      <c r="K4" s="143"/>
      <c r="L4" s="161"/>
    </row>
    <row r="5" spans="1:12" s="179" customFormat="1" ht="18">
      <c r="A5" s="161"/>
      <c r="B5" s="235" t="s">
        <v>135</v>
      </c>
      <c r="C5" s="143"/>
      <c r="D5" s="143"/>
      <c r="E5" s="143"/>
      <c r="F5" s="143"/>
      <c r="G5" s="143"/>
      <c r="H5" s="143"/>
      <c r="I5" s="143"/>
      <c r="J5" s="143"/>
      <c r="K5" s="143"/>
      <c r="L5" s="161"/>
    </row>
    <row r="6" spans="1:12" s="179" customFormat="1" ht="15.75">
      <c r="A6" s="161"/>
      <c r="B6" s="28"/>
      <c r="C6" s="28"/>
      <c r="D6" s="28"/>
      <c r="E6" s="28"/>
      <c r="F6" s="28"/>
      <c r="G6" s="28"/>
      <c r="H6" s="28"/>
      <c r="I6" s="28"/>
      <c r="J6" s="28"/>
      <c r="K6" s="28"/>
      <c r="L6" s="161"/>
    </row>
    <row r="7" spans="1:12" s="179" customFormat="1" ht="15.75">
      <c r="A7" s="161"/>
      <c r="B7" s="447" t="s">
        <v>1</v>
      </c>
      <c r="C7" s="447"/>
      <c r="D7" s="286" t="str">
        <f>IF(ISBLANK('1. Information'!D8),"",'1. Information'!D8)</f>
        <v>San Francisco</v>
      </c>
      <c r="E7" s="161"/>
      <c r="F7" s="248" t="s">
        <v>2</v>
      </c>
      <c r="G7" s="287">
        <f>IF(ISBLANK('1. Information'!D7),"",'1. Information'!D7)</f>
        <v>43465</v>
      </c>
      <c r="H7" s="161"/>
      <c r="I7" s="161"/>
      <c r="J7" s="161"/>
      <c r="K7" s="162"/>
      <c r="L7" s="161"/>
    </row>
    <row r="8" spans="1:12" s="179" customFormat="1" ht="15.75">
      <c r="A8" s="161"/>
      <c r="B8" s="161"/>
      <c r="C8" s="6"/>
      <c r="D8" s="6"/>
      <c r="E8" s="6"/>
      <c r="F8" s="161"/>
      <c r="G8" s="3"/>
      <c r="H8" s="163"/>
      <c r="I8" s="161"/>
      <c r="J8" s="161"/>
      <c r="L8" s="162"/>
    </row>
    <row r="9" spans="1:11" s="179" customFormat="1" ht="18.75" thickBot="1">
      <c r="A9" s="161"/>
      <c r="B9" s="288" t="s">
        <v>260</v>
      </c>
      <c r="C9" s="16"/>
      <c r="D9" s="16"/>
      <c r="E9" s="16"/>
      <c r="F9" s="164"/>
      <c r="G9" s="20"/>
      <c r="H9" s="165"/>
      <c r="I9" s="164"/>
      <c r="J9" s="164"/>
      <c r="K9" s="164"/>
    </row>
    <row r="10" spans="1:11" s="179" customFormat="1" ht="16.5" thickTop="1">
      <c r="A10" s="161"/>
      <c r="B10" s="60"/>
      <c r="C10" s="6"/>
      <c r="D10" s="6"/>
      <c r="E10" s="6"/>
      <c r="F10" s="3"/>
      <c r="G10" s="163"/>
      <c r="H10" s="161"/>
      <c r="I10" s="161"/>
      <c r="J10" s="161"/>
      <c r="K10" s="162"/>
    </row>
    <row r="11" spans="1:11" s="179" customFormat="1" ht="15.75" customHeight="1">
      <c r="A11" s="161"/>
      <c r="B11" s="160"/>
      <c r="C11" s="160"/>
      <c r="D11" s="160"/>
      <c r="E11" s="160"/>
      <c r="F11" s="289" t="s">
        <v>27</v>
      </c>
      <c r="G11" s="254" t="s">
        <v>29</v>
      </c>
      <c r="H11" s="290" t="s">
        <v>32</v>
      </c>
      <c r="I11" s="289" t="s">
        <v>246</v>
      </c>
      <c r="J11" s="289" t="s">
        <v>247</v>
      </c>
      <c r="K11" s="289" t="s">
        <v>248</v>
      </c>
    </row>
    <row r="12" spans="1:11" s="179" customFormat="1" ht="15.75">
      <c r="A12" s="161"/>
      <c r="B12" s="160"/>
      <c r="C12" s="160"/>
      <c r="D12" s="160"/>
      <c r="E12" s="160"/>
      <c r="F12" s="248" t="s">
        <v>28</v>
      </c>
      <c r="G12" s="439" t="s">
        <v>30</v>
      </c>
      <c r="H12" s="437"/>
      <c r="I12" s="437"/>
      <c r="J12" s="440"/>
      <c r="K12" s="291"/>
    </row>
    <row r="13" spans="1:11" s="179" customFormat="1" ht="47.25">
      <c r="A13" s="161"/>
      <c r="B13" s="15"/>
      <c r="C13" s="160"/>
      <c r="D13" s="160"/>
      <c r="E13" s="160"/>
      <c r="F13" s="292" t="s">
        <v>300</v>
      </c>
      <c r="G13" s="293" t="s">
        <v>5</v>
      </c>
      <c r="H13" s="294" t="s">
        <v>6</v>
      </c>
      <c r="I13" s="293" t="s">
        <v>31</v>
      </c>
      <c r="J13" s="293" t="s">
        <v>15</v>
      </c>
      <c r="K13" s="295" t="s">
        <v>278</v>
      </c>
    </row>
    <row r="14" spans="1:11" s="179" customFormat="1" ht="15.75">
      <c r="A14" s="161"/>
      <c r="B14" s="289">
        <v>1</v>
      </c>
      <c r="C14" s="444" t="s">
        <v>7</v>
      </c>
      <c r="D14" s="444"/>
      <c r="E14" s="444"/>
      <c r="F14" s="188"/>
      <c r="G14" s="189"/>
      <c r="H14" s="183"/>
      <c r="I14" s="167"/>
      <c r="J14" s="167"/>
      <c r="K14" s="296">
        <f>SUM(F14:J14)</f>
        <v>0</v>
      </c>
    </row>
    <row r="15" spans="1:11" s="179" customFormat="1" ht="15" customHeight="1">
      <c r="A15" s="161"/>
      <c r="B15" s="289">
        <v>2</v>
      </c>
      <c r="C15" s="444" t="s">
        <v>8</v>
      </c>
      <c r="D15" s="444"/>
      <c r="E15" s="444"/>
      <c r="F15" s="188">
        <v>1028061.29</v>
      </c>
      <c r="G15" s="167"/>
      <c r="H15" s="167"/>
      <c r="I15" s="167"/>
      <c r="J15" s="167"/>
      <c r="K15" s="296">
        <f aca="true" t="shared" si="0" ref="K15:K23">SUM(F15:J15)</f>
        <v>1028061.29</v>
      </c>
    </row>
    <row r="16" spans="1:11" s="179" customFormat="1" ht="15.75">
      <c r="A16" s="161"/>
      <c r="B16" s="289">
        <v>3</v>
      </c>
      <c r="C16" s="444" t="s">
        <v>129</v>
      </c>
      <c r="D16" s="444"/>
      <c r="E16" s="444"/>
      <c r="F16" s="188">
        <v>1967042.0299999989</v>
      </c>
      <c r="G16" s="167"/>
      <c r="H16" s="167"/>
      <c r="I16" s="167"/>
      <c r="J16" s="167"/>
      <c r="K16" s="296">
        <f t="shared" si="0"/>
        <v>1967042.0299999989</v>
      </c>
    </row>
    <row r="17" spans="1:11" s="179" customFormat="1" ht="15.75">
      <c r="A17" s="161"/>
      <c r="B17" s="289">
        <v>4</v>
      </c>
      <c r="C17" s="445" t="s">
        <v>218</v>
      </c>
      <c r="D17" s="445"/>
      <c r="E17" s="445"/>
      <c r="F17" s="188"/>
      <c r="G17" s="167"/>
      <c r="H17" s="167"/>
      <c r="I17" s="167"/>
      <c r="J17" s="167"/>
      <c r="K17" s="296">
        <f t="shared" si="0"/>
        <v>0</v>
      </c>
    </row>
    <row r="18" spans="1:11" s="179" customFormat="1" ht="15.75">
      <c r="A18" s="161"/>
      <c r="B18" s="289">
        <v>5</v>
      </c>
      <c r="C18" s="445" t="s">
        <v>219</v>
      </c>
      <c r="D18" s="445"/>
      <c r="E18" s="445"/>
      <c r="F18" s="188"/>
      <c r="G18" s="297"/>
      <c r="H18" s="297"/>
      <c r="I18" s="297"/>
      <c r="J18" s="297"/>
      <c r="K18" s="296">
        <f t="shared" si="0"/>
        <v>0</v>
      </c>
    </row>
    <row r="19" spans="1:11" s="179" customFormat="1" ht="15.75">
      <c r="A19" s="161"/>
      <c r="B19" s="289">
        <v>6</v>
      </c>
      <c r="C19" s="444" t="s">
        <v>216</v>
      </c>
      <c r="D19" s="444"/>
      <c r="E19" s="444"/>
      <c r="F19" s="167"/>
      <c r="G19" s="297"/>
      <c r="H19" s="297"/>
      <c r="I19" s="297"/>
      <c r="J19" s="297"/>
      <c r="K19" s="298">
        <f t="shared" si="0"/>
        <v>0</v>
      </c>
    </row>
    <row r="20" spans="1:11" s="179" customFormat="1" ht="15.75">
      <c r="A20" s="162"/>
      <c r="B20" s="299">
        <v>7</v>
      </c>
      <c r="C20" s="441" t="s">
        <v>226</v>
      </c>
      <c r="D20" s="442"/>
      <c r="E20" s="443"/>
      <c r="F20" s="167">
        <v>2189828.27</v>
      </c>
      <c r="G20" s="298"/>
      <c r="H20" s="298"/>
      <c r="I20" s="298"/>
      <c r="J20" s="298"/>
      <c r="K20" s="298">
        <f t="shared" si="0"/>
        <v>2189828.27</v>
      </c>
    </row>
    <row r="21" spans="1:11" s="179" customFormat="1" ht="15.75">
      <c r="A21" s="162"/>
      <c r="B21" s="299">
        <v>8</v>
      </c>
      <c r="C21" s="441" t="s">
        <v>227</v>
      </c>
      <c r="D21" s="442"/>
      <c r="E21" s="443"/>
      <c r="F21" s="167">
        <v>1524853.06</v>
      </c>
      <c r="G21" s="298"/>
      <c r="H21" s="298"/>
      <c r="I21" s="298"/>
      <c r="J21" s="298"/>
      <c r="K21" s="298">
        <f t="shared" si="0"/>
        <v>1524853.06</v>
      </c>
    </row>
    <row r="22" spans="1:11" s="179" customFormat="1" ht="15.75">
      <c r="A22" s="162"/>
      <c r="B22" s="299">
        <v>9</v>
      </c>
      <c r="C22" s="441" t="s">
        <v>225</v>
      </c>
      <c r="D22" s="442"/>
      <c r="E22" s="443"/>
      <c r="F22" s="167">
        <v>956090.25</v>
      </c>
      <c r="G22" s="298"/>
      <c r="H22" s="298"/>
      <c r="I22" s="298"/>
      <c r="J22" s="298"/>
      <c r="K22" s="298">
        <f t="shared" si="0"/>
        <v>956090.25</v>
      </c>
    </row>
    <row r="23" spans="1:11" s="179" customFormat="1" ht="15.75">
      <c r="A23" s="161"/>
      <c r="B23" s="289">
        <v>10</v>
      </c>
      <c r="C23" s="444" t="s">
        <v>140</v>
      </c>
      <c r="D23" s="444"/>
      <c r="E23" s="444"/>
      <c r="F23" s="297">
        <f>SUM(G33:G132)</f>
        <v>20557620.835999995</v>
      </c>
      <c r="G23" s="298">
        <f>SUM(H33:H132)</f>
        <v>3154958.0387655627</v>
      </c>
      <c r="H23" s="298">
        <f>SUM(I33:I132)</f>
        <v>3561366</v>
      </c>
      <c r="I23" s="298">
        <f>SUM(J33:J132)</f>
        <v>1810314</v>
      </c>
      <c r="J23" s="298">
        <f>SUM(K33:K132)</f>
        <v>10759051</v>
      </c>
      <c r="K23" s="298">
        <f t="shared" si="0"/>
        <v>39843309.87476556</v>
      </c>
    </row>
    <row r="24" spans="1:11" s="179" customFormat="1" ht="30.75" customHeight="1">
      <c r="A24" s="161"/>
      <c r="B24" s="289">
        <v>11</v>
      </c>
      <c r="C24" s="431" t="s">
        <v>223</v>
      </c>
      <c r="D24" s="432"/>
      <c r="E24" s="433"/>
      <c r="F24" s="279">
        <f>SUM(F14:F16,F18:F23)</f>
        <v>28223495.735999994</v>
      </c>
      <c r="G24" s="279">
        <f>SUM(G14:G16,G18:G23)</f>
        <v>3154958.0387655627</v>
      </c>
      <c r="H24" s="300">
        <f>SUM(H14:H16,H18:H23)</f>
        <v>3561366</v>
      </c>
      <c r="I24" s="279">
        <f>SUM(I14:I16,I18:I23)</f>
        <v>1810314</v>
      </c>
      <c r="J24" s="279">
        <f>SUM(J14:J16,J18:J23)</f>
        <v>10759051</v>
      </c>
      <c r="K24" s="279">
        <f>SUM(K14:K16,K18:K23)</f>
        <v>47509184.77476556</v>
      </c>
    </row>
    <row r="25" spans="1:11" s="179" customFormat="1" ht="30.75" customHeight="1">
      <c r="A25" s="161"/>
      <c r="B25" s="289">
        <v>12</v>
      </c>
      <c r="C25" s="438" t="s">
        <v>283</v>
      </c>
      <c r="D25" s="438"/>
      <c r="E25" s="438"/>
      <c r="F25" s="279">
        <f>SUM(F14:F16,F18,F23)</f>
        <v>23552724.155999996</v>
      </c>
      <c r="G25" s="301">
        <f>SUM(G14:G16,G18,G23)</f>
        <v>3154958.0387655627</v>
      </c>
      <c r="H25" s="301">
        <f>SUM(H14:H16,H18,H23)</f>
        <v>3561366</v>
      </c>
      <c r="I25" s="301">
        <f>SUM(I14:I16,I18,I23)</f>
        <v>1810314</v>
      </c>
      <c r="J25" s="279">
        <f>SUM(J14:J16,J18,J23)</f>
        <v>10759051</v>
      </c>
      <c r="K25" s="279">
        <f>SUM(K14:K16,K18,K23)</f>
        <v>42838413.19476556</v>
      </c>
    </row>
    <row r="26" spans="1:12" s="179" customFormat="1" ht="15.75">
      <c r="A26" s="161"/>
      <c r="B26" s="161"/>
      <c r="C26" s="161"/>
      <c r="D26" s="3"/>
      <c r="E26" s="3"/>
      <c r="F26" s="21"/>
      <c r="G26" s="162"/>
      <c r="H26" s="162"/>
      <c r="I26" s="162"/>
      <c r="J26" s="162"/>
      <c r="K26" s="162"/>
      <c r="L26" s="161"/>
    </row>
    <row r="27" spans="1:12" s="179" customFormat="1" ht="15.75">
      <c r="A27" s="161"/>
      <c r="B27" s="161"/>
      <c r="C27" s="23"/>
      <c r="D27" s="3"/>
      <c r="E27" s="3"/>
      <c r="F27" s="24"/>
      <c r="G27" s="162"/>
      <c r="H27" s="162"/>
      <c r="I27" s="162"/>
      <c r="J27" s="162"/>
      <c r="K27" s="162"/>
      <c r="L27" s="161"/>
    </row>
    <row r="28" spans="1:12" s="179" customFormat="1" ht="18.75" thickBot="1">
      <c r="A28" s="302"/>
      <c r="B28" s="303" t="s">
        <v>261</v>
      </c>
      <c r="C28" s="22"/>
      <c r="D28" s="20"/>
      <c r="E28" s="20"/>
      <c r="F28" s="25"/>
      <c r="G28" s="166"/>
      <c r="H28" s="166"/>
      <c r="I28" s="166"/>
      <c r="J28" s="166"/>
      <c r="K28" s="166"/>
      <c r="L28" s="164"/>
    </row>
    <row r="29" spans="1:12" s="179" customFormat="1" ht="16.5" thickTop="1">
      <c r="A29" s="161"/>
      <c r="B29" s="61"/>
      <c r="C29" s="23"/>
      <c r="D29" s="3"/>
      <c r="E29" s="3"/>
      <c r="F29" s="24"/>
      <c r="G29" s="162"/>
      <c r="H29" s="162"/>
      <c r="I29" s="162"/>
      <c r="J29" s="162"/>
      <c r="K29" s="162"/>
      <c r="L29" s="161"/>
    </row>
    <row r="30" spans="1:12" s="179" customFormat="1" ht="15.75">
      <c r="A30" s="161"/>
      <c r="B30" s="23"/>
      <c r="C30" s="289" t="s">
        <v>27</v>
      </c>
      <c r="D30" s="254" t="s">
        <v>29</v>
      </c>
      <c r="E30" s="254" t="s">
        <v>32</v>
      </c>
      <c r="F30" s="289" t="s">
        <v>246</v>
      </c>
      <c r="G30" s="254" t="s">
        <v>247</v>
      </c>
      <c r="H30" s="254" t="s">
        <v>248</v>
      </c>
      <c r="I30" s="289" t="s">
        <v>257</v>
      </c>
      <c r="J30" s="254" t="s">
        <v>249</v>
      </c>
      <c r="K30" s="254" t="s">
        <v>250</v>
      </c>
      <c r="L30" s="254" t="s">
        <v>251</v>
      </c>
    </row>
    <row r="31" spans="1:12" s="179" customFormat="1" ht="15.75">
      <c r="A31" s="161"/>
      <c r="B31" s="5"/>
      <c r="C31" s="246"/>
      <c r="D31" s="437" t="s">
        <v>166</v>
      </c>
      <c r="E31" s="437"/>
      <c r="F31" s="437"/>
      <c r="G31" s="304" t="s">
        <v>28</v>
      </c>
      <c r="H31" s="434" t="s">
        <v>30</v>
      </c>
      <c r="I31" s="435"/>
      <c r="J31" s="435"/>
      <c r="K31" s="436"/>
      <c r="L31" s="305"/>
    </row>
    <row r="32" spans="1:12" ht="87.75" customHeight="1">
      <c r="A32" s="161"/>
      <c r="B32" s="306" t="s">
        <v>134</v>
      </c>
      <c r="C32" s="307" t="s">
        <v>195</v>
      </c>
      <c r="D32" s="308" t="s">
        <v>10</v>
      </c>
      <c r="E32" s="308" t="s">
        <v>4</v>
      </c>
      <c r="F32" s="308" t="s">
        <v>9</v>
      </c>
      <c r="G32" s="292" t="s">
        <v>300</v>
      </c>
      <c r="H32" s="308" t="s">
        <v>5</v>
      </c>
      <c r="I32" s="308" t="s">
        <v>6</v>
      </c>
      <c r="J32" s="308" t="s">
        <v>31</v>
      </c>
      <c r="K32" s="309" t="s">
        <v>15</v>
      </c>
      <c r="L32" s="295" t="s">
        <v>278</v>
      </c>
    </row>
    <row r="33" spans="1:12" ht="30.75">
      <c r="A33" s="161"/>
      <c r="B33" s="310">
        <v>1</v>
      </c>
      <c r="C33" s="311">
        <f aca="true" t="shared" si="1" ref="C33:C64">IF(L33&lt;&gt;0,VLOOKUP($D$7,Info_County_Code,2,FALSE),"")</f>
        <v>38</v>
      </c>
      <c r="D33" s="201" t="s">
        <v>328</v>
      </c>
      <c r="E33" s="201"/>
      <c r="F33" s="169" t="s">
        <v>102</v>
      </c>
      <c r="G33" s="168">
        <v>821952.32</v>
      </c>
      <c r="H33" s="168">
        <v>0</v>
      </c>
      <c r="I33" s="168">
        <v>0</v>
      </c>
      <c r="J33" s="176">
        <v>0</v>
      </c>
      <c r="K33" s="168">
        <v>0</v>
      </c>
      <c r="L33" s="298">
        <f>SUM(G33:K33)</f>
        <v>821952.32</v>
      </c>
    </row>
    <row r="34" spans="1:12" ht="15.75">
      <c r="A34" s="161"/>
      <c r="B34" s="310">
        <v>2</v>
      </c>
      <c r="C34" s="311">
        <f t="shared" si="1"/>
        <v>38</v>
      </c>
      <c r="D34" s="201" t="s">
        <v>329</v>
      </c>
      <c r="E34" s="201"/>
      <c r="F34" s="169" t="s">
        <v>102</v>
      </c>
      <c r="G34" s="168">
        <v>399375.98</v>
      </c>
      <c r="H34" s="168">
        <v>0</v>
      </c>
      <c r="I34" s="168">
        <v>0</v>
      </c>
      <c r="J34" s="176">
        <v>0</v>
      </c>
      <c r="K34" s="168">
        <v>152966</v>
      </c>
      <c r="L34" s="298">
        <f aca="true" t="shared" si="2" ref="L34:L97">SUM(G34:K34)</f>
        <v>552341.98</v>
      </c>
    </row>
    <row r="35" spans="1:12" ht="15.75">
      <c r="A35" s="161"/>
      <c r="B35" s="310">
        <v>3</v>
      </c>
      <c r="C35" s="311">
        <f t="shared" si="1"/>
        <v>38</v>
      </c>
      <c r="D35" s="201" t="s">
        <v>330</v>
      </c>
      <c r="E35" s="201"/>
      <c r="F35" s="169" t="s">
        <v>102</v>
      </c>
      <c r="G35" s="168">
        <v>962912.93</v>
      </c>
      <c r="H35" s="168">
        <v>52931.484848224</v>
      </c>
      <c r="I35" s="168">
        <v>180976</v>
      </c>
      <c r="J35" s="176">
        <v>1661725</v>
      </c>
      <c r="K35" s="168">
        <v>1264314</v>
      </c>
      <c r="L35" s="298">
        <f t="shared" si="2"/>
        <v>4122859.4148482243</v>
      </c>
    </row>
    <row r="36" spans="1:12" ht="15.75">
      <c r="A36" s="161"/>
      <c r="B36" s="310">
        <v>4</v>
      </c>
      <c r="C36" s="311">
        <f t="shared" si="1"/>
        <v>38</v>
      </c>
      <c r="D36" s="201" t="s">
        <v>331</v>
      </c>
      <c r="E36" s="201"/>
      <c r="F36" s="169" t="s">
        <v>102</v>
      </c>
      <c r="G36" s="168">
        <v>1207223.1799999997</v>
      </c>
      <c r="H36" s="168">
        <v>337328.555605251</v>
      </c>
      <c r="I36" s="168">
        <v>3506</v>
      </c>
      <c r="J36" s="176">
        <v>58235</v>
      </c>
      <c r="K36" s="168">
        <v>2075</v>
      </c>
      <c r="L36" s="298">
        <f t="shared" si="2"/>
        <v>1608367.7356052506</v>
      </c>
    </row>
    <row r="37" spans="1:12" ht="15.75">
      <c r="A37" s="161"/>
      <c r="B37" s="310">
        <v>5</v>
      </c>
      <c r="C37" s="311">
        <f t="shared" si="1"/>
        <v>38</v>
      </c>
      <c r="D37" s="201" t="s">
        <v>332</v>
      </c>
      <c r="E37" s="201"/>
      <c r="F37" s="169" t="s">
        <v>102</v>
      </c>
      <c r="G37" s="168">
        <v>3495353.66</v>
      </c>
      <c r="H37" s="168">
        <v>1754334.22866893</v>
      </c>
      <c r="I37" s="168">
        <v>2417692</v>
      </c>
      <c r="J37" s="176">
        <v>245</v>
      </c>
      <c r="K37" s="168">
        <v>4682124</v>
      </c>
      <c r="L37" s="298">
        <f t="shared" si="2"/>
        <v>12349748.88866893</v>
      </c>
    </row>
    <row r="38" spans="1:12" ht="30.75">
      <c r="A38" s="161"/>
      <c r="B38" s="310">
        <v>6</v>
      </c>
      <c r="C38" s="311">
        <f t="shared" si="1"/>
        <v>38</v>
      </c>
      <c r="D38" s="201" t="s">
        <v>333</v>
      </c>
      <c r="E38" s="201"/>
      <c r="F38" s="169" t="s">
        <v>102</v>
      </c>
      <c r="G38" s="168">
        <v>988073.6900000004</v>
      </c>
      <c r="H38" s="168">
        <v>322093.230290584</v>
      </c>
      <c r="I38" s="168">
        <v>93125</v>
      </c>
      <c r="J38" s="176">
        <v>0</v>
      </c>
      <c r="K38" s="168">
        <v>22326</v>
      </c>
      <c r="L38" s="298">
        <f t="shared" si="2"/>
        <v>1425617.9202905844</v>
      </c>
    </row>
    <row r="39" spans="1:12" ht="15.75">
      <c r="A39" s="161"/>
      <c r="B39" s="310">
        <v>7</v>
      </c>
      <c r="C39" s="311">
        <f t="shared" si="1"/>
        <v>38</v>
      </c>
      <c r="D39" s="201" t="s">
        <v>334</v>
      </c>
      <c r="E39" s="201"/>
      <c r="F39" s="169" t="s">
        <v>102</v>
      </c>
      <c r="G39" s="168">
        <v>723206.6699999999</v>
      </c>
      <c r="H39" s="168">
        <v>0</v>
      </c>
      <c r="I39" s="168">
        <v>0</v>
      </c>
      <c r="J39" s="176">
        <v>0</v>
      </c>
      <c r="K39" s="168">
        <v>0</v>
      </c>
      <c r="L39" s="298">
        <f t="shared" si="2"/>
        <v>723206.6699999999</v>
      </c>
    </row>
    <row r="40" spans="1:12" ht="30.75">
      <c r="A40" s="161"/>
      <c r="B40" s="310">
        <v>8</v>
      </c>
      <c r="C40" s="311">
        <f t="shared" si="1"/>
        <v>38</v>
      </c>
      <c r="D40" s="201" t="s">
        <v>335</v>
      </c>
      <c r="E40" s="201"/>
      <c r="F40" s="169" t="s">
        <v>103</v>
      </c>
      <c r="G40" s="168">
        <v>860324.3400000001</v>
      </c>
      <c r="H40" s="168">
        <v>133133.25</v>
      </c>
      <c r="I40" s="168">
        <v>0</v>
      </c>
      <c r="J40" s="176">
        <v>0</v>
      </c>
      <c r="K40" s="168">
        <v>25000</v>
      </c>
      <c r="L40" s="298">
        <f t="shared" si="2"/>
        <v>1018457.5900000001</v>
      </c>
    </row>
    <row r="41" spans="1:12" ht="30.75">
      <c r="A41" s="161"/>
      <c r="B41" s="310">
        <v>9</v>
      </c>
      <c r="C41" s="311">
        <f t="shared" si="1"/>
        <v>38</v>
      </c>
      <c r="D41" s="201" t="s">
        <v>340</v>
      </c>
      <c r="E41" s="201"/>
      <c r="F41" s="169" t="s">
        <v>103</v>
      </c>
      <c r="G41" s="168">
        <v>919961.4999999999</v>
      </c>
      <c r="H41" s="168">
        <v>62859.0193525732</v>
      </c>
      <c r="I41" s="168">
        <v>13599</v>
      </c>
      <c r="J41" s="176">
        <v>63035</v>
      </c>
      <c r="K41" s="168">
        <v>244027</v>
      </c>
      <c r="L41" s="298">
        <f t="shared" si="2"/>
        <v>1303481.519352573</v>
      </c>
    </row>
    <row r="42" spans="1:12" ht="15.75">
      <c r="A42" s="161"/>
      <c r="B42" s="310">
        <v>10</v>
      </c>
      <c r="C42" s="311">
        <f t="shared" si="1"/>
        <v>38</v>
      </c>
      <c r="D42" s="201" t="s">
        <v>341</v>
      </c>
      <c r="E42" s="201"/>
      <c r="F42" s="169" t="s">
        <v>103</v>
      </c>
      <c r="G42" s="168">
        <v>469309.3099999998</v>
      </c>
      <c r="H42" s="168">
        <v>0</v>
      </c>
      <c r="I42" s="168">
        <v>662</v>
      </c>
      <c r="J42" s="176">
        <v>27074</v>
      </c>
      <c r="K42" s="168">
        <v>4017</v>
      </c>
      <c r="L42" s="298">
        <f t="shared" si="2"/>
        <v>501062.3099999998</v>
      </c>
    </row>
    <row r="43" spans="1:12" ht="30.75">
      <c r="A43" s="161"/>
      <c r="B43" s="310">
        <v>11</v>
      </c>
      <c r="C43" s="311">
        <f t="shared" si="1"/>
        <v>38</v>
      </c>
      <c r="D43" s="201" t="s">
        <v>342</v>
      </c>
      <c r="E43" s="201"/>
      <c r="F43" s="169" t="s">
        <v>103</v>
      </c>
      <c r="G43" s="168">
        <v>1605184.4300000002</v>
      </c>
      <c r="H43" s="168">
        <v>167088.69</v>
      </c>
      <c r="I43" s="168">
        <v>0</v>
      </c>
      <c r="J43" s="176">
        <v>0</v>
      </c>
      <c r="K43" s="168">
        <v>0</v>
      </c>
      <c r="L43" s="298">
        <f t="shared" si="2"/>
        <v>1772273.12</v>
      </c>
    </row>
    <row r="44" spans="1:12" ht="30.75">
      <c r="A44" s="161"/>
      <c r="B44" s="310">
        <v>12</v>
      </c>
      <c r="C44" s="311">
        <f t="shared" si="1"/>
        <v>38</v>
      </c>
      <c r="D44" s="201" t="s">
        <v>343</v>
      </c>
      <c r="E44" s="201"/>
      <c r="F44" s="169" t="s">
        <v>103</v>
      </c>
      <c r="G44" s="168">
        <v>330488.41</v>
      </c>
      <c r="H44" s="168">
        <v>0</v>
      </c>
      <c r="I44" s="168">
        <v>0</v>
      </c>
      <c r="J44" s="176">
        <v>0</v>
      </c>
      <c r="K44" s="168">
        <v>1208780</v>
      </c>
      <c r="L44" s="298">
        <f t="shared" si="2"/>
        <v>1539268.41</v>
      </c>
    </row>
    <row r="45" spans="1:12" ht="30.75">
      <c r="A45" s="161"/>
      <c r="B45" s="310">
        <v>13</v>
      </c>
      <c r="C45" s="311">
        <f t="shared" si="1"/>
        <v>38</v>
      </c>
      <c r="D45" s="201" t="s">
        <v>344</v>
      </c>
      <c r="E45" s="201"/>
      <c r="F45" s="169" t="s">
        <v>103</v>
      </c>
      <c r="G45" s="168">
        <f>0.5*4087326.6</f>
        <v>2043663.3</v>
      </c>
      <c r="H45" s="168">
        <v>0</v>
      </c>
      <c r="I45" s="168">
        <v>110935.5</v>
      </c>
      <c r="J45" s="176">
        <v>0</v>
      </c>
      <c r="K45" s="168">
        <v>769822</v>
      </c>
      <c r="L45" s="298">
        <f t="shared" si="2"/>
        <v>2924420.8</v>
      </c>
    </row>
    <row r="46" spans="1:12" ht="30.75">
      <c r="A46" s="161"/>
      <c r="B46" s="310">
        <v>14</v>
      </c>
      <c r="C46" s="311">
        <f t="shared" si="1"/>
        <v>38</v>
      </c>
      <c r="D46" s="201" t="s">
        <v>344</v>
      </c>
      <c r="E46" s="201"/>
      <c r="F46" s="169" t="s">
        <v>102</v>
      </c>
      <c r="G46" s="168">
        <f>0.5*4087326.6</f>
        <v>2043663.3</v>
      </c>
      <c r="H46" s="168">
        <v>0</v>
      </c>
      <c r="I46" s="168">
        <v>110935.5</v>
      </c>
      <c r="J46" s="176">
        <v>0</v>
      </c>
      <c r="K46" s="168">
        <v>769822</v>
      </c>
      <c r="L46" s="298">
        <f t="shared" si="2"/>
        <v>2924420.8</v>
      </c>
    </row>
    <row r="47" spans="1:12" ht="30.75">
      <c r="A47" s="161"/>
      <c r="B47" s="310">
        <v>15</v>
      </c>
      <c r="C47" s="311">
        <f t="shared" si="1"/>
        <v>38</v>
      </c>
      <c r="D47" s="201" t="s">
        <v>345</v>
      </c>
      <c r="E47" s="201"/>
      <c r="F47" s="169" t="s">
        <v>103</v>
      </c>
      <c r="G47" s="168">
        <f>0.55*1663652.5</f>
        <v>915008.8750000001</v>
      </c>
      <c r="H47" s="168">
        <f>16947.59*0.55</f>
        <v>9321.174500000001</v>
      </c>
      <c r="I47" s="168">
        <v>346464.25</v>
      </c>
      <c r="J47" s="176">
        <v>0</v>
      </c>
      <c r="K47" s="168">
        <v>887577.9</v>
      </c>
      <c r="L47" s="298">
        <f t="shared" si="2"/>
        <v>2158372.1995</v>
      </c>
    </row>
    <row r="48" spans="1:12" ht="30.75">
      <c r="A48" s="161"/>
      <c r="B48" s="310">
        <v>16</v>
      </c>
      <c r="C48" s="311">
        <f t="shared" si="1"/>
        <v>38</v>
      </c>
      <c r="D48" s="201" t="s">
        <v>345</v>
      </c>
      <c r="E48" s="201"/>
      <c r="F48" s="169" t="s">
        <v>102</v>
      </c>
      <c r="G48" s="168">
        <f>0.45*1663652.5</f>
        <v>748643.625</v>
      </c>
      <c r="H48" s="168">
        <f>16947.59*0.45</f>
        <v>7626.4155</v>
      </c>
      <c r="I48" s="168">
        <v>283470.75</v>
      </c>
      <c r="J48" s="176">
        <v>0</v>
      </c>
      <c r="K48" s="168">
        <v>726200.1</v>
      </c>
      <c r="L48" s="298">
        <f t="shared" si="2"/>
        <v>1765940.8905</v>
      </c>
    </row>
    <row r="49" spans="1:12" ht="30.75">
      <c r="A49" s="161"/>
      <c r="B49" s="310">
        <v>17</v>
      </c>
      <c r="C49" s="311">
        <f t="shared" si="1"/>
        <v>38</v>
      </c>
      <c r="D49" s="201" t="s">
        <v>346</v>
      </c>
      <c r="E49" s="201"/>
      <c r="F49" s="169" t="s">
        <v>103</v>
      </c>
      <c r="G49" s="168">
        <f>0.4*310003.97</f>
        <v>124001.58799999999</v>
      </c>
      <c r="H49" s="168">
        <v>0</v>
      </c>
      <c r="I49" s="168">
        <v>0</v>
      </c>
      <c r="J49" s="176">
        <v>0</v>
      </c>
      <c r="K49" s="168">
        <v>0</v>
      </c>
      <c r="L49" s="298">
        <f t="shared" si="2"/>
        <v>124001.58799999999</v>
      </c>
    </row>
    <row r="50" spans="1:12" ht="30.75">
      <c r="A50" s="161"/>
      <c r="B50" s="310">
        <v>18</v>
      </c>
      <c r="C50" s="311">
        <f t="shared" si="1"/>
        <v>38</v>
      </c>
      <c r="D50" s="201" t="s">
        <v>346</v>
      </c>
      <c r="E50" s="201"/>
      <c r="F50" s="169" t="s">
        <v>102</v>
      </c>
      <c r="G50" s="168">
        <f>0.6*310003.97</f>
        <v>186002.38199999998</v>
      </c>
      <c r="H50" s="168">
        <v>0</v>
      </c>
      <c r="I50" s="168">
        <v>0</v>
      </c>
      <c r="J50" s="176">
        <v>0</v>
      </c>
      <c r="K50" s="168">
        <v>0</v>
      </c>
      <c r="L50" s="298">
        <f t="shared" si="2"/>
        <v>186002.38199999998</v>
      </c>
    </row>
    <row r="51" spans="1:12" ht="45.75">
      <c r="A51" s="161"/>
      <c r="B51" s="310">
        <v>19</v>
      </c>
      <c r="C51" s="311">
        <f t="shared" si="1"/>
        <v>38</v>
      </c>
      <c r="D51" s="201" t="s">
        <v>336</v>
      </c>
      <c r="E51" s="201"/>
      <c r="F51" s="169" t="s">
        <v>103</v>
      </c>
      <c r="G51" s="168">
        <f>0.7*171435.12</f>
        <v>120004.58399999999</v>
      </c>
      <c r="H51" s="168">
        <v>0</v>
      </c>
      <c r="I51" s="168">
        <v>0</v>
      </c>
      <c r="J51" s="176">
        <v>0</v>
      </c>
      <c r="K51" s="168">
        <v>0</v>
      </c>
      <c r="L51" s="298">
        <f t="shared" si="2"/>
        <v>120004.58399999999</v>
      </c>
    </row>
    <row r="52" spans="1:12" ht="45.75">
      <c r="A52" s="161"/>
      <c r="B52" s="310">
        <v>20</v>
      </c>
      <c r="C52" s="311">
        <f t="shared" si="1"/>
        <v>38</v>
      </c>
      <c r="D52" s="201" t="s">
        <v>336</v>
      </c>
      <c r="E52" s="201"/>
      <c r="F52" s="169" t="s">
        <v>102</v>
      </c>
      <c r="G52" s="168">
        <f>0.3*171435.12</f>
        <v>51430.536</v>
      </c>
      <c r="H52" s="168">
        <v>0</v>
      </c>
      <c r="I52" s="168">
        <v>0</v>
      </c>
      <c r="J52" s="176">
        <v>0</v>
      </c>
      <c r="K52" s="168">
        <v>0</v>
      </c>
      <c r="L52" s="298">
        <f t="shared" si="2"/>
        <v>51430.536</v>
      </c>
    </row>
    <row r="53" spans="1:12" ht="30.75">
      <c r="A53" s="161"/>
      <c r="B53" s="310">
        <v>21</v>
      </c>
      <c r="C53" s="311">
        <f t="shared" si="1"/>
        <v>38</v>
      </c>
      <c r="D53" s="201" t="s">
        <v>337</v>
      </c>
      <c r="E53" s="201"/>
      <c r="F53" s="169" t="s">
        <v>103</v>
      </c>
      <c r="G53" s="168">
        <f>0.4*952502</f>
        <v>381000.80000000005</v>
      </c>
      <c r="H53" s="168">
        <v>0</v>
      </c>
      <c r="I53" s="168">
        <v>0</v>
      </c>
      <c r="J53" s="176">
        <v>0</v>
      </c>
      <c r="K53" s="168">
        <v>0</v>
      </c>
      <c r="L53" s="298">
        <f t="shared" si="2"/>
        <v>381000.80000000005</v>
      </c>
    </row>
    <row r="54" spans="1:12" ht="30.75">
      <c r="A54" s="161"/>
      <c r="B54" s="310">
        <v>22</v>
      </c>
      <c r="C54" s="311">
        <f t="shared" si="1"/>
        <v>38</v>
      </c>
      <c r="D54" s="201" t="s">
        <v>337</v>
      </c>
      <c r="E54" s="201"/>
      <c r="F54" s="169" t="s">
        <v>102</v>
      </c>
      <c r="G54" s="168">
        <f>0.6*952502</f>
        <v>571501.2</v>
      </c>
      <c r="H54" s="168">
        <v>0</v>
      </c>
      <c r="I54" s="168">
        <v>0</v>
      </c>
      <c r="J54" s="176">
        <v>0</v>
      </c>
      <c r="K54" s="168">
        <v>0</v>
      </c>
      <c r="L54" s="298">
        <f t="shared" si="2"/>
        <v>571501.2</v>
      </c>
    </row>
    <row r="55" spans="1:12" ht="30.75">
      <c r="A55" s="161"/>
      <c r="B55" s="310">
        <v>23</v>
      </c>
      <c r="C55" s="311">
        <f t="shared" si="1"/>
        <v>38</v>
      </c>
      <c r="D55" s="201" t="s">
        <v>338</v>
      </c>
      <c r="E55" s="201"/>
      <c r="F55" s="169" t="s">
        <v>103</v>
      </c>
      <c r="G55" s="168">
        <v>160880.836</v>
      </c>
      <c r="H55" s="168">
        <v>308241.99</v>
      </c>
      <c r="I55" s="168">
        <v>0</v>
      </c>
      <c r="J55" s="176">
        <v>0</v>
      </c>
      <c r="K55" s="168">
        <v>0</v>
      </c>
      <c r="L55" s="298">
        <f t="shared" si="2"/>
        <v>469122.826</v>
      </c>
    </row>
    <row r="56" spans="1:12" ht="45.75">
      <c r="A56" s="161"/>
      <c r="B56" s="310">
        <v>24</v>
      </c>
      <c r="C56" s="311">
        <f t="shared" si="1"/>
        <v>38</v>
      </c>
      <c r="D56" s="201" t="s">
        <v>339</v>
      </c>
      <c r="E56" s="201"/>
      <c r="F56" s="169" t="s">
        <v>103</v>
      </c>
      <c r="G56" s="168">
        <v>428453.39</v>
      </c>
      <c r="H56" s="168">
        <v>0</v>
      </c>
      <c r="I56" s="168">
        <v>0</v>
      </c>
      <c r="J56" s="176">
        <v>0</v>
      </c>
      <c r="K56" s="168">
        <v>0</v>
      </c>
      <c r="L56" s="298">
        <f t="shared" si="2"/>
        <v>428453.39</v>
      </c>
    </row>
    <row r="57" spans="1:12" ht="15.75">
      <c r="A57" s="161"/>
      <c r="B57" s="310">
        <v>25</v>
      </c>
      <c r="C57" s="311">
        <f t="shared" si="1"/>
      </c>
      <c r="D57" s="201"/>
      <c r="E57" s="202"/>
      <c r="F57" s="58"/>
      <c r="G57" s="56"/>
      <c r="H57" s="168"/>
      <c r="I57" s="168"/>
      <c r="J57" s="176"/>
      <c r="K57" s="168"/>
      <c r="L57" s="298">
        <f t="shared" si="2"/>
        <v>0</v>
      </c>
    </row>
    <row r="58" spans="1:12" ht="15.75">
      <c r="A58" s="161"/>
      <c r="B58" s="310">
        <v>26</v>
      </c>
      <c r="C58" s="311">
        <f t="shared" si="1"/>
      </c>
      <c r="D58" s="201"/>
      <c r="E58" s="201"/>
      <c r="F58" s="169"/>
      <c r="G58" s="168"/>
      <c r="H58" s="168"/>
      <c r="I58" s="168"/>
      <c r="J58" s="176"/>
      <c r="K58" s="168"/>
      <c r="L58" s="298">
        <f t="shared" si="2"/>
        <v>0</v>
      </c>
    </row>
    <row r="59" spans="1:12" ht="15.75">
      <c r="A59" s="161"/>
      <c r="B59" s="310">
        <v>27</v>
      </c>
      <c r="C59" s="311">
        <f t="shared" si="1"/>
      </c>
      <c r="D59" s="201"/>
      <c r="E59" s="201"/>
      <c r="F59" s="169"/>
      <c r="G59" s="168"/>
      <c r="H59" s="168"/>
      <c r="I59" s="168"/>
      <c r="J59" s="176"/>
      <c r="K59" s="168"/>
      <c r="L59" s="298">
        <f t="shared" si="2"/>
        <v>0</v>
      </c>
    </row>
    <row r="60" spans="1:12" ht="15.75">
      <c r="A60" s="161"/>
      <c r="B60" s="310">
        <v>28</v>
      </c>
      <c r="C60" s="311">
        <f t="shared" si="1"/>
      </c>
      <c r="D60" s="201"/>
      <c r="E60" s="201"/>
      <c r="F60" s="169"/>
      <c r="G60" s="168"/>
      <c r="H60" s="168"/>
      <c r="I60" s="168"/>
      <c r="J60" s="176"/>
      <c r="K60" s="168"/>
      <c r="L60" s="298">
        <f t="shared" si="2"/>
        <v>0</v>
      </c>
    </row>
    <row r="61" spans="1:12" ht="15.75">
      <c r="A61" s="161"/>
      <c r="B61" s="310">
        <v>29</v>
      </c>
      <c r="C61" s="311">
        <f t="shared" si="1"/>
      </c>
      <c r="D61" s="201"/>
      <c r="E61" s="201"/>
      <c r="F61" s="169"/>
      <c r="G61" s="168"/>
      <c r="H61" s="168"/>
      <c r="I61" s="168"/>
      <c r="J61" s="176"/>
      <c r="K61" s="168"/>
      <c r="L61" s="298">
        <f t="shared" si="2"/>
        <v>0</v>
      </c>
    </row>
    <row r="62" spans="1:12" ht="15.75">
      <c r="A62" s="161"/>
      <c r="B62" s="310">
        <v>30</v>
      </c>
      <c r="C62" s="311">
        <f t="shared" si="1"/>
      </c>
      <c r="D62" s="201"/>
      <c r="E62" s="201"/>
      <c r="F62" s="169"/>
      <c r="G62" s="168"/>
      <c r="H62" s="168"/>
      <c r="I62" s="168"/>
      <c r="J62" s="176"/>
      <c r="K62" s="168"/>
      <c r="L62" s="298">
        <f t="shared" si="2"/>
        <v>0</v>
      </c>
    </row>
    <row r="63" spans="1:12" ht="15.75">
      <c r="A63" s="161"/>
      <c r="B63" s="310">
        <v>31</v>
      </c>
      <c r="C63" s="311">
        <f t="shared" si="1"/>
      </c>
      <c r="D63" s="201"/>
      <c r="E63" s="201"/>
      <c r="F63" s="169"/>
      <c r="G63" s="168"/>
      <c r="H63" s="168"/>
      <c r="I63" s="168"/>
      <c r="J63" s="176"/>
      <c r="K63" s="168"/>
      <c r="L63" s="298">
        <f t="shared" si="2"/>
        <v>0</v>
      </c>
    </row>
    <row r="64" spans="1:12" ht="15.75">
      <c r="A64" s="161"/>
      <c r="B64" s="310">
        <v>32</v>
      </c>
      <c r="C64" s="311">
        <f t="shared" si="1"/>
      </c>
      <c r="D64" s="201"/>
      <c r="E64" s="201"/>
      <c r="F64" s="169"/>
      <c r="G64" s="168"/>
      <c r="H64" s="168"/>
      <c r="I64" s="168"/>
      <c r="J64" s="176"/>
      <c r="K64" s="168"/>
      <c r="L64" s="298">
        <f t="shared" si="2"/>
        <v>0</v>
      </c>
    </row>
    <row r="65" spans="1:12" ht="15.75">
      <c r="A65" s="161"/>
      <c r="B65" s="310">
        <v>33</v>
      </c>
      <c r="C65" s="311">
        <f aca="true" t="shared" si="3" ref="C65:C96">IF(L65&lt;&gt;0,VLOOKUP($D$7,Info_County_Code,2,FALSE),"")</f>
      </c>
      <c r="D65" s="201"/>
      <c r="E65" s="201"/>
      <c r="F65" s="169"/>
      <c r="G65" s="168"/>
      <c r="H65" s="168"/>
      <c r="I65" s="168"/>
      <c r="J65" s="176"/>
      <c r="K65" s="168"/>
      <c r="L65" s="298">
        <f t="shared" si="2"/>
        <v>0</v>
      </c>
    </row>
    <row r="66" spans="1:12" ht="15.75">
      <c r="A66" s="161"/>
      <c r="B66" s="310">
        <v>34</v>
      </c>
      <c r="C66" s="311">
        <f t="shared" si="3"/>
      </c>
      <c r="D66" s="201"/>
      <c r="E66" s="201"/>
      <c r="F66" s="169"/>
      <c r="G66" s="168"/>
      <c r="H66" s="168"/>
      <c r="I66" s="168"/>
      <c r="J66" s="176"/>
      <c r="K66" s="168"/>
      <c r="L66" s="298">
        <f t="shared" si="2"/>
        <v>0</v>
      </c>
    </row>
    <row r="67" spans="1:12" ht="15.75">
      <c r="A67" s="161"/>
      <c r="B67" s="310">
        <v>35</v>
      </c>
      <c r="C67" s="311">
        <f t="shared" si="3"/>
      </c>
      <c r="D67" s="201"/>
      <c r="E67" s="201"/>
      <c r="F67" s="169"/>
      <c r="G67" s="168"/>
      <c r="H67" s="168"/>
      <c r="I67" s="168"/>
      <c r="J67" s="176"/>
      <c r="K67" s="168"/>
      <c r="L67" s="298">
        <f t="shared" si="2"/>
        <v>0</v>
      </c>
    </row>
    <row r="68" spans="1:12" ht="15.75">
      <c r="A68" s="161"/>
      <c r="B68" s="310">
        <v>36</v>
      </c>
      <c r="C68" s="311">
        <f t="shared" si="3"/>
      </c>
      <c r="D68" s="201"/>
      <c r="E68" s="201"/>
      <c r="F68" s="169"/>
      <c r="G68" s="168"/>
      <c r="H68" s="168"/>
      <c r="I68" s="168"/>
      <c r="J68" s="176"/>
      <c r="K68" s="168"/>
      <c r="L68" s="298">
        <f t="shared" si="2"/>
        <v>0</v>
      </c>
    </row>
    <row r="69" spans="1:12" ht="15.75">
      <c r="A69" s="161"/>
      <c r="B69" s="310">
        <v>37</v>
      </c>
      <c r="C69" s="311">
        <f t="shared" si="3"/>
      </c>
      <c r="D69" s="201"/>
      <c r="E69" s="201"/>
      <c r="F69" s="169"/>
      <c r="G69" s="168"/>
      <c r="H69" s="168"/>
      <c r="I69" s="168"/>
      <c r="J69" s="176"/>
      <c r="K69" s="168"/>
      <c r="L69" s="298">
        <f t="shared" si="2"/>
        <v>0</v>
      </c>
    </row>
    <row r="70" spans="1:12" ht="15.75">
      <c r="A70" s="161"/>
      <c r="B70" s="310">
        <v>38</v>
      </c>
      <c r="C70" s="311">
        <f t="shared" si="3"/>
      </c>
      <c r="D70" s="201"/>
      <c r="E70" s="201"/>
      <c r="F70" s="169"/>
      <c r="G70" s="168"/>
      <c r="H70" s="168"/>
      <c r="I70" s="168"/>
      <c r="J70" s="176"/>
      <c r="K70" s="168"/>
      <c r="L70" s="298">
        <f t="shared" si="2"/>
        <v>0</v>
      </c>
    </row>
    <row r="71" spans="1:12" ht="15.75">
      <c r="A71" s="161"/>
      <c r="B71" s="310">
        <v>39</v>
      </c>
      <c r="C71" s="311">
        <f t="shared" si="3"/>
      </c>
      <c r="D71" s="201"/>
      <c r="E71" s="201"/>
      <c r="F71" s="169"/>
      <c r="G71" s="168"/>
      <c r="H71" s="168"/>
      <c r="I71" s="168"/>
      <c r="J71" s="176"/>
      <c r="K71" s="168"/>
      <c r="L71" s="298">
        <f t="shared" si="2"/>
        <v>0</v>
      </c>
    </row>
    <row r="72" spans="1:12" ht="15.75">
      <c r="A72" s="161"/>
      <c r="B72" s="310">
        <v>40</v>
      </c>
      <c r="C72" s="311">
        <f t="shared" si="3"/>
      </c>
      <c r="D72" s="201"/>
      <c r="E72" s="201"/>
      <c r="F72" s="169"/>
      <c r="G72" s="168"/>
      <c r="H72" s="168"/>
      <c r="I72" s="168"/>
      <c r="J72" s="176"/>
      <c r="K72" s="168"/>
      <c r="L72" s="298">
        <f t="shared" si="2"/>
        <v>0</v>
      </c>
    </row>
    <row r="73" spans="1:12" ht="15.75">
      <c r="A73" s="161"/>
      <c r="B73" s="310">
        <v>41</v>
      </c>
      <c r="C73" s="311">
        <f t="shared" si="3"/>
      </c>
      <c r="D73" s="201"/>
      <c r="E73" s="201"/>
      <c r="F73" s="169"/>
      <c r="G73" s="168"/>
      <c r="H73" s="168"/>
      <c r="I73" s="168"/>
      <c r="J73" s="176"/>
      <c r="K73" s="168"/>
      <c r="L73" s="298">
        <f t="shared" si="2"/>
        <v>0</v>
      </c>
    </row>
    <row r="74" spans="1:12" ht="15.75">
      <c r="A74" s="161"/>
      <c r="B74" s="310">
        <v>42</v>
      </c>
      <c r="C74" s="311">
        <f t="shared" si="3"/>
      </c>
      <c r="D74" s="201"/>
      <c r="E74" s="201"/>
      <c r="F74" s="169"/>
      <c r="G74" s="168"/>
      <c r="H74" s="168"/>
      <c r="I74" s="168"/>
      <c r="J74" s="176"/>
      <c r="K74" s="168"/>
      <c r="L74" s="298">
        <f t="shared" si="2"/>
        <v>0</v>
      </c>
    </row>
    <row r="75" spans="1:12" ht="15.75">
      <c r="A75" s="161"/>
      <c r="B75" s="310">
        <v>43</v>
      </c>
      <c r="C75" s="311">
        <f t="shared" si="3"/>
      </c>
      <c r="D75" s="201"/>
      <c r="E75" s="201"/>
      <c r="F75" s="169"/>
      <c r="G75" s="168"/>
      <c r="H75" s="168"/>
      <c r="I75" s="168"/>
      <c r="J75" s="176"/>
      <c r="K75" s="168"/>
      <c r="L75" s="298">
        <f t="shared" si="2"/>
        <v>0</v>
      </c>
    </row>
    <row r="76" spans="1:12" ht="15.75">
      <c r="A76" s="161"/>
      <c r="B76" s="310">
        <v>44</v>
      </c>
      <c r="C76" s="311">
        <f t="shared" si="3"/>
      </c>
      <c r="D76" s="201"/>
      <c r="E76" s="201"/>
      <c r="F76" s="169"/>
      <c r="G76" s="168"/>
      <c r="H76" s="168"/>
      <c r="I76" s="168"/>
      <c r="J76" s="176"/>
      <c r="K76" s="168"/>
      <c r="L76" s="298">
        <f t="shared" si="2"/>
        <v>0</v>
      </c>
    </row>
    <row r="77" spans="1:12" ht="15.75">
      <c r="A77" s="161"/>
      <c r="B77" s="310">
        <v>45</v>
      </c>
      <c r="C77" s="311">
        <f t="shared" si="3"/>
      </c>
      <c r="D77" s="201"/>
      <c r="E77" s="201"/>
      <c r="F77" s="169"/>
      <c r="G77" s="168"/>
      <c r="H77" s="168"/>
      <c r="I77" s="168"/>
      <c r="J77" s="176"/>
      <c r="K77" s="168"/>
      <c r="L77" s="298">
        <f>SUM(G77:K77)</f>
        <v>0</v>
      </c>
    </row>
    <row r="78" spans="1:12" ht="15.75">
      <c r="A78" s="161"/>
      <c r="B78" s="310">
        <v>46</v>
      </c>
      <c r="C78" s="311">
        <f t="shared" si="3"/>
      </c>
      <c r="D78" s="201"/>
      <c r="E78" s="201"/>
      <c r="F78" s="169"/>
      <c r="G78" s="168"/>
      <c r="H78" s="168"/>
      <c r="I78" s="168"/>
      <c r="J78" s="176"/>
      <c r="K78" s="168"/>
      <c r="L78" s="298">
        <f t="shared" si="2"/>
        <v>0</v>
      </c>
    </row>
    <row r="79" spans="1:12" ht="15.75">
      <c r="A79" s="161"/>
      <c r="B79" s="310">
        <v>47</v>
      </c>
      <c r="C79" s="311">
        <f t="shared" si="3"/>
      </c>
      <c r="D79" s="201"/>
      <c r="E79" s="201"/>
      <c r="F79" s="169"/>
      <c r="G79" s="168"/>
      <c r="H79" s="168"/>
      <c r="I79" s="168"/>
      <c r="J79" s="176"/>
      <c r="K79" s="168"/>
      <c r="L79" s="298">
        <f t="shared" si="2"/>
        <v>0</v>
      </c>
    </row>
    <row r="80" spans="1:12" ht="15.75">
      <c r="A80" s="161"/>
      <c r="B80" s="310">
        <v>48</v>
      </c>
      <c r="C80" s="311">
        <f t="shared" si="3"/>
      </c>
      <c r="D80" s="201"/>
      <c r="E80" s="201"/>
      <c r="F80" s="169"/>
      <c r="G80" s="168"/>
      <c r="H80" s="168"/>
      <c r="I80" s="168"/>
      <c r="J80" s="176"/>
      <c r="K80" s="168"/>
      <c r="L80" s="298">
        <f t="shared" si="2"/>
        <v>0</v>
      </c>
    </row>
    <row r="81" spans="1:12" ht="15.75">
      <c r="A81" s="161"/>
      <c r="B81" s="310">
        <v>49</v>
      </c>
      <c r="C81" s="311">
        <f t="shared" si="3"/>
      </c>
      <c r="D81" s="201"/>
      <c r="E81" s="201"/>
      <c r="F81" s="169"/>
      <c r="G81" s="168"/>
      <c r="H81" s="168"/>
      <c r="I81" s="168"/>
      <c r="J81" s="176"/>
      <c r="K81" s="168"/>
      <c r="L81" s="298">
        <f t="shared" si="2"/>
        <v>0</v>
      </c>
    </row>
    <row r="82" spans="1:12" ht="15.75">
      <c r="A82" s="161"/>
      <c r="B82" s="310">
        <v>50</v>
      </c>
      <c r="C82" s="311">
        <f t="shared" si="3"/>
      </c>
      <c r="D82" s="203"/>
      <c r="E82" s="203"/>
      <c r="F82" s="169"/>
      <c r="G82" s="168"/>
      <c r="H82" s="168"/>
      <c r="I82" s="168"/>
      <c r="J82" s="176"/>
      <c r="K82" s="168"/>
      <c r="L82" s="298">
        <f t="shared" si="2"/>
        <v>0</v>
      </c>
    </row>
    <row r="83" spans="1:12" ht="15.75">
      <c r="A83" s="161"/>
      <c r="B83" s="310">
        <v>51</v>
      </c>
      <c r="C83" s="311">
        <f t="shared" si="3"/>
      </c>
      <c r="D83" s="186"/>
      <c r="E83" s="186"/>
      <c r="F83" s="169"/>
      <c r="G83" s="168"/>
      <c r="H83" s="168"/>
      <c r="I83" s="168"/>
      <c r="J83" s="176"/>
      <c r="K83" s="168"/>
      <c r="L83" s="298">
        <f t="shared" si="2"/>
        <v>0</v>
      </c>
    </row>
    <row r="84" spans="1:12" ht="15.75">
      <c r="A84" s="161"/>
      <c r="B84" s="310">
        <v>52</v>
      </c>
      <c r="C84" s="311">
        <f t="shared" si="3"/>
      </c>
      <c r="D84" s="186"/>
      <c r="E84" s="186"/>
      <c r="F84" s="169"/>
      <c r="G84" s="168"/>
      <c r="H84" s="168"/>
      <c r="I84" s="168"/>
      <c r="J84" s="176"/>
      <c r="K84" s="168"/>
      <c r="L84" s="298">
        <f t="shared" si="2"/>
        <v>0</v>
      </c>
    </row>
    <row r="85" spans="1:12" ht="15.75">
      <c r="A85" s="161"/>
      <c r="B85" s="310">
        <v>53</v>
      </c>
      <c r="C85" s="311">
        <f t="shared" si="3"/>
      </c>
      <c r="D85" s="186"/>
      <c r="E85" s="186"/>
      <c r="F85" s="169"/>
      <c r="G85" s="168"/>
      <c r="H85" s="168"/>
      <c r="I85" s="168"/>
      <c r="J85" s="176"/>
      <c r="K85" s="168"/>
      <c r="L85" s="298">
        <f t="shared" si="2"/>
        <v>0</v>
      </c>
    </row>
    <row r="86" spans="1:12" ht="15.75">
      <c r="A86" s="161"/>
      <c r="B86" s="310">
        <v>54</v>
      </c>
      <c r="C86" s="311">
        <f t="shared" si="3"/>
      </c>
      <c r="D86" s="186"/>
      <c r="E86" s="186"/>
      <c r="F86" s="169"/>
      <c r="G86" s="168"/>
      <c r="H86" s="168"/>
      <c r="I86" s="168"/>
      <c r="J86" s="176"/>
      <c r="K86" s="168"/>
      <c r="L86" s="298">
        <f t="shared" si="2"/>
        <v>0</v>
      </c>
    </row>
    <row r="87" spans="1:12" ht="15.75">
      <c r="A87" s="161"/>
      <c r="B87" s="310">
        <v>55</v>
      </c>
      <c r="C87" s="311">
        <f t="shared" si="3"/>
      </c>
      <c r="D87" s="186"/>
      <c r="E87" s="186"/>
      <c r="F87" s="169"/>
      <c r="G87" s="168"/>
      <c r="H87" s="168"/>
      <c r="I87" s="168"/>
      <c r="J87" s="176"/>
      <c r="K87" s="168"/>
      <c r="L87" s="298">
        <f t="shared" si="2"/>
        <v>0</v>
      </c>
    </row>
    <row r="88" spans="1:12" ht="15.75">
      <c r="A88" s="161"/>
      <c r="B88" s="310">
        <v>56</v>
      </c>
      <c r="C88" s="311">
        <f t="shared" si="3"/>
      </c>
      <c r="D88" s="186"/>
      <c r="E88" s="186"/>
      <c r="F88" s="169"/>
      <c r="G88" s="168"/>
      <c r="H88" s="168"/>
      <c r="I88" s="168"/>
      <c r="J88" s="176"/>
      <c r="K88" s="168"/>
      <c r="L88" s="298">
        <f t="shared" si="2"/>
        <v>0</v>
      </c>
    </row>
    <row r="89" spans="1:12" ht="15.75">
      <c r="A89" s="161"/>
      <c r="B89" s="310">
        <v>57</v>
      </c>
      <c r="C89" s="311">
        <f t="shared" si="3"/>
      </c>
      <c r="D89" s="186"/>
      <c r="E89" s="186"/>
      <c r="F89" s="169"/>
      <c r="G89" s="168"/>
      <c r="H89" s="168"/>
      <c r="I89" s="168"/>
      <c r="J89" s="176"/>
      <c r="K89" s="168"/>
      <c r="L89" s="298">
        <f t="shared" si="2"/>
        <v>0</v>
      </c>
    </row>
    <row r="90" spans="1:12" ht="15.75">
      <c r="A90" s="161"/>
      <c r="B90" s="310">
        <v>58</v>
      </c>
      <c r="C90" s="311">
        <f t="shared" si="3"/>
      </c>
      <c r="D90" s="186"/>
      <c r="E90" s="186"/>
      <c r="F90" s="169"/>
      <c r="G90" s="168"/>
      <c r="H90" s="168"/>
      <c r="I90" s="168"/>
      <c r="J90" s="176"/>
      <c r="K90" s="168"/>
      <c r="L90" s="298">
        <f t="shared" si="2"/>
        <v>0</v>
      </c>
    </row>
    <row r="91" spans="1:12" ht="15.75">
      <c r="A91" s="161"/>
      <c r="B91" s="310">
        <v>59</v>
      </c>
      <c r="C91" s="311">
        <f t="shared" si="3"/>
      </c>
      <c r="D91" s="186"/>
      <c r="E91" s="186"/>
      <c r="F91" s="169"/>
      <c r="G91" s="168"/>
      <c r="H91" s="168"/>
      <c r="I91" s="168"/>
      <c r="J91" s="176"/>
      <c r="K91" s="168"/>
      <c r="L91" s="298">
        <f t="shared" si="2"/>
        <v>0</v>
      </c>
    </row>
    <row r="92" spans="1:12" ht="15.75">
      <c r="A92" s="161"/>
      <c r="B92" s="310">
        <v>60</v>
      </c>
      <c r="C92" s="311">
        <f t="shared" si="3"/>
      </c>
      <c r="D92" s="186"/>
      <c r="E92" s="186"/>
      <c r="F92" s="169"/>
      <c r="G92" s="168"/>
      <c r="H92" s="168"/>
      <c r="I92" s="168"/>
      <c r="J92" s="176"/>
      <c r="K92" s="168"/>
      <c r="L92" s="298">
        <f t="shared" si="2"/>
        <v>0</v>
      </c>
    </row>
    <row r="93" spans="1:12" ht="15.75">
      <c r="A93" s="161"/>
      <c r="B93" s="310">
        <v>61</v>
      </c>
      <c r="C93" s="311">
        <f t="shared" si="3"/>
      </c>
      <c r="D93" s="186"/>
      <c r="E93" s="186"/>
      <c r="F93" s="169"/>
      <c r="G93" s="168"/>
      <c r="H93" s="168"/>
      <c r="I93" s="168"/>
      <c r="J93" s="176"/>
      <c r="K93" s="168"/>
      <c r="L93" s="298">
        <f t="shared" si="2"/>
        <v>0</v>
      </c>
    </row>
    <row r="94" spans="1:12" ht="15.75">
      <c r="A94" s="161"/>
      <c r="B94" s="310">
        <v>62</v>
      </c>
      <c r="C94" s="311">
        <f t="shared" si="3"/>
      </c>
      <c r="D94" s="186"/>
      <c r="E94" s="186"/>
      <c r="F94" s="169"/>
      <c r="G94" s="168"/>
      <c r="H94" s="168"/>
      <c r="I94" s="168"/>
      <c r="J94" s="176"/>
      <c r="K94" s="168"/>
      <c r="L94" s="298">
        <f t="shared" si="2"/>
        <v>0</v>
      </c>
    </row>
    <row r="95" spans="1:12" ht="15.75">
      <c r="A95" s="161"/>
      <c r="B95" s="310">
        <v>63</v>
      </c>
      <c r="C95" s="311">
        <f t="shared" si="3"/>
      </c>
      <c r="D95" s="186"/>
      <c r="E95" s="186"/>
      <c r="F95" s="169"/>
      <c r="G95" s="168"/>
      <c r="H95" s="168"/>
      <c r="I95" s="168"/>
      <c r="J95" s="176"/>
      <c r="K95" s="168"/>
      <c r="L95" s="298">
        <f t="shared" si="2"/>
        <v>0</v>
      </c>
    </row>
    <row r="96" spans="1:12" ht="15.75">
      <c r="A96" s="161"/>
      <c r="B96" s="310">
        <v>64</v>
      </c>
      <c r="C96" s="311">
        <f t="shared" si="3"/>
      </c>
      <c r="D96" s="186"/>
      <c r="E96" s="186"/>
      <c r="F96" s="169"/>
      <c r="G96" s="168"/>
      <c r="H96" s="168"/>
      <c r="I96" s="168"/>
      <c r="J96" s="176"/>
      <c r="K96" s="168"/>
      <c r="L96" s="298">
        <f t="shared" si="2"/>
        <v>0</v>
      </c>
    </row>
    <row r="97" spans="1:12" ht="15.75">
      <c r="A97" s="161"/>
      <c r="B97" s="310">
        <v>65</v>
      </c>
      <c r="C97" s="311">
        <f aca="true" t="shared" si="4" ref="C97:C132">IF(L97&lt;&gt;0,VLOOKUP($D$7,Info_County_Code,2,FALSE),"")</f>
      </c>
      <c r="D97" s="186"/>
      <c r="E97" s="186"/>
      <c r="F97" s="169"/>
      <c r="G97" s="168"/>
      <c r="H97" s="168"/>
      <c r="I97" s="168"/>
      <c r="J97" s="176"/>
      <c r="K97" s="168"/>
      <c r="L97" s="298">
        <f t="shared" si="2"/>
        <v>0</v>
      </c>
    </row>
    <row r="98" spans="1:12" ht="15.75">
      <c r="A98" s="161"/>
      <c r="B98" s="310">
        <v>66</v>
      </c>
      <c r="C98" s="311">
        <f t="shared" si="4"/>
      </c>
      <c r="D98" s="186"/>
      <c r="E98" s="186"/>
      <c r="F98" s="169"/>
      <c r="G98" s="168"/>
      <c r="H98" s="168"/>
      <c r="I98" s="168"/>
      <c r="J98" s="176"/>
      <c r="K98" s="168"/>
      <c r="L98" s="298">
        <f aca="true" t="shared" si="5" ref="L98:L109">SUM(G98:K98)</f>
        <v>0</v>
      </c>
    </row>
    <row r="99" spans="1:12" ht="15.75">
      <c r="A99" s="161"/>
      <c r="B99" s="310">
        <v>67</v>
      </c>
      <c r="C99" s="311">
        <f t="shared" si="4"/>
      </c>
      <c r="D99" s="186"/>
      <c r="E99" s="186"/>
      <c r="F99" s="169"/>
      <c r="G99" s="168"/>
      <c r="H99" s="168"/>
      <c r="I99" s="168"/>
      <c r="J99" s="176"/>
      <c r="K99" s="168"/>
      <c r="L99" s="298">
        <f t="shared" si="5"/>
        <v>0</v>
      </c>
    </row>
    <row r="100" spans="1:12" ht="15.75">
      <c r="A100" s="161"/>
      <c r="B100" s="310">
        <v>68</v>
      </c>
      <c r="C100" s="311">
        <f t="shared" si="4"/>
      </c>
      <c r="D100" s="186"/>
      <c r="E100" s="186"/>
      <c r="F100" s="169"/>
      <c r="G100" s="168"/>
      <c r="H100" s="168"/>
      <c r="I100" s="168"/>
      <c r="J100" s="176"/>
      <c r="K100" s="168"/>
      <c r="L100" s="298">
        <f t="shared" si="5"/>
        <v>0</v>
      </c>
    </row>
    <row r="101" spans="1:12" ht="15.75">
      <c r="A101" s="161"/>
      <c r="B101" s="310">
        <v>69</v>
      </c>
      <c r="C101" s="311">
        <f t="shared" si="4"/>
      </c>
      <c r="D101" s="186"/>
      <c r="E101" s="186"/>
      <c r="F101" s="169"/>
      <c r="G101" s="168"/>
      <c r="H101" s="168"/>
      <c r="I101" s="168"/>
      <c r="J101" s="176"/>
      <c r="K101" s="168"/>
      <c r="L101" s="298">
        <f t="shared" si="5"/>
        <v>0</v>
      </c>
    </row>
    <row r="102" spans="1:12" ht="15.75">
      <c r="A102" s="161"/>
      <c r="B102" s="310">
        <v>70</v>
      </c>
      <c r="C102" s="311">
        <f t="shared" si="4"/>
      </c>
      <c r="D102" s="186"/>
      <c r="E102" s="186"/>
      <c r="F102" s="169"/>
      <c r="G102" s="168"/>
      <c r="H102" s="168"/>
      <c r="I102" s="168"/>
      <c r="J102" s="176"/>
      <c r="K102" s="168"/>
      <c r="L102" s="298">
        <f t="shared" si="5"/>
        <v>0</v>
      </c>
    </row>
    <row r="103" spans="1:12" ht="15.75">
      <c r="A103" s="161"/>
      <c r="B103" s="310">
        <v>71</v>
      </c>
      <c r="C103" s="311">
        <f t="shared" si="4"/>
      </c>
      <c r="D103" s="186"/>
      <c r="E103" s="186"/>
      <c r="F103" s="169"/>
      <c r="G103" s="168"/>
      <c r="H103" s="168"/>
      <c r="I103" s="168"/>
      <c r="J103" s="176"/>
      <c r="K103" s="168"/>
      <c r="L103" s="298">
        <f t="shared" si="5"/>
        <v>0</v>
      </c>
    </row>
    <row r="104" spans="1:12" ht="15.75">
      <c r="A104" s="161"/>
      <c r="B104" s="310">
        <v>72</v>
      </c>
      <c r="C104" s="311">
        <f t="shared" si="4"/>
      </c>
      <c r="D104" s="186"/>
      <c r="E104" s="186"/>
      <c r="F104" s="169"/>
      <c r="G104" s="168"/>
      <c r="H104" s="168"/>
      <c r="I104" s="168"/>
      <c r="J104" s="176"/>
      <c r="K104" s="168"/>
      <c r="L104" s="298">
        <f t="shared" si="5"/>
        <v>0</v>
      </c>
    </row>
    <row r="105" spans="1:12" ht="15.75">
      <c r="A105" s="161"/>
      <c r="B105" s="310">
        <v>73</v>
      </c>
      <c r="C105" s="311">
        <f t="shared" si="4"/>
      </c>
      <c r="D105" s="186"/>
      <c r="E105" s="186"/>
      <c r="F105" s="169"/>
      <c r="G105" s="168"/>
      <c r="H105" s="168"/>
      <c r="I105" s="168"/>
      <c r="J105" s="176"/>
      <c r="K105" s="168"/>
      <c r="L105" s="298">
        <f t="shared" si="5"/>
        <v>0</v>
      </c>
    </row>
    <row r="106" spans="1:12" ht="15.75">
      <c r="A106" s="161"/>
      <c r="B106" s="310">
        <v>74</v>
      </c>
      <c r="C106" s="311">
        <f t="shared" si="4"/>
      </c>
      <c r="D106" s="186"/>
      <c r="E106" s="186"/>
      <c r="F106" s="169"/>
      <c r="G106" s="168"/>
      <c r="H106" s="168"/>
      <c r="I106" s="168"/>
      <c r="J106" s="176"/>
      <c r="K106" s="168"/>
      <c r="L106" s="298">
        <f t="shared" si="5"/>
        <v>0</v>
      </c>
    </row>
    <row r="107" spans="1:12" ht="15.75">
      <c r="A107" s="161"/>
      <c r="B107" s="310">
        <v>75</v>
      </c>
      <c r="C107" s="311">
        <f t="shared" si="4"/>
      </c>
      <c r="D107" s="186"/>
      <c r="E107" s="186"/>
      <c r="F107" s="169"/>
      <c r="G107" s="168"/>
      <c r="H107" s="168"/>
      <c r="I107" s="168"/>
      <c r="J107" s="176"/>
      <c r="K107" s="168"/>
      <c r="L107" s="298">
        <f t="shared" si="5"/>
        <v>0</v>
      </c>
    </row>
    <row r="108" spans="1:12" ht="15.75">
      <c r="A108" s="161"/>
      <c r="B108" s="310">
        <v>76</v>
      </c>
      <c r="C108" s="311">
        <f t="shared" si="4"/>
      </c>
      <c r="D108" s="186"/>
      <c r="E108" s="186"/>
      <c r="F108" s="169"/>
      <c r="G108" s="168"/>
      <c r="H108" s="168"/>
      <c r="I108" s="168"/>
      <c r="J108" s="176"/>
      <c r="K108" s="168"/>
      <c r="L108" s="298">
        <f t="shared" si="5"/>
        <v>0</v>
      </c>
    </row>
    <row r="109" spans="1:12" ht="15.75">
      <c r="A109" s="161"/>
      <c r="B109" s="310">
        <v>77</v>
      </c>
      <c r="C109" s="311">
        <f t="shared" si="4"/>
      </c>
      <c r="D109" s="186"/>
      <c r="E109" s="186"/>
      <c r="F109" s="169"/>
      <c r="G109" s="168"/>
      <c r="H109" s="168"/>
      <c r="I109" s="168"/>
      <c r="J109" s="176"/>
      <c r="K109" s="168"/>
      <c r="L109" s="298">
        <f t="shared" si="5"/>
        <v>0</v>
      </c>
    </row>
    <row r="110" spans="1:12" ht="15.75">
      <c r="A110" s="161"/>
      <c r="B110" s="310">
        <v>78</v>
      </c>
      <c r="C110" s="311">
        <f t="shared" si="4"/>
      </c>
      <c r="D110" s="186"/>
      <c r="E110" s="186"/>
      <c r="F110" s="169"/>
      <c r="G110" s="168"/>
      <c r="H110" s="168"/>
      <c r="I110" s="168"/>
      <c r="J110" s="176"/>
      <c r="K110" s="168"/>
      <c r="L110" s="298">
        <f>SUM(G110:K110)</f>
        <v>0</v>
      </c>
    </row>
    <row r="111" spans="1:12" ht="15.75">
      <c r="A111" s="161"/>
      <c r="B111" s="310">
        <v>79</v>
      </c>
      <c r="C111" s="311">
        <f t="shared" si="4"/>
      </c>
      <c r="D111" s="186"/>
      <c r="E111" s="186"/>
      <c r="F111" s="169"/>
      <c r="G111" s="168"/>
      <c r="H111" s="168"/>
      <c r="I111" s="168"/>
      <c r="J111" s="176"/>
      <c r="K111" s="168"/>
      <c r="L111" s="298">
        <f aca="true" t="shared" si="6" ref="L111:L119">SUM(G111:K111)</f>
        <v>0</v>
      </c>
    </row>
    <row r="112" spans="1:12" ht="15.75">
      <c r="A112" s="161"/>
      <c r="B112" s="310">
        <v>80</v>
      </c>
      <c r="C112" s="311">
        <f t="shared" si="4"/>
      </c>
      <c r="D112" s="186"/>
      <c r="E112" s="186"/>
      <c r="F112" s="169"/>
      <c r="G112" s="168"/>
      <c r="H112" s="168"/>
      <c r="I112" s="168"/>
      <c r="J112" s="176"/>
      <c r="K112" s="168"/>
      <c r="L112" s="298">
        <f t="shared" si="6"/>
        <v>0</v>
      </c>
    </row>
    <row r="113" spans="1:12" ht="15.75">
      <c r="A113" s="161"/>
      <c r="B113" s="310">
        <v>81</v>
      </c>
      <c r="C113" s="311">
        <f t="shared" si="4"/>
      </c>
      <c r="D113" s="186"/>
      <c r="E113" s="186"/>
      <c r="F113" s="169"/>
      <c r="G113" s="168"/>
      <c r="H113" s="168"/>
      <c r="I113" s="168"/>
      <c r="J113" s="176"/>
      <c r="K113" s="168"/>
      <c r="L113" s="298">
        <f t="shared" si="6"/>
        <v>0</v>
      </c>
    </row>
    <row r="114" spans="1:12" ht="15.75">
      <c r="A114" s="161"/>
      <c r="B114" s="310">
        <v>82</v>
      </c>
      <c r="C114" s="311">
        <f t="shared" si="4"/>
      </c>
      <c r="D114" s="186"/>
      <c r="E114" s="186"/>
      <c r="F114" s="169"/>
      <c r="G114" s="168"/>
      <c r="H114" s="168"/>
      <c r="I114" s="168"/>
      <c r="J114" s="176"/>
      <c r="K114" s="168"/>
      <c r="L114" s="298">
        <f t="shared" si="6"/>
        <v>0</v>
      </c>
    </row>
    <row r="115" spans="1:12" ht="15.75">
      <c r="A115" s="161"/>
      <c r="B115" s="310">
        <v>83</v>
      </c>
      <c r="C115" s="311">
        <f t="shared" si="4"/>
      </c>
      <c r="D115" s="186"/>
      <c r="E115" s="186"/>
      <c r="F115" s="169"/>
      <c r="G115" s="168"/>
      <c r="H115" s="168"/>
      <c r="I115" s="168"/>
      <c r="J115" s="176"/>
      <c r="K115" s="168"/>
      <c r="L115" s="298">
        <f t="shared" si="6"/>
        <v>0</v>
      </c>
    </row>
    <row r="116" spans="1:12" ht="15.75">
      <c r="A116" s="161"/>
      <c r="B116" s="310">
        <v>84</v>
      </c>
      <c r="C116" s="311">
        <f t="shared" si="4"/>
      </c>
      <c r="D116" s="186"/>
      <c r="E116" s="186"/>
      <c r="F116" s="169"/>
      <c r="G116" s="168"/>
      <c r="H116" s="168"/>
      <c r="I116" s="168"/>
      <c r="J116" s="176"/>
      <c r="K116" s="168"/>
      <c r="L116" s="298">
        <f t="shared" si="6"/>
        <v>0</v>
      </c>
    </row>
    <row r="117" spans="1:12" ht="15.75">
      <c r="A117" s="161"/>
      <c r="B117" s="310">
        <v>85</v>
      </c>
      <c r="C117" s="311">
        <f t="shared" si="4"/>
      </c>
      <c r="D117" s="186"/>
      <c r="E117" s="186"/>
      <c r="F117" s="169"/>
      <c r="G117" s="168"/>
      <c r="H117" s="168"/>
      <c r="I117" s="168"/>
      <c r="J117" s="176"/>
      <c r="K117" s="168"/>
      <c r="L117" s="298">
        <f t="shared" si="6"/>
        <v>0</v>
      </c>
    </row>
    <row r="118" spans="1:12" ht="15.75">
      <c r="A118" s="161"/>
      <c r="B118" s="310">
        <v>86</v>
      </c>
      <c r="C118" s="311">
        <f t="shared" si="4"/>
      </c>
      <c r="D118" s="186"/>
      <c r="E118" s="186"/>
      <c r="F118" s="169"/>
      <c r="G118" s="168"/>
      <c r="H118" s="168"/>
      <c r="I118" s="168"/>
      <c r="J118" s="176"/>
      <c r="K118" s="168"/>
      <c r="L118" s="298">
        <f t="shared" si="6"/>
        <v>0</v>
      </c>
    </row>
    <row r="119" spans="1:12" ht="15.75">
      <c r="A119" s="161"/>
      <c r="B119" s="310">
        <v>87</v>
      </c>
      <c r="C119" s="311">
        <f t="shared" si="4"/>
      </c>
      <c r="D119" s="186"/>
      <c r="E119" s="186"/>
      <c r="F119" s="169"/>
      <c r="G119" s="168"/>
      <c r="H119" s="168"/>
      <c r="I119" s="168"/>
      <c r="J119" s="176"/>
      <c r="K119" s="168"/>
      <c r="L119" s="298">
        <f t="shared" si="6"/>
        <v>0</v>
      </c>
    </row>
    <row r="120" spans="1:12" ht="15.75">
      <c r="A120" s="161"/>
      <c r="B120" s="310">
        <v>88</v>
      </c>
      <c r="C120" s="311">
        <f t="shared" si="4"/>
      </c>
      <c r="D120" s="186"/>
      <c r="E120" s="186"/>
      <c r="F120" s="169"/>
      <c r="G120" s="168"/>
      <c r="H120" s="168"/>
      <c r="I120" s="168"/>
      <c r="J120" s="176"/>
      <c r="K120" s="168"/>
      <c r="L120" s="298">
        <f>SUM(G120:K120)</f>
        <v>0</v>
      </c>
    </row>
    <row r="121" spans="1:12" ht="15.75">
      <c r="A121" s="161"/>
      <c r="B121" s="310">
        <v>89</v>
      </c>
      <c r="C121" s="311">
        <f t="shared" si="4"/>
      </c>
      <c r="D121" s="186"/>
      <c r="E121" s="186"/>
      <c r="F121" s="169"/>
      <c r="G121" s="168"/>
      <c r="H121" s="168"/>
      <c r="I121" s="168"/>
      <c r="J121" s="176"/>
      <c r="K121" s="168"/>
      <c r="L121" s="298">
        <f aca="true" t="shared" si="7" ref="L121:L126">SUM(G121:K121)</f>
        <v>0</v>
      </c>
    </row>
    <row r="122" spans="1:12" ht="15.75">
      <c r="A122" s="161"/>
      <c r="B122" s="310">
        <v>90</v>
      </c>
      <c r="C122" s="311">
        <f t="shared" si="4"/>
      </c>
      <c r="D122" s="186"/>
      <c r="E122" s="186"/>
      <c r="F122" s="169"/>
      <c r="G122" s="168"/>
      <c r="H122" s="168"/>
      <c r="I122" s="168"/>
      <c r="J122" s="176"/>
      <c r="K122" s="168"/>
      <c r="L122" s="298">
        <f t="shared" si="7"/>
        <v>0</v>
      </c>
    </row>
    <row r="123" spans="1:12" ht="15.75">
      <c r="A123" s="161"/>
      <c r="B123" s="310">
        <v>91</v>
      </c>
      <c r="C123" s="311">
        <f t="shared" si="4"/>
      </c>
      <c r="D123" s="186"/>
      <c r="E123" s="186"/>
      <c r="F123" s="169"/>
      <c r="G123" s="168"/>
      <c r="H123" s="168"/>
      <c r="I123" s="168"/>
      <c r="J123" s="176"/>
      <c r="K123" s="168"/>
      <c r="L123" s="298">
        <f>SUM(G123:K123)</f>
        <v>0</v>
      </c>
    </row>
    <row r="124" spans="1:12" ht="15.75">
      <c r="A124" s="161"/>
      <c r="B124" s="310">
        <v>92</v>
      </c>
      <c r="C124" s="311">
        <f t="shared" si="4"/>
      </c>
      <c r="D124" s="186"/>
      <c r="E124" s="186"/>
      <c r="F124" s="169"/>
      <c r="G124" s="168"/>
      <c r="H124" s="168"/>
      <c r="I124" s="168"/>
      <c r="J124" s="176"/>
      <c r="K124" s="168"/>
      <c r="L124" s="298">
        <f t="shared" si="7"/>
        <v>0</v>
      </c>
    </row>
    <row r="125" spans="1:12" ht="15.75">
      <c r="A125" s="161"/>
      <c r="B125" s="310">
        <v>93</v>
      </c>
      <c r="C125" s="311">
        <f t="shared" si="4"/>
      </c>
      <c r="D125" s="186"/>
      <c r="E125" s="186"/>
      <c r="F125" s="169"/>
      <c r="G125" s="168"/>
      <c r="H125" s="168"/>
      <c r="I125" s="168"/>
      <c r="J125" s="176"/>
      <c r="K125" s="168"/>
      <c r="L125" s="298">
        <f t="shared" si="7"/>
        <v>0</v>
      </c>
    </row>
    <row r="126" spans="1:12" ht="15.75">
      <c r="A126" s="161"/>
      <c r="B126" s="310">
        <v>94</v>
      </c>
      <c r="C126" s="311">
        <f t="shared" si="4"/>
      </c>
      <c r="D126" s="186"/>
      <c r="E126" s="186"/>
      <c r="F126" s="169"/>
      <c r="G126" s="168"/>
      <c r="H126" s="168"/>
      <c r="I126" s="168"/>
      <c r="J126" s="176"/>
      <c r="K126" s="168"/>
      <c r="L126" s="298">
        <f t="shared" si="7"/>
        <v>0</v>
      </c>
    </row>
    <row r="127" spans="1:12" ht="15.75">
      <c r="A127" s="161"/>
      <c r="B127" s="310">
        <v>95</v>
      </c>
      <c r="C127" s="311">
        <f t="shared" si="4"/>
      </c>
      <c r="D127" s="186"/>
      <c r="E127" s="186"/>
      <c r="F127" s="169"/>
      <c r="G127" s="168"/>
      <c r="H127" s="168"/>
      <c r="I127" s="168"/>
      <c r="J127" s="176"/>
      <c r="K127" s="168"/>
      <c r="L127" s="298">
        <f>SUM(G127:K127)</f>
        <v>0</v>
      </c>
    </row>
    <row r="128" spans="1:12" ht="15.75">
      <c r="A128" s="161"/>
      <c r="B128" s="310">
        <v>96</v>
      </c>
      <c r="C128" s="311">
        <f t="shared" si="4"/>
      </c>
      <c r="D128" s="186"/>
      <c r="E128" s="186"/>
      <c r="F128" s="169"/>
      <c r="G128" s="168"/>
      <c r="H128" s="168"/>
      <c r="I128" s="168"/>
      <c r="J128" s="176"/>
      <c r="K128" s="168"/>
      <c r="L128" s="298">
        <f>SUM(G128:K128)</f>
        <v>0</v>
      </c>
    </row>
    <row r="129" spans="1:12" ht="15.75">
      <c r="A129" s="161"/>
      <c r="B129" s="310">
        <v>97</v>
      </c>
      <c r="C129" s="311">
        <f t="shared" si="4"/>
      </c>
      <c r="D129" s="186"/>
      <c r="E129" s="186"/>
      <c r="F129" s="169"/>
      <c r="G129" s="168"/>
      <c r="H129" s="168"/>
      <c r="I129" s="168"/>
      <c r="J129" s="176"/>
      <c r="K129" s="168"/>
      <c r="L129" s="298">
        <f>SUM(G129:K129)</f>
        <v>0</v>
      </c>
    </row>
    <row r="130" spans="1:12" ht="15.75">
      <c r="A130" s="161"/>
      <c r="B130" s="310">
        <v>98</v>
      </c>
      <c r="C130" s="311">
        <f t="shared" si="4"/>
      </c>
      <c r="D130" s="186"/>
      <c r="E130" s="186"/>
      <c r="F130" s="169"/>
      <c r="G130" s="168"/>
      <c r="H130" s="168"/>
      <c r="I130" s="168"/>
      <c r="J130" s="176"/>
      <c r="K130" s="168"/>
      <c r="L130" s="298">
        <f>SUM(G130:K130)</f>
        <v>0</v>
      </c>
    </row>
    <row r="131" spans="1:12" ht="15.75">
      <c r="A131" s="161"/>
      <c r="B131" s="310">
        <v>99</v>
      </c>
      <c r="C131" s="311">
        <f t="shared" si="4"/>
      </c>
      <c r="D131" s="186"/>
      <c r="E131" s="186"/>
      <c r="F131" s="169"/>
      <c r="G131" s="168"/>
      <c r="H131" s="168"/>
      <c r="I131" s="168"/>
      <c r="J131" s="176"/>
      <c r="K131" s="168"/>
      <c r="L131" s="298">
        <f>SUM(G131:K131)</f>
        <v>0</v>
      </c>
    </row>
    <row r="132" spans="1:12" ht="15.75">
      <c r="A132" s="161"/>
      <c r="B132" s="310">
        <v>100</v>
      </c>
      <c r="C132" s="311">
        <f t="shared" si="4"/>
      </c>
      <c r="D132" s="204"/>
      <c r="E132" s="204"/>
      <c r="F132" s="170"/>
      <c r="G132" s="168"/>
      <c r="H132" s="168"/>
      <c r="I132" s="168"/>
      <c r="J132" s="181"/>
      <c r="K132" s="168"/>
      <c r="L132" s="298">
        <f>SUM(G132:K132)</f>
        <v>0</v>
      </c>
    </row>
    <row r="133" spans="1:12" ht="15.75" hidden="1">
      <c r="A133" s="161"/>
      <c r="B133" s="302"/>
      <c r="C133" s="302"/>
      <c r="D133" s="302"/>
      <c r="E133" s="302"/>
      <c r="F133" s="302"/>
      <c r="G133" s="302"/>
      <c r="H133" s="302"/>
      <c r="I133" s="302"/>
      <c r="J133" s="302"/>
      <c r="K133" s="302"/>
      <c r="L133" s="302"/>
    </row>
    <row r="134" ht="15.75" hidden="1"/>
    <row r="135" ht="15.75" hidden="1"/>
    <row r="136" ht="15.75" hidden="1"/>
    <row r="137" ht="15.75" hidden="1"/>
    <row r="138" ht="15.75" hidden="1"/>
    <row r="139" ht="15.75" hidden="1"/>
    <row r="140" ht="15.75" hidden="1"/>
  </sheetData>
  <sheetProtection sheet="1" objects="1" scenarios="1" formatColumns="0" formatRows="0"/>
  <mergeCells count="17">
    <mergeCell ref="B1:D1"/>
    <mergeCell ref="B7:C7"/>
    <mergeCell ref="C14:E14"/>
    <mergeCell ref="C15:E15"/>
    <mergeCell ref="C16:E16"/>
    <mergeCell ref="C24:E24"/>
    <mergeCell ref="H31:K31"/>
    <mergeCell ref="D31:F31"/>
    <mergeCell ref="C25:E25"/>
    <mergeCell ref="G12:J12"/>
    <mergeCell ref="C20:E20"/>
    <mergeCell ref="C21:E21"/>
    <mergeCell ref="C22:E22"/>
    <mergeCell ref="C23:E23"/>
    <mergeCell ref="C19:E19"/>
    <mergeCell ref="C17:E17"/>
    <mergeCell ref="C18:E18"/>
  </mergeCells>
  <dataValidations count="2">
    <dataValidation type="decimal" operator="greaterThanOrEqual" allowBlank="1" showInputMessage="1" showErrorMessage="1" errorTitle="Enter positive amount" error="Report CSS transfers as a number greater than or equal to zero. " sqref="F20:F22">
      <formula1>0</formula1>
    </dataValidation>
    <dataValidation type="list" allowBlank="1" showInputMessage="1" showErrorMessage="1" sqref="F33:F132">
      <formula1>CSS_Service_Category</formula1>
    </dataValidation>
  </dataValidations>
  <printOptions/>
  <pageMargins left="0.25" right="0.25" top="0.75" bottom="0.75" header="0.3" footer="0.3"/>
  <pageSetup horizontalDpi="600" verticalDpi="600" orientation="landscape" paperSize="5" scale="57" r:id="rId1"/>
  <headerFooter>
    <oddFooter>&amp;C&amp;"Arial,Regular"&amp;16Page &amp;P of &amp;N</oddFooter>
  </headerFooter>
  <rowBreaks count="2" manualBreakCount="2">
    <brk id="27" min="1" max="11" man="1"/>
    <brk id="79" min="1" max="11" man="1"/>
  </rowBreaks>
</worksheet>
</file>

<file path=xl/worksheets/sheet6.xml><?xml version="1.0" encoding="utf-8"?>
<worksheet xmlns="http://schemas.openxmlformats.org/spreadsheetml/2006/main" xmlns:r="http://schemas.openxmlformats.org/officeDocument/2006/relationships">
  <sheetPr codeName="Sheet6"/>
  <dimension ref="A1:AN136"/>
  <sheetViews>
    <sheetView showGridLines="0" zoomScale="70" zoomScaleNormal="70" zoomScaleSheetLayoutView="40" zoomScalePageLayoutView="80" workbookViewId="0" topLeftCell="A1">
      <selection activeCell="F7" sqref="F7"/>
    </sheetView>
  </sheetViews>
  <sheetFormatPr defaultColWidth="0" defaultRowHeight="15" zeroHeight="1"/>
  <cols>
    <col min="1" max="1" width="2.7109375" style="49" customWidth="1"/>
    <col min="2" max="2" width="6.7109375" style="315" customWidth="1"/>
    <col min="3" max="3" width="15.28125" style="346" customWidth="1"/>
    <col min="4" max="4" width="52.00390625" style="315" customWidth="1"/>
    <col min="5" max="5" width="27.7109375" style="315" customWidth="1"/>
    <col min="6" max="7" width="26.00390625" style="315" bestFit="1" customWidth="1"/>
    <col min="8" max="8" width="20.7109375" style="315" bestFit="1" customWidth="1"/>
    <col min="9" max="9" width="20.00390625" style="315" bestFit="1" customWidth="1"/>
    <col min="10" max="10" width="30.8515625" style="315" customWidth="1"/>
    <col min="11" max="11" width="31.57421875" style="315" bestFit="1" customWidth="1"/>
    <col min="12" max="12" width="27.421875" style="315" hidden="1" customWidth="1"/>
    <col min="13" max="13" width="23.140625" style="315" hidden="1" customWidth="1"/>
    <col min="14" max="15" width="26.421875" style="315" hidden="1" customWidth="1"/>
    <col min="16" max="16" width="22.28125" style="315" hidden="1" customWidth="1"/>
    <col min="17" max="17" width="18.8515625" style="315" hidden="1" customWidth="1"/>
    <col min="18" max="18" width="15.00390625" style="347" hidden="1" customWidth="1"/>
    <col min="19" max="24" width="15.00390625" style="214" hidden="1" customWidth="1"/>
    <col min="25" max="40" width="9.140625" style="214" hidden="1" customWidth="1"/>
    <col min="41" max="16384" width="9.140625" style="315" hidden="1" customWidth="1"/>
  </cols>
  <sheetData>
    <row r="1" spans="1:40" s="49" customFormat="1" ht="15.75">
      <c r="A1" s="284" t="s">
        <v>369</v>
      </c>
      <c r="B1" s="179"/>
      <c r="C1" s="26"/>
      <c r="D1" s="26"/>
      <c r="R1" s="313"/>
      <c r="S1" s="179"/>
      <c r="T1" s="179"/>
      <c r="U1" s="179"/>
      <c r="V1" s="179"/>
      <c r="W1" s="179"/>
      <c r="X1" s="179"/>
      <c r="Y1" s="179"/>
      <c r="Z1" s="179"/>
      <c r="AA1" s="179"/>
      <c r="AB1" s="179"/>
      <c r="AC1" s="179"/>
      <c r="AD1" s="179"/>
      <c r="AE1" s="179"/>
      <c r="AF1" s="179"/>
      <c r="AG1" s="179"/>
      <c r="AH1" s="179"/>
      <c r="AI1" s="179"/>
      <c r="AJ1" s="179"/>
      <c r="AK1" s="179"/>
      <c r="AL1" s="179"/>
      <c r="AM1" s="179"/>
      <c r="AN1" s="179"/>
    </row>
    <row r="2" spans="2:18" s="160" customFormat="1" ht="18">
      <c r="B2" s="285" t="str">
        <f>'1. Information'!B2</f>
        <v>Version 7/1/2018</v>
      </c>
      <c r="R2" s="314"/>
    </row>
    <row r="3" spans="2:40" s="49" customFormat="1" ht="18">
      <c r="B3" s="316" t="str">
        <f>'1. Information'!B3</f>
        <v>Annual Mental Health Services Act Revenue and Expenditure Report</v>
      </c>
      <c r="C3" s="27"/>
      <c r="D3" s="27"/>
      <c r="E3" s="27"/>
      <c r="F3" s="27"/>
      <c r="G3" s="27"/>
      <c r="H3" s="27"/>
      <c r="I3" s="27"/>
      <c r="J3" s="27"/>
      <c r="K3" s="27"/>
      <c r="L3" s="28"/>
      <c r="M3" s="1"/>
      <c r="N3" s="1"/>
      <c r="O3" s="1"/>
      <c r="P3" s="1"/>
      <c r="Q3" s="1"/>
      <c r="R3" s="313"/>
      <c r="S3" s="179"/>
      <c r="T3" s="179"/>
      <c r="U3" s="179"/>
      <c r="V3" s="179"/>
      <c r="W3" s="179"/>
      <c r="X3" s="179"/>
      <c r="Y3" s="179"/>
      <c r="Z3" s="179"/>
      <c r="AA3" s="179"/>
      <c r="AB3" s="179"/>
      <c r="AC3" s="179"/>
      <c r="AD3" s="179"/>
      <c r="AE3" s="179"/>
      <c r="AF3" s="179"/>
      <c r="AG3" s="179"/>
      <c r="AH3" s="179"/>
      <c r="AI3" s="179"/>
      <c r="AJ3" s="179"/>
      <c r="AK3" s="179"/>
      <c r="AL3" s="179"/>
      <c r="AM3" s="179"/>
      <c r="AN3" s="179"/>
    </row>
    <row r="4" spans="2:40" s="49" customFormat="1" ht="18">
      <c r="B4" s="316" t="str">
        <f>'1. Information'!B4</f>
        <v>Fiscal Year 2017-18</v>
      </c>
      <c r="C4" s="27"/>
      <c r="D4" s="27"/>
      <c r="E4" s="27"/>
      <c r="F4" s="27"/>
      <c r="G4" s="27"/>
      <c r="H4" s="27"/>
      <c r="I4" s="27"/>
      <c r="J4" s="27"/>
      <c r="K4" s="27"/>
      <c r="L4" s="28"/>
      <c r="M4" s="1"/>
      <c r="N4" s="1"/>
      <c r="O4" s="1"/>
      <c r="P4" s="1"/>
      <c r="Q4" s="1"/>
      <c r="R4" s="313"/>
      <c r="S4" s="179"/>
      <c r="T4" s="179"/>
      <c r="U4" s="179"/>
      <c r="V4" s="179"/>
      <c r="W4" s="179"/>
      <c r="X4" s="179"/>
      <c r="Y4" s="179"/>
      <c r="Z4" s="179"/>
      <c r="AA4" s="179"/>
      <c r="AB4" s="179"/>
      <c r="AC4" s="179"/>
      <c r="AD4" s="179"/>
      <c r="AE4" s="179"/>
      <c r="AF4" s="179"/>
      <c r="AG4" s="179"/>
      <c r="AH4" s="179"/>
      <c r="AI4" s="179"/>
      <c r="AJ4" s="179"/>
      <c r="AK4" s="179"/>
      <c r="AL4" s="179"/>
      <c r="AM4" s="179"/>
      <c r="AN4" s="179"/>
    </row>
    <row r="5" spans="2:40" s="49" customFormat="1" ht="18">
      <c r="B5" s="316" t="s">
        <v>0</v>
      </c>
      <c r="C5" s="27"/>
      <c r="D5" s="27"/>
      <c r="E5" s="27"/>
      <c r="F5" s="27"/>
      <c r="G5" s="27"/>
      <c r="H5" s="27"/>
      <c r="I5" s="27"/>
      <c r="J5" s="27"/>
      <c r="K5" s="27"/>
      <c r="L5" s="28"/>
      <c r="M5" s="1"/>
      <c r="N5" s="1"/>
      <c r="O5" s="1"/>
      <c r="P5" s="1"/>
      <c r="Q5" s="1"/>
      <c r="R5" s="313"/>
      <c r="S5" s="179"/>
      <c r="T5" s="179"/>
      <c r="U5" s="179"/>
      <c r="V5" s="179"/>
      <c r="W5" s="179"/>
      <c r="X5" s="179"/>
      <c r="Y5" s="179"/>
      <c r="Z5" s="179"/>
      <c r="AA5" s="179"/>
      <c r="AB5" s="179"/>
      <c r="AC5" s="179"/>
      <c r="AD5" s="179"/>
      <c r="AE5" s="179"/>
      <c r="AF5" s="179"/>
      <c r="AG5" s="179"/>
      <c r="AH5" s="179"/>
      <c r="AI5" s="179"/>
      <c r="AJ5" s="179"/>
      <c r="AK5" s="179"/>
      <c r="AL5" s="179"/>
      <c r="AM5" s="179"/>
      <c r="AN5" s="179"/>
    </row>
    <row r="6" spans="2:40" s="49" customFormat="1" ht="15.75">
      <c r="B6" s="28"/>
      <c r="C6" s="28"/>
      <c r="D6" s="28"/>
      <c r="E6" s="28"/>
      <c r="F6" s="28"/>
      <c r="G6" s="28"/>
      <c r="H6" s="28"/>
      <c r="I6" s="28"/>
      <c r="J6" s="28"/>
      <c r="K6" s="28"/>
      <c r="L6" s="28"/>
      <c r="M6" s="1"/>
      <c r="N6" s="1"/>
      <c r="O6" s="1"/>
      <c r="P6" s="1"/>
      <c r="Q6" s="1"/>
      <c r="R6" s="313"/>
      <c r="S6" s="179"/>
      <c r="T6" s="179"/>
      <c r="U6" s="179"/>
      <c r="V6" s="179"/>
      <c r="W6" s="179"/>
      <c r="X6" s="179"/>
      <c r="Y6" s="179"/>
      <c r="Z6" s="179"/>
      <c r="AA6" s="179"/>
      <c r="AB6" s="179"/>
      <c r="AC6" s="179"/>
      <c r="AD6" s="179"/>
      <c r="AE6" s="179"/>
      <c r="AF6" s="179"/>
      <c r="AG6" s="179"/>
      <c r="AH6" s="179"/>
      <c r="AI6" s="179"/>
      <c r="AJ6" s="179"/>
      <c r="AK6" s="179"/>
      <c r="AL6" s="179"/>
      <c r="AM6" s="179"/>
      <c r="AN6" s="179"/>
    </row>
    <row r="7" spans="2:40" s="49" customFormat="1" ht="15.75" customHeight="1">
      <c r="B7" s="439" t="s">
        <v>1</v>
      </c>
      <c r="C7" s="440"/>
      <c r="D7" s="286" t="str">
        <f>IF(ISBLANK('1. Information'!D8),"",'1. Information'!D8)</f>
        <v>San Francisco</v>
      </c>
      <c r="F7" s="248" t="s">
        <v>2</v>
      </c>
      <c r="G7" s="317">
        <f>IF(ISBLANK('1. Information'!D7),"",'1. Information'!D7)</f>
        <v>43465</v>
      </c>
      <c r="J7" s="50"/>
      <c r="K7" s="50"/>
      <c r="L7" s="50"/>
      <c r="M7" s="50"/>
      <c r="N7" s="50"/>
      <c r="O7" s="50"/>
      <c r="P7" s="50"/>
      <c r="Q7" s="50"/>
      <c r="R7" s="313"/>
      <c r="S7" s="179"/>
      <c r="T7" s="179"/>
      <c r="U7" s="179"/>
      <c r="V7" s="179"/>
      <c r="W7" s="179"/>
      <c r="X7" s="179"/>
      <c r="Y7" s="179"/>
      <c r="Z7" s="179"/>
      <c r="AA7" s="179"/>
      <c r="AB7" s="179"/>
      <c r="AC7" s="179"/>
      <c r="AD7" s="179"/>
      <c r="AE7" s="179"/>
      <c r="AF7" s="179"/>
      <c r="AG7" s="179"/>
      <c r="AH7" s="179"/>
      <c r="AI7" s="179"/>
      <c r="AJ7" s="179"/>
      <c r="AK7" s="179"/>
      <c r="AL7" s="179"/>
      <c r="AM7" s="179"/>
      <c r="AN7" s="179"/>
    </row>
    <row r="8" spans="3:40" s="49" customFormat="1" ht="15.75">
      <c r="C8" s="6"/>
      <c r="D8" s="6"/>
      <c r="E8" s="6"/>
      <c r="F8" s="6"/>
      <c r="G8" s="3"/>
      <c r="H8" s="12"/>
      <c r="I8" s="6"/>
      <c r="J8" s="51"/>
      <c r="K8" s="50"/>
      <c r="L8" s="179"/>
      <c r="M8" s="179"/>
      <c r="N8" s="179"/>
      <c r="O8" s="179"/>
      <c r="P8" s="179"/>
      <c r="Q8" s="179"/>
      <c r="R8" s="313"/>
      <c r="S8" s="179"/>
      <c r="T8" s="179"/>
      <c r="U8" s="179"/>
      <c r="V8" s="179"/>
      <c r="W8" s="179"/>
      <c r="X8" s="179"/>
      <c r="Y8" s="179"/>
      <c r="Z8" s="179"/>
      <c r="AA8" s="179"/>
      <c r="AB8" s="179"/>
      <c r="AC8" s="179"/>
      <c r="AD8" s="179"/>
      <c r="AE8" s="179"/>
      <c r="AF8" s="179"/>
      <c r="AG8" s="179"/>
      <c r="AH8" s="179"/>
      <c r="AI8" s="179"/>
      <c r="AJ8" s="179"/>
      <c r="AK8" s="179"/>
      <c r="AL8" s="179"/>
      <c r="AM8" s="179"/>
      <c r="AN8" s="179"/>
    </row>
    <row r="9" spans="2:40" s="49" customFormat="1" ht="18.75" thickBot="1">
      <c r="B9" s="288" t="s">
        <v>260</v>
      </c>
      <c r="C9" s="52"/>
      <c r="D9" s="16"/>
      <c r="E9" s="16"/>
      <c r="F9" s="16"/>
      <c r="G9" s="20"/>
      <c r="H9" s="29"/>
      <c r="I9" s="16"/>
      <c r="J9" s="53"/>
      <c r="K9" s="54"/>
      <c r="L9" s="179"/>
      <c r="M9" s="179"/>
      <c r="N9" s="179"/>
      <c r="O9" s="179"/>
      <c r="P9" s="179"/>
      <c r="Q9" s="179"/>
      <c r="R9" s="313"/>
      <c r="S9" s="179"/>
      <c r="T9" s="179"/>
      <c r="U9" s="179"/>
      <c r="V9" s="179"/>
      <c r="W9" s="179"/>
      <c r="X9" s="179"/>
      <c r="Y9" s="179"/>
      <c r="Z9" s="179"/>
      <c r="AA9" s="179"/>
      <c r="AB9" s="179"/>
      <c r="AC9" s="179"/>
      <c r="AD9" s="179"/>
      <c r="AE9" s="179"/>
      <c r="AF9" s="179"/>
      <c r="AG9" s="179"/>
      <c r="AH9" s="179"/>
      <c r="AI9" s="179"/>
      <c r="AJ9" s="179"/>
      <c r="AK9" s="179"/>
      <c r="AL9" s="179"/>
      <c r="AM9" s="179"/>
      <c r="AN9" s="179"/>
    </row>
    <row r="10" spans="3:40" s="49" customFormat="1" ht="16.5" thickTop="1">
      <c r="C10" s="3"/>
      <c r="D10" s="6"/>
      <c r="E10" s="6"/>
      <c r="F10" s="6"/>
      <c r="G10" s="3"/>
      <c r="H10" s="12"/>
      <c r="I10" s="6"/>
      <c r="J10" s="51"/>
      <c r="K10" s="50"/>
      <c r="L10" s="50"/>
      <c r="M10" s="50"/>
      <c r="N10" s="50"/>
      <c r="O10" s="179"/>
      <c r="P10" s="179"/>
      <c r="Q10" s="179"/>
      <c r="R10" s="313"/>
      <c r="S10" s="179"/>
      <c r="T10" s="179"/>
      <c r="U10" s="179"/>
      <c r="V10" s="179"/>
      <c r="W10" s="179"/>
      <c r="X10" s="179"/>
      <c r="Y10" s="179"/>
      <c r="Z10" s="179"/>
      <c r="AA10" s="179"/>
      <c r="AB10" s="179"/>
      <c r="AC10" s="179"/>
      <c r="AD10" s="179"/>
      <c r="AE10" s="179"/>
      <c r="AF10" s="179"/>
      <c r="AG10" s="179"/>
      <c r="AH10" s="179"/>
      <c r="AI10" s="179"/>
      <c r="AJ10" s="179"/>
      <c r="AK10" s="179"/>
      <c r="AL10" s="179"/>
      <c r="AM10" s="179"/>
      <c r="AN10" s="179"/>
    </row>
    <row r="11" spans="3:37" s="49" customFormat="1" ht="15.75">
      <c r="C11" s="3"/>
      <c r="D11" s="6"/>
      <c r="E11" s="6"/>
      <c r="F11" s="318" t="s">
        <v>27</v>
      </c>
      <c r="G11" s="319" t="s">
        <v>29</v>
      </c>
      <c r="H11" s="289" t="s">
        <v>32</v>
      </c>
      <c r="I11" s="289" t="s">
        <v>246</v>
      </c>
      <c r="J11" s="320" t="s">
        <v>247</v>
      </c>
      <c r="K11" s="289" t="s">
        <v>248</v>
      </c>
      <c r="L11" s="179"/>
      <c r="M11" s="179"/>
      <c r="N11" s="179"/>
      <c r="O11" s="179"/>
      <c r="P11" s="179"/>
      <c r="Q11" s="179"/>
      <c r="R11" s="313"/>
      <c r="S11" s="179"/>
      <c r="T11" s="179"/>
      <c r="U11" s="179"/>
      <c r="V11" s="179"/>
      <c r="W11" s="179"/>
      <c r="X11" s="179"/>
      <c r="Y11" s="179"/>
      <c r="Z11" s="179"/>
      <c r="AA11" s="179"/>
      <c r="AB11" s="179"/>
      <c r="AC11" s="179"/>
      <c r="AD11" s="179"/>
      <c r="AE11" s="179"/>
      <c r="AF11" s="179"/>
      <c r="AG11" s="179"/>
      <c r="AH11" s="179"/>
      <c r="AI11" s="179"/>
      <c r="AJ11" s="179"/>
      <c r="AK11" s="179"/>
    </row>
    <row r="12" spans="4:37" s="49" customFormat="1" ht="15.75">
      <c r="D12" s="6"/>
      <c r="E12" s="6"/>
      <c r="F12" s="321" t="s">
        <v>28</v>
      </c>
      <c r="G12" s="439" t="s">
        <v>30</v>
      </c>
      <c r="H12" s="437"/>
      <c r="I12" s="437"/>
      <c r="J12" s="440"/>
      <c r="K12" s="291"/>
      <c r="L12" s="179"/>
      <c r="M12" s="179"/>
      <c r="N12" s="179"/>
      <c r="O12" s="179"/>
      <c r="P12" s="179"/>
      <c r="Q12" s="179"/>
      <c r="R12" s="313"/>
      <c r="S12" s="179"/>
      <c r="T12" s="179"/>
      <c r="U12" s="179"/>
      <c r="V12" s="179"/>
      <c r="W12" s="179"/>
      <c r="X12" s="179"/>
      <c r="Y12" s="179"/>
      <c r="Z12" s="179"/>
      <c r="AA12" s="179"/>
      <c r="AB12" s="179"/>
      <c r="AC12" s="179"/>
      <c r="AD12" s="179"/>
      <c r="AE12" s="179"/>
      <c r="AF12" s="179"/>
      <c r="AG12" s="179"/>
      <c r="AH12" s="179"/>
      <c r="AI12" s="179"/>
      <c r="AJ12" s="179"/>
      <c r="AK12" s="179"/>
    </row>
    <row r="13" spans="3:37" s="49" customFormat="1" ht="47.25" customHeight="1">
      <c r="C13" s="454"/>
      <c r="D13" s="454"/>
      <c r="E13" s="454"/>
      <c r="F13" s="292" t="s">
        <v>300</v>
      </c>
      <c r="G13" s="293" t="s">
        <v>5</v>
      </c>
      <c r="H13" s="293" t="s">
        <v>6</v>
      </c>
      <c r="I13" s="293" t="s">
        <v>31</v>
      </c>
      <c r="J13" s="293" t="s">
        <v>15</v>
      </c>
      <c r="K13" s="322" t="s">
        <v>278</v>
      </c>
      <c r="L13" s="179"/>
      <c r="M13" s="179"/>
      <c r="N13" s="179"/>
      <c r="O13" s="179"/>
      <c r="P13" s="179"/>
      <c r="Q13" s="179"/>
      <c r="R13" s="313"/>
      <c r="S13" s="179"/>
      <c r="T13" s="179"/>
      <c r="U13" s="179"/>
      <c r="V13" s="179"/>
      <c r="W13" s="179"/>
      <c r="X13" s="179"/>
      <c r="Y13" s="179"/>
      <c r="Z13" s="179"/>
      <c r="AA13" s="179"/>
      <c r="AB13" s="179"/>
      <c r="AC13" s="179"/>
      <c r="AD13" s="179"/>
      <c r="AE13" s="179"/>
      <c r="AF13" s="179"/>
      <c r="AG13" s="179"/>
      <c r="AH13" s="179"/>
      <c r="AI13" s="179"/>
      <c r="AJ13" s="179"/>
      <c r="AK13" s="179"/>
    </row>
    <row r="14" spans="2:37" s="50" customFormat="1" ht="15.75">
      <c r="B14" s="299">
        <v>1</v>
      </c>
      <c r="C14" s="445" t="s">
        <v>3</v>
      </c>
      <c r="D14" s="445"/>
      <c r="E14" s="441"/>
      <c r="F14" s="168"/>
      <c r="G14" s="183"/>
      <c r="H14" s="183"/>
      <c r="I14" s="183"/>
      <c r="J14" s="183"/>
      <c r="K14" s="296">
        <f>SUM(F14:J14)</f>
        <v>0</v>
      </c>
      <c r="L14" s="179"/>
      <c r="M14" s="179"/>
      <c r="N14" s="179"/>
      <c r="O14" s="179"/>
      <c r="P14" s="179"/>
      <c r="Q14" s="179"/>
      <c r="R14" s="313"/>
      <c r="S14" s="179"/>
      <c r="T14" s="179"/>
      <c r="U14" s="179"/>
      <c r="V14" s="179"/>
      <c r="W14" s="179"/>
      <c r="X14" s="179"/>
      <c r="Y14" s="179"/>
      <c r="Z14" s="179"/>
      <c r="AA14" s="179"/>
      <c r="AB14" s="179"/>
      <c r="AC14" s="179"/>
      <c r="AD14" s="179"/>
      <c r="AE14" s="179"/>
      <c r="AF14" s="179"/>
      <c r="AG14" s="179"/>
      <c r="AH14" s="179"/>
      <c r="AI14" s="179"/>
      <c r="AJ14" s="179"/>
      <c r="AK14" s="179"/>
    </row>
    <row r="15" spans="2:37" s="50" customFormat="1" ht="15" customHeight="1">
      <c r="B15" s="299">
        <v>2</v>
      </c>
      <c r="C15" s="445" t="s">
        <v>133</v>
      </c>
      <c r="D15" s="445"/>
      <c r="E15" s="441"/>
      <c r="F15" s="168"/>
      <c r="G15" s="183"/>
      <c r="H15" s="183"/>
      <c r="I15" s="183"/>
      <c r="J15" s="183"/>
      <c r="K15" s="296">
        <f aca="true" t="shared" si="0" ref="K15:K20">SUM(F15:J15)</f>
        <v>0</v>
      </c>
      <c r="L15" s="179"/>
      <c r="M15" s="179"/>
      <c r="N15" s="179"/>
      <c r="O15" s="179"/>
      <c r="P15" s="179"/>
      <c r="Q15" s="179"/>
      <c r="R15" s="313"/>
      <c r="S15" s="179"/>
      <c r="T15" s="179"/>
      <c r="U15" s="179"/>
      <c r="V15" s="179"/>
      <c r="W15" s="179"/>
      <c r="X15" s="179"/>
      <c r="Y15" s="179"/>
      <c r="Z15" s="179"/>
      <c r="AA15" s="179"/>
      <c r="AB15" s="179"/>
      <c r="AC15" s="179"/>
      <c r="AD15" s="179"/>
      <c r="AE15" s="179"/>
      <c r="AF15" s="179"/>
      <c r="AG15" s="179"/>
      <c r="AH15" s="179"/>
      <c r="AI15" s="179"/>
      <c r="AJ15" s="179"/>
      <c r="AK15" s="179"/>
    </row>
    <row r="16" spans="2:37" s="50" customFormat="1" ht="15" customHeight="1">
      <c r="B16" s="299">
        <v>3</v>
      </c>
      <c r="C16" s="455" t="s">
        <v>149</v>
      </c>
      <c r="D16" s="455"/>
      <c r="E16" s="456"/>
      <c r="F16" s="197">
        <v>75779.27</v>
      </c>
      <c r="G16" s="196"/>
      <c r="H16" s="196"/>
      <c r="I16" s="196"/>
      <c r="J16" s="196"/>
      <c r="K16" s="296">
        <f t="shared" si="0"/>
        <v>75779.27</v>
      </c>
      <c r="L16" s="179"/>
      <c r="M16" s="179"/>
      <c r="N16" s="179"/>
      <c r="O16" s="179"/>
      <c r="P16" s="179"/>
      <c r="Q16" s="179"/>
      <c r="R16" s="313"/>
      <c r="S16" s="179"/>
      <c r="T16" s="179"/>
      <c r="U16" s="179"/>
      <c r="V16" s="179"/>
      <c r="W16" s="179"/>
      <c r="X16" s="179"/>
      <c r="Y16" s="179"/>
      <c r="Z16" s="179"/>
      <c r="AA16" s="179"/>
      <c r="AB16" s="179"/>
      <c r="AC16" s="179"/>
      <c r="AD16" s="179"/>
      <c r="AE16" s="179"/>
      <c r="AF16" s="179"/>
      <c r="AG16" s="179"/>
      <c r="AH16" s="179"/>
      <c r="AI16" s="179"/>
      <c r="AJ16" s="179"/>
      <c r="AK16" s="179"/>
    </row>
    <row r="17" spans="2:37" s="50" customFormat="1" ht="15" customHeight="1">
      <c r="B17" s="299">
        <v>4</v>
      </c>
      <c r="C17" s="445" t="s">
        <v>228</v>
      </c>
      <c r="D17" s="445"/>
      <c r="E17" s="441"/>
      <c r="F17" s="168">
        <v>0</v>
      </c>
      <c r="G17" s="196"/>
      <c r="H17" s="196"/>
      <c r="I17" s="196"/>
      <c r="J17" s="196"/>
      <c r="K17" s="296">
        <f t="shared" si="0"/>
        <v>0</v>
      </c>
      <c r="L17" s="179"/>
      <c r="M17" s="179"/>
      <c r="N17" s="179"/>
      <c r="O17" s="179"/>
      <c r="P17" s="179"/>
      <c r="Q17" s="179"/>
      <c r="R17" s="313"/>
      <c r="S17" s="179"/>
      <c r="T17" s="179"/>
      <c r="U17" s="179"/>
      <c r="V17" s="179"/>
      <c r="W17" s="179"/>
      <c r="X17" s="179"/>
      <c r="Y17" s="179"/>
      <c r="Z17" s="179"/>
      <c r="AA17" s="179"/>
      <c r="AB17" s="179"/>
      <c r="AC17" s="179"/>
      <c r="AD17" s="179"/>
      <c r="AE17" s="179"/>
      <c r="AF17" s="179"/>
      <c r="AG17" s="179"/>
      <c r="AH17" s="179"/>
      <c r="AI17" s="179"/>
      <c r="AJ17" s="179"/>
      <c r="AK17" s="179"/>
    </row>
    <row r="18" spans="2:37" s="50" customFormat="1" ht="15" customHeight="1">
      <c r="B18" s="299">
        <v>5</v>
      </c>
      <c r="C18" s="445" t="s">
        <v>215</v>
      </c>
      <c r="D18" s="445"/>
      <c r="E18" s="441"/>
      <c r="F18" s="198">
        <v>50000</v>
      </c>
      <c r="G18" s="323"/>
      <c r="H18" s="323"/>
      <c r="I18" s="323"/>
      <c r="J18" s="323"/>
      <c r="K18" s="296">
        <f t="shared" si="0"/>
        <v>50000</v>
      </c>
      <c r="L18" s="179"/>
      <c r="M18" s="179"/>
      <c r="N18" s="179"/>
      <c r="O18" s="179"/>
      <c r="P18" s="179"/>
      <c r="Q18" s="179"/>
      <c r="R18" s="313"/>
      <c r="S18" s="179"/>
      <c r="T18" s="179"/>
      <c r="U18" s="179"/>
      <c r="V18" s="179"/>
      <c r="W18" s="179"/>
      <c r="X18" s="179"/>
      <c r="Y18" s="179"/>
      <c r="Z18" s="179"/>
      <c r="AA18" s="179"/>
      <c r="AB18" s="179"/>
      <c r="AC18" s="179"/>
      <c r="AD18" s="179"/>
      <c r="AE18" s="179"/>
      <c r="AF18" s="179"/>
      <c r="AG18" s="179"/>
      <c r="AH18" s="179"/>
      <c r="AI18" s="179"/>
      <c r="AJ18" s="179"/>
      <c r="AK18" s="179"/>
    </row>
    <row r="19" spans="2:37" s="50" customFormat="1" ht="15" customHeight="1">
      <c r="B19" s="299">
        <v>6</v>
      </c>
      <c r="C19" s="445" t="s">
        <v>217</v>
      </c>
      <c r="D19" s="445"/>
      <c r="E19" s="441"/>
      <c r="F19" s="168">
        <v>72544</v>
      </c>
      <c r="G19" s="323"/>
      <c r="H19" s="323"/>
      <c r="I19" s="323"/>
      <c r="J19" s="323"/>
      <c r="K19" s="296">
        <f t="shared" si="0"/>
        <v>72544</v>
      </c>
      <c r="L19" s="179"/>
      <c r="M19" s="179"/>
      <c r="N19" s="179"/>
      <c r="O19" s="179"/>
      <c r="P19" s="179"/>
      <c r="Q19" s="179"/>
      <c r="R19" s="313"/>
      <c r="S19" s="179"/>
      <c r="T19" s="179"/>
      <c r="U19" s="179"/>
      <c r="V19" s="179"/>
      <c r="W19" s="179"/>
      <c r="X19" s="179"/>
      <c r="Y19" s="179"/>
      <c r="Z19" s="179"/>
      <c r="AA19" s="179"/>
      <c r="AB19" s="179"/>
      <c r="AC19" s="179"/>
      <c r="AD19" s="179"/>
      <c r="AE19" s="179"/>
      <c r="AF19" s="179"/>
      <c r="AG19" s="179"/>
      <c r="AH19" s="179"/>
      <c r="AI19" s="179"/>
      <c r="AJ19" s="179"/>
      <c r="AK19" s="179"/>
    </row>
    <row r="20" spans="2:37" s="50" customFormat="1" ht="15" customHeight="1">
      <c r="B20" s="299">
        <v>7</v>
      </c>
      <c r="C20" s="444" t="s">
        <v>150</v>
      </c>
      <c r="D20" s="444"/>
      <c r="E20" s="444"/>
      <c r="F20" s="324">
        <f>SUMIF($G$36:$G$135,"Combined Summary",L$36:L$135)+SUMIF($F$36:$F$135,"Standalone",L$36:L$135)</f>
        <v>4195655.14</v>
      </c>
      <c r="G20" s="325">
        <f>SUMIF($G$36:$G$135,"Combined Summary",M$36:M$135)+SUMIF($F$36:$F$135,"Standalone",M$36:M$135)</f>
        <v>3881.78</v>
      </c>
      <c r="H20" s="325">
        <f>SUMIF($G$36:$G$135,"Combined Summary",N$36:N$135)+SUMIF($F$36:$F$135,"Standalone",N$36:N$135)</f>
        <v>0</v>
      </c>
      <c r="I20" s="325">
        <f>SUMIF($G$36:$G$135,"Combined Summary",O$36:O$135)+SUMIF($F$36:$F$135,"Standalone",O$36:O$135)</f>
        <v>0</v>
      </c>
      <c r="J20" s="325">
        <f>SUMIF($G$36:$G$135,"Combined Summary",P$36:P$135)+SUMIF($F$36:$F$135,"Standalone",P$36:P$135)</f>
        <v>3669969</v>
      </c>
      <c r="K20" s="298">
        <f t="shared" si="0"/>
        <v>7869505.92</v>
      </c>
      <c r="L20" s="179"/>
      <c r="M20" s="179"/>
      <c r="N20" s="179"/>
      <c r="O20" s="179"/>
      <c r="P20" s="179"/>
      <c r="Q20" s="179"/>
      <c r="R20" s="313"/>
      <c r="S20" s="179"/>
      <c r="T20" s="179"/>
      <c r="U20" s="179"/>
      <c r="V20" s="179"/>
      <c r="W20" s="179"/>
      <c r="X20" s="179"/>
      <c r="Y20" s="179"/>
      <c r="Z20" s="179"/>
      <c r="AA20" s="179"/>
      <c r="AB20" s="179"/>
      <c r="AC20" s="179"/>
      <c r="AD20" s="179"/>
      <c r="AE20" s="179"/>
      <c r="AF20" s="179"/>
      <c r="AG20" s="179"/>
      <c r="AH20" s="179"/>
      <c r="AI20" s="179"/>
      <c r="AJ20" s="179"/>
      <c r="AK20" s="179"/>
    </row>
    <row r="21" spans="2:37" s="50" customFormat="1" ht="30.75" customHeight="1">
      <c r="B21" s="326">
        <v>8</v>
      </c>
      <c r="C21" s="460" t="s">
        <v>229</v>
      </c>
      <c r="D21" s="460"/>
      <c r="E21" s="460"/>
      <c r="F21" s="327">
        <f>SUM(F14:F16,F19:F20)</f>
        <v>4343978.41</v>
      </c>
      <c r="G21" s="327">
        <f>SUM(G14:G16,G19:G20)</f>
        <v>3881.78</v>
      </c>
      <c r="H21" s="327">
        <f>SUM(H14:H16,H19:H20)</f>
        <v>0</v>
      </c>
      <c r="I21" s="327">
        <f>SUM(I14:I16,I19:I20)</f>
        <v>0</v>
      </c>
      <c r="J21" s="327">
        <f>SUM(J14:J16,J19:J20)</f>
        <v>3669969</v>
      </c>
      <c r="K21" s="327">
        <f>SUM(K14:K16,K19:K20)</f>
        <v>8017829.1899999995</v>
      </c>
      <c r="L21" s="179"/>
      <c r="M21" s="179"/>
      <c r="N21" s="179"/>
      <c r="O21" s="179"/>
      <c r="P21" s="179"/>
      <c r="Q21" s="179"/>
      <c r="R21" s="313"/>
      <c r="S21" s="179"/>
      <c r="T21" s="179"/>
      <c r="U21" s="179"/>
      <c r="V21" s="179"/>
      <c r="W21" s="179"/>
      <c r="X21" s="179"/>
      <c r="Y21" s="179"/>
      <c r="Z21" s="179"/>
      <c r="AA21" s="179"/>
      <c r="AB21" s="179"/>
      <c r="AC21" s="179"/>
      <c r="AD21" s="179"/>
      <c r="AE21" s="179"/>
      <c r="AF21" s="179"/>
      <c r="AG21" s="179"/>
      <c r="AH21" s="179"/>
      <c r="AI21" s="179"/>
      <c r="AJ21" s="179"/>
      <c r="AK21" s="179"/>
    </row>
    <row r="22" spans="4:40" s="49" customFormat="1" ht="15.75">
      <c r="D22" s="3"/>
      <c r="E22" s="3"/>
      <c r="F22" s="3"/>
      <c r="G22" s="30"/>
      <c r="H22" s="3"/>
      <c r="I22" s="50"/>
      <c r="J22" s="50"/>
      <c r="K22" s="50"/>
      <c r="L22" s="50"/>
      <c r="M22" s="50"/>
      <c r="N22" s="50"/>
      <c r="O22" s="179"/>
      <c r="P22" s="179"/>
      <c r="Q22" s="179"/>
      <c r="R22" s="313"/>
      <c r="S22" s="179"/>
      <c r="T22" s="179"/>
      <c r="U22" s="179"/>
      <c r="V22" s="179"/>
      <c r="W22" s="179"/>
      <c r="X22" s="179"/>
      <c r="Y22" s="179"/>
      <c r="Z22" s="179"/>
      <c r="AA22" s="179"/>
      <c r="AB22" s="179"/>
      <c r="AC22" s="179"/>
      <c r="AD22" s="179"/>
      <c r="AE22" s="179"/>
      <c r="AF22" s="179"/>
      <c r="AG22" s="179"/>
      <c r="AH22" s="179"/>
      <c r="AI22" s="179"/>
      <c r="AJ22" s="179"/>
      <c r="AK22" s="179"/>
      <c r="AL22" s="179"/>
      <c r="AM22" s="179"/>
      <c r="AN22" s="179"/>
    </row>
    <row r="23" spans="2:40" s="49" customFormat="1" ht="18.75" thickBot="1">
      <c r="B23" s="288" t="s">
        <v>261</v>
      </c>
      <c r="C23" s="20"/>
      <c r="D23" s="20"/>
      <c r="E23" s="20"/>
      <c r="F23" s="31"/>
      <c r="G23" s="20"/>
      <c r="H23" s="179"/>
      <c r="I23" s="179"/>
      <c r="J23" s="179"/>
      <c r="K23" s="179"/>
      <c r="L23" s="179"/>
      <c r="M23" s="179"/>
      <c r="N23" s="179"/>
      <c r="O23" s="179"/>
      <c r="P23" s="179"/>
      <c r="Q23" s="179"/>
      <c r="R23" s="313"/>
      <c r="S23" s="179"/>
      <c r="T23" s="179"/>
      <c r="U23" s="179"/>
      <c r="V23" s="179"/>
      <c r="W23" s="179"/>
      <c r="X23" s="179"/>
      <c r="Y23" s="179"/>
      <c r="Z23" s="179"/>
      <c r="AA23" s="179"/>
      <c r="AB23" s="179"/>
      <c r="AC23" s="179"/>
      <c r="AD23" s="179"/>
      <c r="AE23" s="179"/>
      <c r="AF23" s="179"/>
      <c r="AG23" s="179"/>
      <c r="AH23" s="179"/>
      <c r="AI23" s="179"/>
      <c r="AJ23" s="179"/>
      <c r="AK23" s="179"/>
      <c r="AL23" s="179"/>
      <c r="AM23" s="179"/>
      <c r="AN23" s="179"/>
    </row>
    <row r="24" spans="3:40" s="49" customFormat="1" ht="16.5" thickTop="1">
      <c r="C24" s="3"/>
      <c r="D24" s="3"/>
      <c r="E24" s="3"/>
      <c r="F24" s="3"/>
      <c r="G24" s="30"/>
      <c r="H24" s="3"/>
      <c r="I24" s="50"/>
      <c r="J24" s="50"/>
      <c r="K24" s="50"/>
      <c r="L24" s="50"/>
      <c r="M24" s="50"/>
      <c r="N24" s="50"/>
      <c r="O24" s="179"/>
      <c r="P24" s="179"/>
      <c r="Q24" s="179"/>
      <c r="R24" s="313"/>
      <c r="S24" s="179"/>
      <c r="T24" s="179"/>
      <c r="U24" s="179"/>
      <c r="V24" s="179"/>
      <c r="W24" s="179"/>
      <c r="X24" s="179"/>
      <c r="Y24" s="179"/>
      <c r="Z24" s="179"/>
      <c r="AA24" s="179"/>
      <c r="AB24" s="179"/>
      <c r="AC24" s="179"/>
      <c r="AD24" s="179"/>
      <c r="AE24" s="179"/>
      <c r="AF24" s="179"/>
      <c r="AG24" s="179"/>
      <c r="AH24" s="179"/>
      <c r="AI24" s="179"/>
      <c r="AJ24" s="179"/>
      <c r="AK24" s="179"/>
      <c r="AL24" s="179"/>
      <c r="AM24" s="179"/>
      <c r="AN24" s="179"/>
    </row>
    <row r="25" spans="3:40" s="49" customFormat="1" ht="15.75">
      <c r="C25" s="3"/>
      <c r="D25" s="3"/>
      <c r="E25" s="3"/>
      <c r="F25" s="254" t="s">
        <v>27</v>
      </c>
      <c r="G25" s="328" t="s">
        <v>29</v>
      </c>
      <c r="H25" s="3"/>
      <c r="I25" s="50"/>
      <c r="J25" s="50"/>
      <c r="K25" s="50"/>
      <c r="L25" s="50"/>
      <c r="M25" s="50"/>
      <c r="N25" s="50"/>
      <c r="O25" s="179"/>
      <c r="P25" s="179"/>
      <c r="Q25" s="179"/>
      <c r="R25" s="313"/>
      <c r="S25" s="179"/>
      <c r="T25" s="179"/>
      <c r="U25" s="179"/>
      <c r="V25" s="179"/>
      <c r="W25" s="179"/>
      <c r="X25" s="179"/>
      <c r="Y25" s="179"/>
      <c r="Z25" s="179"/>
      <c r="AA25" s="179"/>
      <c r="AB25" s="179"/>
      <c r="AC25" s="179"/>
      <c r="AD25" s="179"/>
      <c r="AE25" s="179"/>
      <c r="AF25" s="179"/>
      <c r="AG25" s="179"/>
      <c r="AH25" s="179"/>
      <c r="AI25" s="179"/>
      <c r="AJ25" s="179"/>
      <c r="AK25" s="179"/>
      <c r="AL25" s="179"/>
      <c r="AM25" s="179"/>
      <c r="AN25" s="179"/>
    </row>
    <row r="26" spans="2:40" s="49" customFormat="1" ht="15" customHeight="1">
      <c r="B26" s="46"/>
      <c r="C26" s="46"/>
      <c r="D26" s="46"/>
      <c r="E26" s="46"/>
      <c r="F26" s="459" t="s">
        <v>234</v>
      </c>
      <c r="G26" s="457" t="s">
        <v>233</v>
      </c>
      <c r="H26" s="50"/>
      <c r="I26" s="50"/>
      <c r="J26" s="50"/>
      <c r="K26" s="50"/>
      <c r="L26" s="50"/>
      <c r="M26" s="50"/>
      <c r="N26" s="50"/>
      <c r="O26" s="50"/>
      <c r="P26" s="50"/>
      <c r="Q26" s="50"/>
      <c r="R26" s="313"/>
      <c r="S26" s="179"/>
      <c r="T26" s="179"/>
      <c r="U26" s="179"/>
      <c r="V26" s="179"/>
      <c r="W26" s="179"/>
      <c r="X26" s="179"/>
      <c r="Y26" s="179"/>
      <c r="Z26" s="179"/>
      <c r="AA26" s="179"/>
      <c r="AB26" s="179"/>
      <c r="AC26" s="179"/>
      <c r="AD26" s="179"/>
      <c r="AE26" s="179"/>
      <c r="AF26" s="179"/>
      <c r="AG26" s="179"/>
      <c r="AH26" s="179"/>
      <c r="AI26" s="179"/>
      <c r="AJ26" s="179"/>
      <c r="AK26" s="179"/>
      <c r="AL26" s="179"/>
      <c r="AM26" s="179"/>
      <c r="AN26" s="179"/>
    </row>
    <row r="27" spans="2:40" s="49" customFormat="1" ht="15" customHeight="1">
      <c r="B27" s="46"/>
      <c r="C27" s="46"/>
      <c r="D27" s="46"/>
      <c r="E27" s="46"/>
      <c r="F27" s="459"/>
      <c r="G27" s="457"/>
      <c r="H27" s="50"/>
      <c r="I27" s="50"/>
      <c r="J27" s="50"/>
      <c r="K27" s="50"/>
      <c r="L27" s="50"/>
      <c r="M27" s="50"/>
      <c r="N27" s="50"/>
      <c r="O27" s="50"/>
      <c r="P27" s="50"/>
      <c r="Q27" s="50"/>
      <c r="R27" s="313"/>
      <c r="S27" s="179"/>
      <c r="T27" s="179"/>
      <c r="U27" s="179"/>
      <c r="V27" s="179"/>
      <c r="W27" s="179"/>
      <c r="X27" s="179"/>
      <c r="Y27" s="179"/>
      <c r="Z27" s="179"/>
      <c r="AA27" s="179"/>
      <c r="AB27" s="179"/>
      <c r="AC27" s="179"/>
      <c r="AD27" s="179"/>
      <c r="AE27" s="179"/>
      <c r="AF27" s="179"/>
      <c r="AG27" s="179"/>
      <c r="AH27" s="179"/>
      <c r="AI27" s="179"/>
      <c r="AJ27" s="179"/>
      <c r="AK27" s="179"/>
      <c r="AL27" s="179"/>
      <c r="AM27" s="179"/>
      <c r="AN27" s="179"/>
    </row>
    <row r="28" spans="2:40" s="49" customFormat="1" ht="15.75">
      <c r="B28" s="46"/>
      <c r="C28" s="46"/>
      <c r="D28" s="46"/>
      <c r="E28" s="46"/>
      <c r="F28" s="459"/>
      <c r="G28" s="458"/>
      <c r="H28" s="50"/>
      <c r="I28" s="50"/>
      <c r="J28" s="50"/>
      <c r="K28" s="50"/>
      <c r="L28" s="50"/>
      <c r="M28" s="50"/>
      <c r="N28" s="50"/>
      <c r="O28" s="50"/>
      <c r="P28" s="50"/>
      <c r="Q28" s="50"/>
      <c r="R28" s="313"/>
      <c r="S28" s="179"/>
      <c r="T28" s="179"/>
      <c r="U28" s="179"/>
      <c r="V28" s="179"/>
      <c r="W28" s="179"/>
      <c r="X28" s="179"/>
      <c r="Y28" s="179"/>
      <c r="Z28" s="179"/>
      <c r="AA28" s="179"/>
      <c r="AB28" s="179"/>
      <c r="AC28" s="179"/>
      <c r="AD28" s="179"/>
      <c r="AE28" s="179"/>
      <c r="AF28" s="179"/>
      <c r="AG28" s="179"/>
      <c r="AH28" s="179"/>
      <c r="AI28" s="179"/>
      <c r="AJ28" s="179"/>
      <c r="AK28" s="179"/>
      <c r="AL28" s="179"/>
      <c r="AM28" s="179"/>
      <c r="AN28" s="179"/>
    </row>
    <row r="29" spans="2:40" s="49" customFormat="1" ht="51.75" customHeight="1">
      <c r="B29" s="236">
        <v>1</v>
      </c>
      <c r="C29" s="451" t="s">
        <v>245</v>
      </c>
      <c r="D29" s="452"/>
      <c r="E29" s="453"/>
      <c r="F29" s="329">
        <f>IF(F21=0,"",((SUMPRODUCT($K$36:$K$135,$L$36:$L$135)+(F19*G29))/$F$21))</f>
        <v>1.1608344158413988</v>
      </c>
      <c r="G29" s="35"/>
      <c r="H29" s="50"/>
      <c r="I29" s="50"/>
      <c r="J29" s="50"/>
      <c r="K29" s="50"/>
      <c r="L29" s="50"/>
      <c r="M29" s="50"/>
      <c r="N29" s="50"/>
      <c r="O29" s="50"/>
      <c r="P29" s="50"/>
      <c r="Q29" s="50"/>
      <c r="R29" s="313"/>
      <c r="S29" s="179"/>
      <c r="T29" s="179"/>
      <c r="U29" s="179"/>
      <c r="V29" s="179"/>
      <c r="W29" s="179"/>
      <c r="X29" s="179"/>
      <c r="Y29" s="179"/>
      <c r="Z29" s="179"/>
      <c r="AA29" s="179"/>
      <c r="AB29" s="179"/>
      <c r="AC29" s="179"/>
      <c r="AD29" s="179"/>
      <c r="AE29" s="179"/>
      <c r="AF29" s="179"/>
      <c r="AG29" s="179"/>
      <c r="AH29" s="179"/>
      <c r="AI29" s="179"/>
      <c r="AJ29" s="179"/>
      <c r="AK29" s="179"/>
      <c r="AL29" s="179"/>
      <c r="AM29" s="179"/>
      <c r="AN29" s="179"/>
    </row>
    <row r="30" spans="18:40" s="46" customFormat="1" ht="15.75">
      <c r="R30" s="313"/>
      <c r="S30" s="179"/>
      <c r="T30" s="179"/>
      <c r="U30" s="179"/>
      <c r="V30" s="179"/>
      <c r="W30" s="179"/>
      <c r="X30" s="179"/>
      <c r="Y30" s="179"/>
      <c r="Z30" s="179"/>
      <c r="AA30" s="179"/>
      <c r="AB30" s="179"/>
      <c r="AC30" s="179"/>
      <c r="AD30" s="179"/>
      <c r="AE30" s="179"/>
      <c r="AF30" s="179"/>
      <c r="AG30" s="179"/>
      <c r="AH30" s="179"/>
      <c r="AI30" s="179"/>
      <c r="AJ30" s="179"/>
      <c r="AK30" s="179"/>
      <c r="AL30" s="179"/>
      <c r="AM30" s="179"/>
      <c r="AN30" s="179"/>
    </row>
    <row r="31" spans="2:40" s="49" customFormat="1" ht="18.75" thickBot="1">
      <c r="B31" s="288" t="s">
        <v>262</v>
      </c>
      <c r="C31" s="32"/>
      <c r="D31" s="32"/>
      <c r="E31" s="32"/>
      <c r="F31" s="33"/>
      <c r="G31" s="20"/>
      <c r="H31" s="54"/>
      <c r="I31" s="54"/>
      <c r="J31" s="54"/>
      <c r="K31" s="54"/>
      <c r="L31" s="54"/>
      <c r="M31" s="54"/>
      <c r="N31" s="54"/>
      <c r="O31" s="54"/>
      <c r="P31" s="54"/>
      <c r="Q31" s="54"/>
      <c r="R31" s="313"/>
      <c r="S31" s="179"/>
      <c r="T31" s="179"/>
      <c r="U31" s="179"/>
      <c r="V31" s="179"/>
      <c r="W31" s="179"/>
      <c r="X31" s="179"/>
      <c r="Y31" s="179"/>
      <c r="Z31" s="179"/>
      <c r="AA31" s="179"/>
      <c r="AB31" s="179"/>
      <c r="AC31" s="179"/>
      <c r="AD31" s="179"/>
      <c r="AE31" s="179"/>
      <c r="AF31" s="179"/>
      <c r="AG31" s="179"/>
      <c r="AH31" s="179"/>
      <c r="AI31" s="179"/>
      <c r="AJ31" s="179"/>
      <c r="AK31" s="179"/>
      <c r="AL31" s="179"/>
      <c r="AM31" s="179"/>
      <c r="AN31" s="179"/>
    </row>
    <row r="32" spans="3:40" s="49" customFormat="1" ht="16.5" thickTop="1">
      <c r="C32" s="3"/>
      <c r="D32" s="4"/>
      <c r="E32" s="4"/>
      <c r="F32" s="4"/>
      <c r="G32" s="34"/>
      <c r="H32" s="3"/>
      <c r="I32" s="50"/>
      <c r="J32" s="50"/>
      <c r="K32" s="50"/>
      <c r="L32" s="50"/>
      <c r="M32" s="50"/>
      <c r="N32" s="50"/>
      <c r="O32" s="50"/>
      <c r="P32" s="50"/>
      <c r="Q32" s="50"/>
      <c r="R32" s="313"/>
      <c r="S32" s="179"/>
      <c r="T32" s="179"/>
      <c r="U32" s="179"/>
      <c r="V32" s="179"/>
      <c r="W32" s="179"/>
      <c r="X32" s="179"/>
      <c r="Y32" s="179"/>
      <c r="Z32" s="179"/>
      <c r="AA32" s="179"/>
      <c r="AB32" s="179"/>
      <c r="AC32" s="179"/>
      <c r="AD32" s="179"/>
      <c r="AE32" s="179"/>
      <c r="AF32" s="179"/>
      <c r="AG32" s="179"/>
      <c r="AH32" s="179"/>
      <c r="AI32" s="179"/>
      <c r="AJ32" s="179"/>
      <c r="AK32" s="179"/>
      <c r="AL32" s="179"/>
      <c r="AM32" s="179"/>
      <c r="AN32" s="179"/>
    </row>
    <row r="33" spans="3:38" s="49" customFormat="1" ht="15.75">
      <c r="C33" s="330" t="s">
        <v>27</v>
      </c>
      <c r="D33" s="330" t="s">
        <v>29</v>
      </c>
      <c r="E33" s="330" t="s">
        <v>32</v>
      </c>
      <c r="F33" s="328" t="s">
        <v>246</v>
      </c>
      <c r="G33" s="254" t="s">
        <v>247</v>
      </c>
      <c r="H33" s="326" t="s">
        <v>248</v>
      </c>
      <c r="I33" s="326" t="s">
        <v>257</v>
      </c>
      <c r="J33" s="326" t="s">
        <v>249</v>
      </c>
      <c r="K33" s="326" t="s">
        <v>250</v>
      </c>
      <c r="L33" s="155" t="s">
        <v>251</v>
      </c>
      <c r="M33" s="156" t="s">
        <v>252</v>
      </c>
      <c r="N33" s="155" t="s">
        <v>253</v>
      </c>
      <c r="O33" s="155" t="s">
        <v>254</v>
      </c>
      <c r="P33" s="184" t="s">
        <v>255</v>
      </c>
      <c r="Q33" s="155" t="s">
        <v>256</v>
      </c>
      <c r="R33" s="313"/>
      <c r="S33" s="179"/>
      <c r="T33" s="179"/>
      <c r="U33" s="179"/>
      <c r="V33" s="179"/>
      <c r="W33" s="179"/>
      <c r="X33" s="179"/>
      <c r="Y33" s="179"/>
      <c r="Z33" s="179"/>
      <c r="AA33" s="179"/>
      <c r="AB33" s="179"/>
      <c r="AC33" s="179"/>
      <c r="AD33" s="179"/>
      <c r="AE33" s="179"/>
      <c r="AF33" s="179"/>
      <c r="AG33" s="179"/>
      <c r="AH33" s="179"/>
      <c r="AI33" s="179"/>
      <c r="AJ33" s="179"/>
      <c r="AK33" s="179"/>
      <c r="AL33" s="179"/>
    </row>
    <row r="34" spans="3:37" s="49" customFormat="1" ht="15.75">
      <c r="C34" s="246"/>
      <c r="D34" s="437" t="s">
        <v>165</v>
      </c>
      <c r="E34" s="437"/>
      <c r="F34" s="437"/>
      <c r="G34" s="437"/>
      <c r="H34" s="437"/>
      <c r="I34" s="437"/>
      <c r="J34" s="437"/>
      <c r="K34" s="437"/>
      <c r="L34" s="218" t="s">
        <v>28</v>
      </c>
      <c r="M34" s="448" t="s">
        <v>30</v>
      </c>
      <c r="N34" s="449"/>
      <c r="O34" s="449"/>
      <c r="P34" s="450"/>
      <c r="Q34" s="171"/>
      <c r="R34" s="313"/>
      <c r="S34" s="179"/>
      <c r="T34" s="179"/>
      <c r="U34" s="179"/>
      <c r="V34" s="179"/>
      <c r="W34" s="179"/>
      <c r="X34" s="179"/>
      <c r="Y34" s="179"/>
      <c r="Z34" s="179"/>
      <c r="AA34" s="179"/>
      <c r="AB34" s="179"/>
      <c r="AC34" s="179"/>
      <c r="AD34" s="179"/>
      <c r="AE34" s="179"/>
      <c r="AF34" s="179"/>
      <c r="AG34" s="179"/>
      <c r="AH34" s="179"/>
      <c r="AI34" s="179"/>
      <c r="AJ34" s="179"/>
      <c r="AK34" s="179"/>
    </row>
    <row r="35" spans="1:37" s="339" customFormat="1" ht="133.5" customHeight="1">
      <c r="A35" s="63"/>
      <c r="B35" s="236" t="s">
        <v>134</v>
      </c>
      <c r="C35" s="331" t="s">
        <v>11</v>
      </c>
      <c r="D35" s="332" t="s">
        <v>10</v>
      </c>
      <c r="E35" s="333" t="s">
        <v>4</v>
      </c>
      <c r="F35" s="333" t="s">
        <v>141</v>
      </c>
      <c r="G35" s="333" t="s">
        <v>104</v>
      </c>
      <c r="H35" s="333" t="s">
        <v>196</v>
      </c>
      <c r="I35" s="333" t="s">
        <v>142</v>
      </c>
      <c r="J35" s="333" t="s">
        <v>231</v>
      </c>
      <c r="K35" s="334" t="s">
        <v>232</v>
      </c>
      <c r="L35" s="292" t="s">
        <v>300</v>
      </c>
      <c r="M35" s="335" t="s">
        <v>5</v>
      </c>
      <c r="N35" s="333" t="s">
        <v>6</v>
      </c>
      <c r="O35" s="333" t="s">
        <v>31</v>
      </c>
      <c r="P35" s="333" t="s">
        <v>15</v>
      </c>
      <c r="Q35" s="336" t="s">
        <v>278</v>
      </c>
      <c r="R35" s="337" t="s">
        <v>313</v>
      </c>
      <c r="S35" s="338" t="s">
        <v>313</v>
      </c>
      <c r="T35" s="214"/>
      <c r="U35" s="214"/>
      <c r="V35" s="214"/>
      <c r="W35" s="214"/>
      <c r="X35" s="214"/>
      <c r="Y35" s="214"/>
      <c r="Z35" s="214"/>
      <c r="AA35" s="214"/>
      <c r="AB35" s="214"/>
      <c r="AC35" s="214"/>
      <c r="AD35" s="214"/>
      <c r="AE35" s="214"/>
      <c r="AF35" s="214"/>
      <c r="AG35" s="214"/>
      <c r="AH35" s="214"/>
      <c r="AI35" s="214"/>
      <c r="AJ35" s="214"/>
      <c r="AK35" s="214"/>
    </row>
    <row r="36" spans="2:40" ht="15.75">
      <c r="B36" s="340">
        <v>1</v>
      </c>
      <c r="C36" s="341">
        <f aca="true" t="shared" si="1" ref="C36:C67">IF(AND(NOT(COUNTA(D36:J36)),(NOT(COUNTA(L36:P36)))),"",VLOOKUP($D$7,Info_County_Code,2,FALSE))</f>
        <v>38</v>
      </c>
      <c r="D36" s="201" t="s">
        <v>347</v>
      </c>
      <c r="E36" s="201"/>
      <c r="F36" s="209" t="s">
        <v>143</v>
      </c>
      <c r="G36" s="210" t="s">
        <v>146</v>
      </c>
      <c r="H36" s="58"/>
      <c r="I36" s="65">
        <v>1</v>
      </c>
      <c r="J36" s="65">
        <v>0</v>
      </c>
      <c r="K36" s="342">
        <f>IF(OR(G36="Combined Summary",F36="Standalone"),(SUMPRODUCT(--(D$36:D$135=D36),I$36:I$135,J$36:J$135)),"")</f>
        <v>0</v>
      </c>
      <c r="L36" s="168">
        <v>185500</v>
      </c>
      <c r="M36" s="182">
        <v>0</v>
      </c>
      <c r="N36" s="55">
        <v>0</v>
      </c>
      <c r="O36" s="55">
        <v>0</v>
      </c>
      <c r="P36" s="55">
        <v>0</v>
      </c>
      <c r="Q36" s="343">
        <f>SUM(L36:P36)</f>
        <v>185500</v>
      </c>
      <c r="R36" s="344">
        <f>IF(OR(G36="Combined Summary",F36="Standalone"),(SUMIF(D$36:D$135,D36,I$36:I$135)),"")</f>
        <v>1</v>
      </c>
      <c r="S36" s="345">
        <f>IF(AND(F36="Standalone",NOT(R36=1)),"ERROR",IF(AND(G36="Combined Summary",NOT(R36=1)),"ERROR",""))</f>
      </c>
      <c r="AL36" s="315"/>
      <c r="AM36" s="315"/>
      <c r="AN36" s="315"/>
    </row>
    <row r="37" spans="2:40" ht="30.75">
      <c r="B37" s="340">
        <v>2</v>
      </c>
      <c r="C37" s="341">
        <f t="shared" si="1"/>
        <v>38</v>
      </c>
      <c r="D37" s="201" t="s">
        <v>348</v>
      </c>
      <c r="E37" s="201"/>
      <c r="F37" s="209" t="s">
        <v>143</v>
      </c>
      <c r="G37" s="210" t="s">
        <v>136</v>
      </c>
      <c r="H37" s="58"/>
      <c r="I37" s="65">
        <v>1</v>
      </c>
      <c r="J37" s="65">
        <v>1</v>
      </c>
      <c r="K37" s="342">
        <f aca="true" t="shared" si="2" ref="K37:K100">IF(OR(G37="Combined Summary",F37="Standalone"),(SUMPRODUCT(--(D$36:D$135=D37),I$36:I$135,J$36:J$135)),"")</f>
        <v>2</v>
      </c>
      <c r="L37" s="168">
        <f>0.5*1131957.8</f>
        <v>565978.9</v>
      </c>
      <c r="M37" s="182">
        <v>0</v>
      </c>
      <c r="N37" s="55">
        <v>0</v>
      </c>
      <c r="O37" s="55">
        <v>0</v>
      </c>
      <c r="P37" s="55">
        <v>36945</v>
      </c>
      <c r="Q37" s="343">
        <f aca="true" t="shared" si="3" ref="Q37:Q100">SUM(L37:P37)</f>
        <v>602923.9</v>
      </c>
      <c r="R37" s="344">
        <f aca="true" t="shared" si="4" ref="R37:R100">IF(OR(G37="Combined Summary",F37="Standalone"),(SUMIF(D$36:D$135,D37,I$36:I$135)),"")</f>
        <v>2</v>
      </c>
      <c r="S37" s="345" t="str">
        <f aca="true" t="shared" si="5" ref="S37:S100">IF(AND(F37="Standalone",NOT(R37=1)),"ERROR",IF(AND(G37="Combined Summary",NOT(R37=1)),"ERROR",""))</f>
        <v>ERROR</v>
      </c>
      <c r="AL37" s="315"/>
      <c r="AM37" s="315"/>
      <c r="AN37" s="315"/>
    </row>
    <row r="38" spans="2:40" ht="30.75">
      <c r="B38" s="340">
        <v>3</v>
      </c>
      <c r="C38" s="341">
        <f t="shared" si="1"/>
        <v>38</v>
      </c>
      <c r="D38" s="201" t="s">
        <v>348</v>
      </c>
      <c r="E38" s="201"/>
      <c r="F38" s="209" t="s">
        <v>143</v>
      </c>
      <c r="G38" s="210" t="s">
        <v>137</v>
      </c>
      <c r="H38" s="58"/>
      <c r="I38" s="65">
        <v>1</v>
      </c>
      <c r="J38" s="65">
        <v>1</v>
      </c>
      <c r="K38" s="342">
        <f t="shared" si="2"/>
        <v>2</v>
      </c>
      <c r="L38" s="168">
        <f>0.5*1131957.8</f>
        <v>565978.9</v>
      </c>
      <c r="M38" s="182">
        <v>0</v>
      </c>
      <c r="N38" s="55">
        <v>0</v>
      </c>
      <c r="O38" s="55">
        <v>0</v>
      </c>
      <c r="P38" s="55">
        <v>36945</v>
      </c>
      <c r="Q38" s="343">
        <f t="shared" si="3"/>
        <v>602923.9</v>
      </c>
      <c r="R38" s="344">
        <f t="shared" si="4"/>
        <v>2</v>
      </c>
      <c r="S38" s="345" t="str">
        <f t="shared" si="5"/>
        <v>ERROR</v>
      </c>
      <c r="AL38" s="315"/>
      <c r="AM38" s="315"/>
      <c r="AN38" s="315"/>
    </row>
    <row r="39" spans="2:40" ht="45.75">
      <c r="B39" s="340">
        <v>4</v>
      </c>
      <c r="C39" s="341">
        <f t="shared" si="1"/>
        <v>38</v>
      </c>
      <c r="D39" s="201" t="s">
        <v>349</v>
      </c>
      <c r="E39" s="201"/>
      <c r="F39" s="209" t="s">
        <v>143</v>
      </c>
      <c r="G39" s="210" t="s">
        <v>136</v>
      </c>
      <c r="H39" s="58"/>
      <c r="I39" s="65">
        <v>1</v>
      </c>
      <c r="J39" s="65">
        <v>0.30479072043136485</v>
      </c>
      <c r="K39" s="342">
        <f t="shared" si="2"/>
        <v>0.6095814408627297</v>
      </c>
      <c r="L39" s="168">
        <f>0.5*1814237.78</f>
        <v>907118.89</v>
      </c>
      <c r="M39" s="182">
        <v>0</v>
      </c>
      <c r="N39" s="55">
        <v>0</v>
      </c>
      <c r="O39" s="55">
        <v>0</v>
      </c>
      <c r="P39" s="55">
        <v>65031.5</v>
      </c>
      <c r="Q39" s="343">
        <f t="shared" si="3"/>
        <v>972150.39</v>
      </c>
      <c r="R39" s="344">
        <f t="shared" si="4"/>
        <v>2</v>
      </c>
      <c r="S39" s="345" t="str">
        <f t="shared" si="5"/>
        <v>ERROR</v>
      </c>
      <c r="AL39" s="315"/>
      <c r="AM39" s="315"/>
      <c r="AN39" s="315"/>
    </row>
    <row r="40" spans="2:40" ht="45.75">
      <c r="B40" s="340">
        <v>5</v>
      </c>
      <c r="C40" s="341">
        <f t="shared" si="1"/>
        <v>38</v>
      </c>
      <c r="D40" s="201" t="s">
        <v>349</v>
      </c>
      <c r="E40" s="201"/>
      <c r="F40" s="209" t="s">
        <v>143</v>
      </c>
      <c r="G40" s="210" t="s">
        <v>137</v>
      </c>
      <c r="H40" s="58"/>
      <c r="I40" s="65">
        <v>1</v>
      </c>
      <c r="J40" s="65">
        <v>0.30479072043136485</v>
      </c>
      <c r="K40" s="342">
        <f t="shared" si="2"/>
        <v>0.6095814408627297</v>
      </c>
      <c r="L40" s="168">
        <f>0.5*1814237.78</f>
        <v>907118.89</v>
      </c>
      <c r="M40" s="182">
        <v>0</v>
      </c>
      <c r="N40" s="55">
        <v>0</v>
      </c>
      <c r="O40" s="55">
        <v>0</v>
      </c>
      <c r="P40" s="55">
        <v>65031.5</v>
      </c>
      <c r="Q40" s="343">
        <f t="shared" si="3"/>
        <v>972150.39</v>
      </c>
      <c r="R40" s="344">
        <f t="shared" si="4"/>
        <v>2</v>
      </c>
      <c r="S40" s="345" t="str">
        <f t="shared" si="5"/>
        <v>ERROR</v>
      </c>
      <c r="AL40" s="315"/>
      <c r="AM40" s="315"/>
      <c r="AN40" s="315"/>
    </row>
    <row r="41" spans="2:40" ht="30.75">
      <c r="B41" s="340">
        <v>6</v>
      </c>
      <c r="C41" s="341">
        <f t="shared" si="1"/>
        <v>38</v>
      </c>
      <c r="D41" s="201" t="s">
        <v>350</v>
      </c>
      <c r="E41" s="201"/>
      <c r="F41" s="209" t="s">
        <v>143</v>
      </c>
      <c r="G41" s="210" t="s">
        <v>136</v>
      </c>
      <c r="H41" s="58"/>
      <c r="I41" s="65">
        <v>1</v>
      </c>
      <c r="J41" s="65">
        <v>1</v>
      </c>
      <c r="K41" s="342">
        <f t="shared" si="2"/>
        <v>2</v>
      </c>
      <c r="L41" s="168">
        <f>0.75*719956.21</f>
        <v>539967.1575</v>
      </c>
      <c r="M41" s="182">
        <v>0</v>
      </c>
      <c r="N41" s="55">
        <v>0</v>
      </c>
      <c r="O41" s="55">
        <v>0</v>
      </c>
      <c r="P41" s="55">
        <v>2599512</v>
      </c>
      <c r="Q41" s="343">
        <f t="shared" si="3"/>
        <v>3139479.1574999997</v>
      </c>
      <c r="R41" s="344">
        <f t="shared" si="4"/>
        <v>2</v>
      </c>
      <c r="S41" s="345" t="str">
        <f t="shared" si="5"/>
        <v>ERROR</v>
      </c>
      <c r="AL41" s="315"/>
      <c r="AM41" s="315"/>
      <c r="AN41" s="315"/>
    </row>
    <row r="42" spans="2:40" ht="30.75">
      <c r="B42" s="340">
        <v>7</v>
      </c>
      <c r="C42" s="341">
        <f t="shared" si="1"/>
        <v>38</v>
      </c>
      <c r="D42" s="201" t="s">
        <v>350</v>
      </c>
      <c r="E42" s="201"/>
      <c r="F42" s="209" t="s">
        <v>143</v>
      </c>
      <c r="G42" s="210" t="s">
        <v>137</v>
      </c>
      <c r="H42" s="58"/>
      <c r="I42" s="65">
        <v>1</v>
      </c>
      <c r="J42" s="65">
        <v>1</v>
      </c>
      <c r="K42" s="342">
        <f t="shared" si="2"/>
        <v>2</v>
      </c>
      <c r="L42" s="168">
        <f>0.25*719956.21</f>
        <v>179989.0525</v>
      </c>
      <c r="M42" s="182">
        <v>0</v>
      </c>
      <c r="N42" s="55">
        <v>0</v>
      </c>
      <c r="O42" s="55">
        <v>0</v>
      </c>
      <c r="P42" s="55">
        <v>866504</v>
      </c>
      <c r="Q42" s="343">
        <f t="shared" si="3"/>
        <v>1046493.0525</v>
      </c>
      <c r="R42" s="344">
        <f t="shared" si="4"/>
        <v>2</v>
      </c>
      <c r="S42" s="345" t="str">
        <f t="shared" si="5"/>
        <v>ERROR</v>
      </c>
      <c r="AL42" s="315"/>
      <c r="AM42" s="315"/>
      <c r="AN42" s="315"/>
    </row>
    <row r="43" spans="2:40" ht="30.75">
      <c r="B43" s="340">
        <v>8</v>
      </c>
      <c r="C43" s="341">
        <f t="shared" si="1"/>
        <v>38</v>
      </c>
      <c r="D43" s="201" t="s">
        <v>351</v>
      </c>
      <c r="E43" s="201"/>
      <c r="F43" s="209" t="s">
        <v>143</v>
      </c>
      <c r="G43" s="210" t="s">
        <v>136</v>
      </c>
      <c r="H43" s="58"/>
      <c r="I43" s="65">
        <v>1</v>
      </c>
      <c r="J43" s="65">
        <v>0.3384937094362599</v>
      </c>
      <c r="K43" s="342">
        <f t="shared" si="2"/>
        <v>0.6769874188725198</v>
      </c>
      <c r="L43" s="168">
        <f>0.1*344003.35</f>
        <v>34400.335</v>
      </c>
      <c r="M43" s="182">
        <f>3881.78*0.1</f>
        <v>388.17800000000005</v>
      </c>
      <c r="N43" s="55">
        <v>0</v>
      </c>
      <c r="O43" s="55">
        <v>0</v>
      </c>
      <c r="P43" s="55">
        <v>0</v>
      </c>
      <c r="Q43" s="343">
        <f t="shared" si="3"/>
        <v>34788.513</v>
      </c>
      <c r="R43" s="344">
        <f t="shared" si="4"/>
        <v>2</v>
      </c>
      <c r="S43" s="345" t="str">
        <f t="shared" si="5"/>
        <v>ERROR</v>
      </c>
      <c r="AL43" s="315"/>
      <c r="AM43" s="315"/>
      <c r="AN43" s="315"/>
    </row>
    <row r="44" spans="2:40" ht="30.75">
      <c r="B44" s="340">
        <v>9</v>
      </c>
      <c r="C44" s="341">
        <f t="shared" si="1"/>
        <v>38</v>
      </c>
      <c r="D44" s="201" t="s">
        <v>351</v>
      </c>
      <c r="E44" s="201"/>
      <c r="F44" s="209" t="s">
        <v>143</v>
      </c>
      <c r="G44" s="210" t="s">
        <v>137</v>
      </c>
      <c r="H44" s="58"/>
      <c r="I44" s="65">
        <v>1</v>
      </c>
      <c r="J44" s="65">
        <v>0.3384937094362599</v>
      </c>
      <c r="K44" s="342">
        <f t="shared" si="2"/>
        <v>0.6769874188725198</v>
      </c>
      <c r="L44" s="168">
        <f>0.9*344003.35</f>
        <v>309603.015</v>
      </c>
      <c r="M44" s="182">
        <f>3881.78*0.9</f>
        <v>3493.6020000000003</v>
      </c>
      <c r="N44" s="55">
        <v>0</v>
      </c>
      <c r="O44" s="55">
        <v>0</v>
      </c>
      <c r="P44" s="55">
        <v>0</v>
      </c>
      <c r="Q44" s="343">
        <f t="shared" si="3"/>
        <v>313096.617</v>
      </c>
      <c r="R44" s="344">
        <f t="shared" si="4"/>
        <v>2</v>
      </c>
      <c r="S44" s="345" t="str">
        <f t="shared" si="5"/>
        <v>ERROR</v>
      </c>
      <c r="AL44" s="315"/>
      <c r="AM44" s="315"/>
      <c r="AN44" s="315"/>
    </row>
    <row r="45" spans="2:40" ht="15.75">
      <c r="B45" s="340">
        <v>10</v>
      </c>
      <c r="C45" s="341">
        <f t="shared" si="1"/>
      </c>
      <c r="D45" s="201"/>
      <c r="E45" s="201"/>
      <c r="F45" s="209"/>
      <c r="G45" s="48"/>
      <c r="H45" s="58"/>
      <c r="I45" s="65"/>
      <c r="J45" s="65"/>
      <c r="K45" s="342">
        <f t="shared" si="2"/>
      </c>
      <c r="L45" s="168"/>
      <c r="M45" s="182"/>
      <c r="N45" s="55"/>
      <c r="O45" s="55"/>
      <c r="P45" s="55"/>
      <c r="Q45" s="343">
        <f t="shared" si="3"/>
        <v>0</v>
      </c>
      <c r="R45" s="344">
        <f t="shared" si="4"/>
      </c>
      <c r="S45" s="345">
        <f t="shared" si="5"/>
      </c>
      <c r="AL45" s="315"/>
      <c r="AM45" s="315"/>
      <c r="AN45" s="315"/>
    </row>
    <row r="46" spans="2:40" ht="15.75">
      <c r="B46" s="340">
        <v>11</v>
      </c>
      <c r="C46" s="341">
        <f t="shared" si="1"/>
      </c>
      <c r="D46" s="201"/>
      <c r="E46" s="201"/>
      <c r="F46" s="58"/>
      <c r="G46" s="48"/>
      <c r="H46" s="58"/>
      <c r="I46" s="65"/>
      <c r="J46" s="65"/>
      <c r="K46" s="342">
        <f t="shared" si="2"/>
      </c>
      <c r="L46" s="168"/>
      <c r="M46" s="182"/>
      <c r="N46" s="55"/>
      <c r="O46" s="55"/>
      <c r="P46" s="55"/>
      <c r="Q46" s="343">
        <f t="shared" si="3"/>
        <v>0</v>
      </c>
      <c r="R46" s="344">
        <f t="shared" si="4"/>
      </c>
      <c r="S46" s="345">
        <f t="shared" si="5"/>
      </c>
      <c r="AL46" s="315"/>
      <c r="AM46" s="315"/>
      <c r="AN46" s="315"/>
    </row>
    <row r="47" spans="2:40" ht="15.75">
      <c r="B47" s="340">
        <v>12</v>
      </c>
      <c r="C47" s="341">
        <f t="shared" si="1"/>
      </c>
      <c r="D47" s="201"/>
      <c r="E47" s="201"/>
      <c r="F47" s="58"/>
      <c r="G47" s="48"/>
      <c r="H47" s="58"/>
      <c r="I47" s="65"/>
      <c r="J47" s="65"/>
      <c r="K47" s="342">
        <f t="shared" si="2"/>
      </c>
      <c r="L47" s="168"/>
      <c r="M47" s="182"/>
      <c r="N47" s="55"/>
      <c r="O47" s="55"/>
      <c r="P47" s="55"/>
      <c r="Q47" s="343">
        <f t="shared" si="3"/>
        <v>0</v>
      </c>
      <c r="R47" s="344">
        <f t="shared" si="4"/>
      </c>
      <c r="S47" s="345">
        <f t="shared" si="5"/>
      </c>
      <c r="AL47" s="315"/>
      <c r="AM47" s="315"/>
      <c r="AN47" s="315"/>
    </row>
    <row r="48" spans="2:40" ht="15.75">
      <c r="B48" s="340">
        <v>13</v>
      </c>
      <c r="C48" s="341">
        <f t="shared" si="1"/>
      </c>
      <c r="D48" s="201"/>
      <c r="E48" s="201"/>
      <c r="F48" s="58"/>
      <c r="G48" s="48"/>
      <c r="H48" s="58"/>
      <c r="I48" s="65"/>
      <c r="J48" s="65"/>
      <c r="K48" s="342">
        <f t="shared" si="2"/>
      </c>
      <c r="L48" s="168"/>
      <c r="M48" s="182"/>
      <c r="N48" s="55"/>
      <c r="O48" s="55"/>
      <c r="P48" s="55"/>
      <c r="Q48" s="343">
        <f t="shared" si="3"/>
        <v>0</v>
      </c>
      <c r="R48" s="344">
        <f t="shared" si="4"/>
      </c>
      <c r="S48" s="345">
        <f t="shared" si="5"/>
      </c>
      <c r="AL48" s="315"/>
      <c r="AM48" s="315"/>
      <c r="AN48" s="315"/>
    </row>
    <row r="49" spans="2:40" ht="15.75">
      <c r="B49" s="340">
        <v>14</v>
      </c>
      <c r="C49" s="341">
        <f t="shared" si="1"/>
      </c>
      <c r="D49" s="201"/>
      <c r="E49" s="201"/>
      <c r="F49" s="58"/>
      <c r="G49" s="48"/>
      <c r="H49" s="58"/>
      <c r="I49" s="65"/>
      <c r="J49" s="65"/>
      <c r="K49" s="342">
        <f t="shared" si="2"/>
      </c>
      <c r="L49" s="168"/>
      <c r="M49" s="182"/>
      <c r="N49" s="55"/>
      <c r="O49" s="55"/>
      <c r="P49" s="55"/>
      <c r="Q49" s="343">
        <f t="shared" si="3"/>
        <v>0</v>
      </c>
      <c r="R49" s="344">
        <f t="shared" si="4"/>
      </c>
      <c r="S49" s="345">
        <f t="shared" si="5"/>
      </c>
      <c r="AL49" s="315"/>
      <c r="AM49" s="315"/>
      <c r="AN49" s="315"/>
    </row>
    <row r="50" spans="2:40" ht="15.75">
      <c r="B50" s="340">
        <v>15</v>
      </c>
      <c r="C50" s="341">
        <f t="shared" si="1"/>
      </c>
      <c r="D50" s="201"/>
      <c r="E50" s="201"/>
      <c r="F50" s="58"/>
      <c r="G50" s="48"/>
      <c r="H50" s="58"/>
      <c r="I50" s="65"/>
      <c r="J50" s="65"/>
      <c r="K50" s="342">
        <f t="shared" si="2"/>
      </c>
      <c r="L50" s="168"/>
      <c r="M50" s="182"/>
      <c r="N50" s="55"/>
      <c r="O50" s="55"/>
      <c r="P50" s="55"/>
      <c r="Q50" s="343">
        <f t="shared" si="3"/>
        <v>0</v>
      </c>
      <c r="R50" s="344">
        <f t="shared" si="4"/>
      </c>
      <c r="S50" s="345">
        <f t="shared" si="5"/>
      </c>
      <c r="AL50" s="315"/>
      <c r="AM50" s="315"/>
      <c r="AN50" s="315"/>
    </row>
    <row r="51" spans="2:40" ht="15.75">
      <c r="B51" s="340">
        <v>16</v>
      </c>
      <c r="C51" s="341">
        <f t="shared" si="1"/>
      </c>
      <c r="D51" s="201"/>
      <c r="E51" s="201"/>
      <c r="F51" s="58"/>
      <c r="G51" s="48"/>
      <c r="H51" s="58"/>
      <c r="I51" s="65"/>
      <c r="J51" s="65"/>
      <c r="K51" s="342">
        <f t="shared" si="2"/>
      </c>
      <c r="L51" s="168"/>
      <c r="M51" s="182"/>
      <c r="N51" s="55"/>
      <c r="O51" s="55"/>
      <c r="P51" s="55"/>
      <c r="Q51" s="343">
        <f t="shared" si="3"/>
        <v>0</v>
      </c>
      <c r="R51" s="344">
        <f t="shared" si="4"/>
      </c>
      <c r="S51" s="345">
        <f t="shared" si="5"/>
      </c>
      <c r="AL51" s="315"/>
      <c r="AM51" s="315"/>
      <c r="AN51" s="315"/>
    </row>
    <row r="52" spans="2:40" ht="15.75">
      <c r="B52" s="340">
        <v>17</v>
      </c>
      <c r="C52" s="341">
        <f t="shared" si="1"/>
      </c>
      <c r="D52" s="201"/>
      <c r="E52" s="201"/>
      <c r="F52" s="58"/>
      <c r="G52" s="48"/>
      <c r="H52" s="58"/>
      <c r="I52" s="65"/>
      <c r="J52" s="65"/>
      <c r="K52" s="342">
        <f t="shared" si="2"/>
      </c>
      <c r="L52" s="168"/>
      <c r="M52" s="182"/>
      <c r="N52" s="55"/>
      <c r="O52" s="55"/>
      <c r="P52" s="55"/>
      <c r="Q52" s="343">
        <f t="shared" si="3"/>
        <v>0</v>
      </c>
      <c r="R52" s="344">
        <f t="shared" si="4"/>
      </c>
      <c r="S52" s="345">
        <f t="shared" si="5"/>
      </c>
      <c r="AL52" s="315"/>
      <c r="AM52" s="315"/>
      <c r="AN52" s="315"/>
    </row>
    <row r="53" spans="2:40" ht="15.75">
      <c r="B53" s="340">
        <v>18</v>
      </c>
      <c r="C53" s="341">
        <f t="shared" si="1"/>
      </c>
      <c r="D53" s="201"/>
      <c r="E53" s="201"/>
      <c r="F53" s="58"/>
      <c r="G53" s="48"/>
      <c r="H53" s="58"/>
      <c r="I53" s="65"/>
      <c r="J53" s="65"/>
      <c r="K53" s="342">
        <f t="shared" si="2"/>
      </c>
      <c r="L53" s="168"/>
      <c r="M53" s="182"/>
      <c r="N53" s="55"/>
      <c r="O53" s="55"/>
      <c r="P53" s="55"/>
      <c r="Q53" s="343">
        <f t="shared" si="3"/>
        <v>0</v>
      </c>
      <c r="R53" s="344">
        <f t="shared" si="4"/>
      </c>
      <c r="S53" s="345">
        <f t="shared" si="5"/>
      </c>
      <c r="AL53" s="315"/>
      <c r="AM53" s="315"/>
      <c r="AN53" s="315"/>
    </row>
    <row r="54" spans="2:40" ht="15.75">
      <c r="B54" s="340">
        <v>19</v>
      </c>
      <c r="C54" s="341">
        <f t="shared" si="1"/>
      </c>
      <c r="D54" s="201"/>
      <c r="E54" s="201"/>
      <c r="F54" s="58"/>
      <c r="G54" s="48"/>
      <c r="H54" s="58"/>
      <c r="I54" s="65"/>
      <c r="J54" s="65"/>
      <c r="K54" s="342">
        <f t="shared" si="2"/>
      </c>
      <c r="L54" s="168"/>
      <c r="M54" s="182"/>
      <c r="N54" s="55"/>
      <c r="O54" s="55"/>
      <c r="P54" s="55"/>
      <c r="Q54" s="343">
        <f t="shared" si="3"/>
        <v>0</v>
      </c>
      <c r="R54" s="344">
        <f t="shared" si="4"/>
      </c>
      <c r="S54" s="345">
        <f t="shared" si="5"/>
      </c>
      <c r="AL54" s="315"/>
      <c r="AM54" s="315"/>
      <c r="AN54" s="315"/>
    </row>
    <row r="55" spans="2:40" ht="15.75">
      <c r="B55" s="340">
        <v>20</v>
      </c>
      <c r="C55" s="341">
        <f t="shared" si="1"/>
      </c>
      <c r="D55" s="201"/>
      <c r="E55" s="201"/>
      <c r="F55" s="58"/>
      <c r="G55" s="48"/>
      <c r="H55" s="58"/>
      <c r="I55" s="65"/>
      <c r="J55" s="65"/>
      <c r="K55" s="342">
        <f t="shared" si="2"/>
      </c>
      <c r="L55" s="168"/>
      <c r="M55" s="182"/>
      <c r="N55" s="55"/>
      <c r="O55" s="55"/>
      <c r="P55" s="55"/>
      <c r="Q55" s="343">
        <f t="shared" si="3"/>
        <v>0</v>
      </c>
      <c r="R55" s="344">
        <f t="shared" si="4"/>
      </c>
      <c r="S55" s="345">
        <f t="shared" si="5"/>
      </c>
      <c r="AL55" s="315"/>
      <c r="AM55" s="315"/>
      <c r="AN55" s="315"/>
    </row>
    <row r="56" spans="2:40" ht="15.75">
      <c r="B56" s="340">
        <v>21</v>
      </c>
      <c r="C56" s="341">
        <f t="shared" si="1"/>
      </c>
      <c r="D56" s="201"/>
      <c r="E56" s="201"/>
      <c r="F56" s="58"/>
      <c r="G56" s="48"/>
      <c r="H56" s="58"/>
      <c r="I56" s="65"/>
      <c r="J56" s="65"/>
      <c r="K56" s="342">
        <f t="shared" si="2"/>
      </c>
      <c r="L56" s="168"/>
      <c r="M56" s="182"/>
      <c r="N56" s="55"/>
      <c r="O56" s="55"/>
      <c r="P56" s="55"/>
      <c r="Q56" s="343">
        <f t="shared" si="3"/>
        <v>0</v>
      </c>
      <c r="R56" s="344">
        <f t="shared" si="4"/>
      </c>
      <c r="S56" s="345">
        <f t="shared" si="5"/>
      </c>
      <c r="AL56" s="315"/>
      <c r="AM56" s="315"/>
      <c r="AN56" s="315"/>
    </row>
    <row r="57" spans="2:40" ht="15.75">
      <c r="B57" s="340">
        <v>22</v>
      </c>
      <c r="C57" s="341">
        <f t="shared" si="1"/>
      </c>
      <c r="D57" s="201"/>
      <c r="E57" s="201"/>
      <c r="F57" s="58"/>
      <c r="G57" s="48"/>
      <c r="H57" s="58"/>
      <c r="I57" s="65"/>
      <c r="J57" s="65"/>
      <c r="K57" s="342">
        <f t="shared" si="2"/>
      </c>
      <c r="L57" s="168"/>
      <c r="M57" s="182"/>
      <c r="N57" s="55"/>
      <c r="O57" s="55"/>
      <c r="P57" s="55"/>
      <c r="Q57" s="343">
        <f t="shared" si="3"/>
        <v>0</v>
      </c>
      <c r="R57" s="344">
        <f t="shared" si="4"/>
      </c>
      <c r="S57" s="345">
        <f t="shared" si="5"/>
      </c>
      <c r="AL57" s="315"/>
      <c r="AM57" s="315"/>
      <c r="AN57" s="315"/>
    </row>
    <row r="58" spans="2:40" ht="15.75">
      <c r="B58" s="340">
        <v>23</v>
      </c>
      <c r="C58" s="341">
        <f t="shared" si="1"/>
      </c>
      <c r="D58" s="201"/>
      <c r="E58" s="201"/>
      <c r="F58" s="58"/>
      <c r="G58" s="48"/>
      <c r="H58" s="58"/>
      <c r="I58" s="65"/>
      <c r="J58" s="65"/>
      <c r="K58" s="342">
        <f t="shared" si="2"/>
      </c>
      <c r="L58" s="168"/>
      <c r="M58" s="182"/>
      <c r="N58" s="55"/>
      <c r="O58" s="55"/>
      <c r="P58" s="55"/>
      <c r="Q58" s="343">
        <f t="shared" si="3"/>
        <v>0</v>
      </c>
      <c r="R58" s="344">
        <f t="shared" si="4"/>
      </c>
      <c r="S58" s="345">
        <f t="shared" si="5"/>
      </c>
      <c r="AL58" s="315"/>
      <c r="AM58" s="315"/>
      <c r="AN58" s="315"/>
    </row>
    <row r="59" spans="2:40" ht="15.75">
      <c r="B59" s="340">
        <v>24</v>
      </c>
      <c r="C59" s="341">
        <f t="shared" si="1"/>
      </c>
      <c r="D59" s="201"/>
      <c r="E59" s="201"/>
      <c r="F59" s="58"/>
      <c r="G59" s="48"/>
      <c r="H59" s="58"/>
      <c r="I59" s="65"/>
      <c r="J59" s="65"/>
      <c r="K59" s="342">
        <f t="shared" si="2"/>
      </c>
      <c r="L59" s="168"/>
      <c r="M59" s="182"/>
      <c r="N59" s="55"/>
      <c r="O59" s="55"/>
      <c r="P59" s="55"/>
      <c r="Q59" s="343">
        <f t="shared" si="3"/>
        <v>0</v>
      </c>
      <c r="R59" s="344">
        <f t="shared" si="4"/>
      </c>
      <c r="S59" s="345">
        <f t="shared" si="5"/>
      </c>
      <c r="AL59" s="315"/>
      <c r="AM59" s="315"/>
      <c r="AN59" s="315"/>
    </row>
    <row r="60" spans="2:40" ht="15.75">
      <c r="B60" s="340">
        <v>25</v>
      </c>
      <c r="C60" s="341">
        <f t="shared" si="1"/>
      </c>
      <c r="D60" s="201"/>
      <c r="E60" s="201"/>
      <c r="F60" s="58"/>
      <c r="G60" s="48"/>
      <c r="H60" s="58"/>
      <c r="I60" s="65"/>
      <c r="J60" s="65"/>
      <c r="K60" s="342">
        <f t="shared" si="2"/>
      </c>
      <c r="L60" s="168"/>
      <c r="M60" s="182"/>
      <c r="N60" s="55"/>
      <c r="O60" s="55"/>
      <c r="P60" s="55"/>
      <c r="Q60" s="343">
        <f t="shared" si="3"/>
        <v>0</v>
      </c>
      <c r="R60" s="344">
        <f t="shared" si="4"/>
      </c>
      <c r="S60" s="345">
        <f t="shared" si="5"/>
      </c>
      <c r="AL60" s="315"/>
      <c r="AM60" s="315"/>
      <c r="AN60" s="315"/>
    </row>
    <row r="61" spans="2:40" ht="15.75">
      <c r="B61" s="340">
        <v>26</v>
      </c>
      <c r="C61" s="341">
        <f t="shared" si="1"/>
      </c>
      <c r="D61" s="201"/>
      <c r="E61" s="201"/>
      <c r="F61" s="58"/>
      <c r="G61" s="48"/>
      <c r="H61" s="58"/>
      <c r="I61" s="65"/>
      <c r="J61" s="65"/>
      <c r="K61" s="342">
        <f t="shared" si="2"/>
      </c>
      <c r="L61" s="168"/>
      <c r="M61" s="182"/>
      <c r="N61" s="55"/>
      <c r="O61" s="55"/>
      <c r="P61" s="55"/>
      <c r="Q61" s="343">
        <f t="shared" si="3"/>
        <v>0</v>
      </c>
      <c r="R61" s="344">
        <f t="shared" si="4"/>
      </c>
      <c r="S61" s="345">
        <f t="shared" si="5"/>
      </c>
      <c r="AL61" s="315"/>
      <c r="AM61" s="315"/>
      <c r="AN61" s="315"/>
    </row>
    <row r="62" spans="2:40" ht="15.75">
      <c r="B62" s="340">
        <v>27</v>
      </c>
      <c r="C62" s="341">
        <f t="shared" si="1"/>
      </c>
      <c r="D62" s="201"/>
      <c r="E62" s="201"/>
      <c r="F62" s="58"/>
      <c r="G62" s="48"/>
      <c r="H62" s="58"/>
      <c r="I62" s="65"/>
      <c r="J62" s="65"/>
      <c r="K62" s="342">
        <f t="shared" si="2"/>
      </c>
      <c r="L62" s="168"/>
      <c r="M62" s="182"/>
      <c r="N62" s="55"/>
      <c r="O62" s="55"/>
      <c r="P62" s="55"/>
      <c r="Q62" s="343">
        <f t="shared" si="3"/>
        <v>0</v>
      </c>
      <c r="R62" s="344">
        <f t="shared" si="4"/>
      </c>
      <c r="S62" s="345">
        <f t="shared" si="5"/>
      </c>
      <c r="AL62" s="315"/>
      <c r="AM62" s="315"/>
      <c r="AN62" s="315"/>
    </row>
    <row r="63" spans="2:40" ht="15.75">
      <c r="B63" s="340">
        <v>28</v>
      </c>
      <c r="C63" s="341">
        <f t="shared" si="1"/>
      </c>
      <c r="D63" s="201"/>
      <c r="E63" s="201"/>
      <c r="F63" s="58"/>
      <c r="G63" s="48"/>
      <c r="H63" s="58"/>
      <c r="I63" s="65"/>
      <c r="J63" s="65"/>
      <c r="K63" s="342">
        <f t="shared" si="2"/>
      </c>
      <c r="L63" s="168"/>
      <c r="M63" s="182"/>
      <c r="N63" s="55"/>
      <c r="O63" s="55"/>
      <c r="P63" s="55"/>
      <c r="Q63" s="343">
        <f t="shared" si="3"/>
        <v>0</v>
      </c>
      <c r="R63" s="344">
        <f t="shared" si="4"/>
      </c>
      <c r="S63" s="345">
        <f t="shared" si="5"/>
      </c>
      <c r="AL63" s="315"/>
      <c r="AM63" s="315"/>
      <c r="AN63" s="315"/>
    </row>
    <row r="64" spans="2:40" ht="15.75">
      <c r="B64" s="340">
        <v>29</v>
      </c>
      <c r="C64" s="341">
        <f t="shared" si="1"/>
      </c>
      <c r="D64" s="201"/>
      <c r="E64" s="201"/>
      <c r="F64" s="58"/>
      <c r="G64" s="48"/>
      <c r="H64" s="58"/>
      <c r="I64" s="65"/>
      <c r="J64" s="65"/>
      <c r="K64" s="342">
        <f t="shared" si="2"/>
      </c>
      <c r="L64" s="168"/>
      <c r="M64" s="182"/>
      <c r="N64" s="55"/>
      <c r="O64" s="55"/>
      <c r="P64" s="55"/>
      <c r="Q64" s="343">
        <f t="shared" si="3"/>
        <v>0</v>
      </c>
      <c r="R64" s="344">
        <f t="shared" si="4"/>
      </c>
      <c r="S64" s="345">
        <f t="shared" si="5"/>
      </c>
      <c r="AL64" s="315"/>
      <c r="AM64" s="315"/>
      <c r="AN64" s="315"/>
    </row>
    <row r="65" spans="2:40" ht="15.75">
      <c r="B65" s="340">
        <v>30</v>
      </c>
      <c r="C65" s="341">
        <f t="shared" si="1"/>
      </c>
      <c r="D65" s="201"/>
      <c r="E65" s="201"/>
      <c r="F65" s="58"/>
      <c r="G65" s="48"/>
      <c r="H65" s="58"/>
      <c r="I65" s="65"/>
      <c r="J65" s="65"/>
      <c r="K65" s="342">
        <f t="shared" si="2"/>
      </c>
      <c r="L65" s="168"/>
      <c r="M65" s="182"/>
      <c r="N65" s="55"/>
      <c r="O65" s="55"/>
      <c r="P65" s="55"/>
      <c r="Q65" s="343">
        <f t="shared" si="3"/>
        <v>0</v>
      </c>
      <c r="R65" s="344">
        <f t="shared" si="4"/>
      </c>
      <c r="S65" s="345">
        <f t="shared" si="5"/>
      </c>
      <c r="AL65" s="315"/>
      <c r="AM65" s="315"/>
      <c r="AN65" s="315"/>
    </row>
    <row r="66" spans="2:40" ht="15.75">
      <c r="B66" s="340">
        <v>31</v>
      </c>
      <c r="C66" s="341">
        <f t="shared" si="1"/>
      </c>
      <c r="D66" s="201"/>
      <c r="E66" s="201"/>
      <c r="F66" s="58"/>
      <c r="G66" s="48"/>
      <c r="H66" s="58"/>
      <c r="I66" s="65"/>
      <c r="J66" s="65"/>
      <c r="K66" s="342">
        <f t="shared" si="2"/>
      </c>
      <c r="L66" s="168"/>
      <c r="M66" s="182"/>
      <c r="N66" s="55"/>
      <c r="O66" s="55"/>
      <c r="P66" s="55"/>
      <c r="Q66" s="343">
        <f t="shared" si="3"/>
        <v>0</v>
      </c>
      <c r="R66" s="344">
        <f t="shared" si="4"/>
      </c>
      <c r="S66" s="345">
        <f t="shared" si="5"/>
      </c>
      <c r="AL66" s="315"/>
      <c r="AM66" s="315"/>
      <c r="AN66" s="315"/>
    </row>
    <row r="67" spans="2:40" ht="15.75">
      <c r="B67" s="340">
        <v>32</v>
      </c>
      <c r="C67" s="341">
        <f t="shared" si="1"/>
      </c>
      <c r="D67" s="201"/>
      <c r="E67" s="201"/>
      <c r="F67" s="58"/>
      <c r="G67" s="48"/>
      <c r="H67" s="58"/>
      <c r="I67" s="65"/>
      <c r="J67" s="65"/>
      <c r="K67" s="342">
        <f t="shared" si="2"/>
      </c>
      <c r="L67" s="168"/>
      <c r="M67" s="182"/>
      <c r="N67" s="55"/>
      <c r="O67" s="55"/>
      <c r="P67" s="55"/>
      <c r="Q67" s="343">
        <f t="shared" si="3"/>
        <v>0</v>
      </c>
      <c r="R67" s="344">
        <f t="shared" si="4"/>
      </c>
      <c r="S67" s="345">
        <f t="shared" si="5"/>
      </c>
      <c r="AL67" s="315"/>
      <c r="AM67" s="315"/>
      <c r="AN67" s="315"/>
    </row>
    <row r="68" spans="2:40" ht="15.75">
      <c r="B68" s="340">
        <v>33</v>
      </c>
      <c r="C68" s="341">
        <f aca="true" t="shared" si="6" ref="C68:C99">IF(AND(NOT(COUNTA(D68:J68)),(NOT(COUNTA(L68:P68)))),"",VLOOKUP($D$7,Info_County_Code,2,FALSE))</f>
      </c>
      <c r="D68" s="201"/>
      <c r="E68" s="201"/>
      <c r="F68" s="58"/>
      <c r="G68" s="48"/>
      <c r="H68" s="58"/>
      <c r="I68" s="65"/>
      <c r="J68" s="65"/>
      <c r="K68" s="342">
        <f t="shared" si="2"/>
      </c>
      <c r="L68" s="168"/>
      <c r="M68" s="182"/>
      <c r="N68" s="55"/>
      <c r="O68" s="55"/>
      <c r="P68" s="55"/>
      <c r="Q68" s="343">
        <f t="shared" si="3"/>
        <v>0</v>
      </c>
      <c r="R68" s="344">
        <f t="shared" si="4"/>
      </c>
      <c r="S68" s="345">
        <f t="shared" si="5"/>
      </c>
      <c r="AL68" s="315"/>
      <c r="AM68" s="315"/>
      <c r="AN68" s="315"/>
    </row>
    <row r="69" spans="2:40" ht="15.75">
      <c r="B69" s="340">
        <v>34</v>
      </c>
      <c r="C69" s="341">
        <f t="shared" si="6"/>
      </c>
      <c r="D69" s="201"/>
      <c r="E69" s="201"/>
      <c r="F69" s="58"/>
      <c r="G69" s="48"/>
      <c r="H69" s="58"/>
      <c r="I69" s="65"/>
      <c r="J69" s="65"/>
      <c r="K69" s="342">
        <f t="shared" si="2"/>
      </c>
      <c r="L69" s="168"/>
      <c r="M69" s="182"/>
      <c r="N69" s="55"/>
      <c r="O69" s="55"/>
      <c r="P69" s="55"/>
      <c r="Q69" s="343">
        <f t="shared" si="3"/>
        <v>0</v>
      </c>
      <c r="R69" s="344">
        <f t="shared" si="4"/>
      </c>
      <c r="S69" s="345">
        <f t="shared" si="5"/>
      </c>
      <c r="AL69" s="315"/>
      <c r="AM69" s="315"/>
      <c r="AN69" s="315"/>
    </row>
    <row r="70" spans="2:40" ht="15.75">
      <c r="B70" s="340">
        <v>35</v>
      </c>
      <c r="C70" s="341">
        <f t="shared" si="6"/>
      </c>
      <c r="D70" s="201"/>
      <c r="E70" s="201"/>
      <c r="F70" s="58"/>
      <c r="G70" s="48"/>
      <c r="H70" s="58"/>
      <c r="I70" s="65"/>
      <c r="J70" s="65"/>
      <c r="K70" s="342">
        <f t="shared" si="2"/>
      </c>
      <c r="L70" s="168"/>
      <c r="M70" s="182"/>
      <c r="N70" s="55"/>
      <c r="O70" s="55"/>
      <c r="P70" s="55"/>
      <c r="Q70" s="343">
        <f t="shared" si="3"/>
        <v>0</v>
      </c>
      <c r="R70" s="344">
        <f t="shared" si="4"/>
      </c>
      <c r="S70" s="345">
        <f t="shared" si="5"/>
      </c>
      <c r="AL70" s="315"/>
      <c r="AM70" s="315"/>
      <c r="AN70" s="315"/>
    </row>
    <row r="71" spans="2:40" ht="15.75">
      <c r="B71" s="340">
        <v>36</v>
      </c>
      <c r="C71" s="341">
        <f t="shared" si="6"/>
      </c>
      <c r="D71" s="201"/>
      <c r="E71" s="201"/>
      <c r="F71" s="58"/>
      <c r="G71" s="48"/>
      <c r="H71" s="58"/>
      <c r="I71" s="65"/>
      <c r="J71" s="65"/>
      <c r="K71" s="342">
        <f t="shared" si="2"/>
      </c>
      <c r="L71" s="168"/>
      <c r="M71" s="182"/>
      <c r="N71" s="55"/>
      <c r="O71" s="55"/>
      <c r="P71" s="55"/>
      <c r="Q71" s="343">
        <f t="shared" si="3"/>
        <v>0</v>
      </c>
      <c r="R71" s="344">
        <f t="shared" si="4"/>
      </c>
      <c r="S71" s="345">
        <f t="shared" si="5"/>
      </c>
      <c r="AL71" s="315"/>
      <c r="AM71" s="315"/>
      <c r="AN71" s="315"/>
    </row>
    <row r="72" spans="2:40" ht="15.75">
      <c r="B72" s="340">
        <v>37</v>
      </c>
      <c r="C72" s="341">
        <f t="shared" si="6"/>
      </c>
      <c r="D72" s="201"/>
      <c r="E72" s="201"/>
      <c r="F72" s="58"/>
      <c r="G72" s="48"/>
      <c r="H72" s="58"/>
      <c r="I72" s="65"/>
      <c r="J72" s="65"/>
      <c r="K72" s="342">
        <f t="shared" si="2"/>
      </c>
      <c r="L72" s="168"/>
      <c r="M72" s="182"/>
      <c r="N72" s="55"/>
      <c r="O72" s="55"/>
      <c r="P72" s="55"/>
      <c r="Q72" s="343">
        <f t="shared" si="3"/>
        <v>0</v>
      </c>
      <c r="R72" s="344">
        <f t="shared" si="4"/>
      </c>
      <c r="S72" s="345">
        <f t="shared" si="5"/>
      </c>
      <c r="AL72" s="315"/>
      <c r="AM72" s="315"/>
      <c r="AN72" s="315"/>
    </row>
    <row r="73" spans="2:40" ht="15.75">
      <c r="B73" s="340">
        <v>38</v>
      </c>
      <c r="C73" s="341">
        <f t="shared" si="6"/>
      </c>
      <c r="D73" s="201"/>
      <c r="E73" s="201"/>
      <c r="F73" s="58"/>
      <c r="G73" s="48"/>
      <c r="H73" s="58"/>
      <c r="I73" s="65"/>
      <c r="J73" s="65"/>
      <c r="K73" s="342">
        <f t="shared" si="2"/>
      </c>
      <c r="L73" s="168"/>
      <c r="M73" s="182"/>
      <c r="N73" s="55"/>
      <c r="O73" s="55"/>
      <c r="P73" s="55"/>
      <c r="Q73" s="343">
        <f t="shared" si="3"/>
        <v>0</v>
      </c>
      <c r="R73" s="344">
        <f t="shared" si="4"/>
      </c>
      <c r="S73" s="345">
        <f t="shared" si="5"/>
      </c>
      <c r="AL73" s="315"/>
      <c r="AM73" s="315"/>
      <c r="AN73" s="315"/>
    </row>
    <row r="74" spans="2:40" ht="15.75">
      <c r="B74" s="340">
        <v>39</v>
      </c>
      <c r="C74" s="341">
        <f t="shared" si="6"/>
      </c>
      <c r="D74" s="201"/>
      <c r="E74" s="201"/>
      <c r="F74" s="58"/>
      <c r="G74" s="48"/>
      <c r="H74" s="58"/>
      <c r="I74" s="65"/>
      <c r="J74" s="65"/>
      <c r="K74" s="342">
        <f t="shared" si="2"/>
      </c>
      <c r="L74" s="168"/>
      <c r="M74" s="182"/>
      <c r="N74" s="55"/>
      <c r="O74" s="55"/>
      <c r="P74" s="55"/>
      <c r="Q74" s="343">
        <f t="shared" si="3"/>
        <v>0</v>
      </c>
      <c r="R74" s="344">
        <f t="shared" si="4"/>
      </c>
      <c r="S74" s="345">
        <f t="shared" si="5"/>
      </c>
      <c r="AL74" s="315"/>
      <c r="AM74" s="315"/>
      <c r="AN74" s="315"/>
    </row>
    <row r="75" spans="2:40" ht="15.75">
      <c r="B75" s="340">
        <v>40</v>
      </c>
      <c r="C75" s="341">
        <f t="shared" si="6"/>
      </c>
      <c r="D75" s="201"/>
      <c r="E75" s="201"/>
      <c r="F75" s="58"/>
      <c r="G75" s="48"/>
      <c r="H75" s="58"/>
      <c r="I75" s="65"/>
      <c r="J75" s="65"/>
      <c r="K75" s="342">
        <f t="shared" si="2"/>
      </c>
      <c r="L75" s="168"/>
      <c r="M75" s="182"/>
      <c r="N75" s="55"/>
      <c r="O75" s="55"/>
      <c r="P75" s="55"/>
      <c r="Q75" s="343">
        <f t="shared" si="3"/>
        <v>0</v>
      </c>
      <c r="R75" s="344">
        <f t="shared" si="4"/>
      </c>
      <c r="S75" s="345">
        <f t="shared" si="5"/>
      </c>
      <c r="AL75" s="315"/>
      <c r="AM75" s="315"/>
      <c r="AN75" s="315"/>
    </row>
    <row r="76" spans="2:40" ht="15.75">
      <c r="B76" s="340">
        <v>41</v>
      </c>
      <c r="C76" s="341">
        <f t="shared" si="6"/>
      </c>
      <c r="D76" s="201"/>
      <c r="E76" s="201"/>
      <c r="F76" s="58"/>
      <c r="G76" s="48"/>
      <c r="H76" s="58"/>
      <c r="I76" s="65"/>
      <c r="J76" s="65"/>
      <c r="K76" s="342">
        <f t="shared" si="2"/>
      </c>
      <c r="L76" s="168"/>
      <c r="M76" s="182"/>
      <c r="N76" s="55"/>
      <c r="O76" s="55"/>
      <c r="P76" s="55"/>
      <c r="Q76" s="343">
        <f t="shared" si="3"/>
        <v>0</v>
      </c>
      <c r="R76" s="344">
        <f t="shared" si="4"/>
      </c>
      <c r="S76" s="345">
        <f t="shared" si="5"/>
      </c>
      <c r="AL76" s="315"/>
      <c r="AM76" s="315"/>
      <c r="AN76" s="315"/>
    </row>
    <row r="77" spans="2:40" ht="15.75">
      <c r="B77" s="340">
        <v>42</v>
      </c>
      <c r="C77" s="341">
        <f t="shared" si="6"/>
      </c>
      <c r="D77" s="201"/>
      <c r="E77" s="201"/>
      <c r="F77" s="58"/>
      <c r="G77" s="48"/>
      <c r="H77" s="58"/>
      <c r="I77" s="65"/>
      <c r="J77" s="65"/>
      <c r="K77" s="342">
        <f t="shared" si="2"/>
      </c>
      <c r="L77" s="168"/>
      <c r="M77" s="182"/>
      <c r="N77" s="55"/>
      <c r="O77" s="55"/>
      <c r="P77" s="55"/>
      <c r="Q77" s="343">
        <f t="shared" si="3"/>
        <v>0</v>
      </c>
      <c r="R77" s="344">
        <f t="shared" si="4"/>
      </c>
      <c r="S77" s="345">
        <f t="shared" si="5"/>
      </c>
      <c r="AL77" s="315"/>
      <c r="AM77" s="315"/>
      <c r="AN77" s="315"/>
    </row>
    <row r="78" spans="2:40" ht="15.75">
      <c r="B78" s="340">
        <v>43</v>
      </c>
      <c r="C78" s="341">
        <f t="shared" si="6"/>
      </c>
      <c r="D78" s="201"/>
      <c r="E78" s="201"/>
      <c r="F78" s="58"/>
      <c r="G78" s="48"/>
      <c r="H78" s="58"/>
      <c r="I78" s="65"/>
      <c r="J78" s="65"/>
      <c r="K78" s="342">
        <f t="shared" si="2"/>
      </c>
      <c r="L78" s="168"/>
      <c r="M78" s="182"/>
      <c r="N78" s="55"/>
      <c r="O78" s="55"/>
      <c r="P78" s="55"/>
      <c r="Q78" s="343">
        <f t="shared" si="3"/>
        <v>0</v>
      </c>
      <c r="R78" s="344">
        <f t="shared" si="4"/>
      </c>
      <c r="S78" s="345">
        <f t="shared" si="5"/>
      </c>
      <c r="AL78" s="315"/>
      <c r="AM78" s="315"/>
      <c r="AN78" s="315"/>
    </row>
    <row r="79" spans="2:40" ht="15.75">
      <c r="B79" s="340">
        <v>44</v>
      </c>
      <c r="C79" s="341">
        <f t="shared" si="6"/>
      </c>
      <c r="D79" s="201"/>
      <c r="E79" s="201"/>
      <c r="F79" s="58"/>
      <c r="G79" s="48"/>
      <c r="H79" s="58"/>
      <c r="I79" s="65"/>
      <c r="J79" s="65"/>
      <c r="K79" s="342">
        <f t="shared" si="2"/>
      </c>
      <c r="L79" s="168"/>
      <c r="M79" s="182"/>
      <c r="N79" s="55"/>
      <c r="O79" s="55"/>
      <c r="P79" s="55"/>
      <c r="Q79" s="343">
        <f t="shared" si="3"/>
        <v>0</v>
      </c>
      <c r="R79" s="344">
        <f t="shared" si="4"/>
      </c>
      <c r="S79" s="345">
        <f t="shared" si="5"/>
      </c>
      <c r="AL79" s="315"/>
      <c r="AM79" s="315"/>
      <c r="AN79" s="315"/>
    </row>
    <row r="80" spans="2:40" ht="15.75">
      <c r="B80" s="340">
        <v>45</v>
      </c>
      <c r="C80" s="341">
        <f t="shared" si="6"/>
      </c>
      <c r="D80" s="201"/>
      <c r="E80" s="201"/>
      <c r="F80" s="58"/>
      <c r="G80" s="48"/>
      <c r="H80" s="58"/>
      <c r="I80" s="65"/>
      <c r="J80" s="65"/>
      <c r="K80" s="342">
        <f t="shared" si="2"/>
      </c>
      <c r="L80" s="168"/>
      <c r="M80" s="182"/>
      <c r="N80" s="55"/>
      <c r="O80" s="55"/>
      <c r="P80" s="55"/>
      <c r="Q80" s="343">
        <f t="shared" si="3"/>
        <v>0</v>
      </c>
      <c r="R80" s="344">
        <f t="shared" si="4"/>
      </c>
      <c r="S80" s="345">
        <f t="shared" si="5"/>
      </c>
      <c r="AL80" s="315"/>
      <c r="AM80" s="315"/>
      <c r="AN80" s="315"/>
    </row>
    <row r="81" spans="2:40" ht="15.75">
      <c r="B81" s="340">
        <v>46</v>
      </c>
      <c r="C81" s="341">
        <f t="shared" si="6"/>
      </c>
      <c r="D81" s="201"/>
      <c r="E81" s="201"/>
      <c r="F81" s="58"/>
      <c r="G81" s="48"/>
      <c r="H81" s="58"/>
      <c r="I81" s="65"/>
      <c r="J81" s="65"/>
      <c r="K81" s="342">
        <f t="shared" si="2"/>
      </c>
      <c r="L81" s="168"/>
      <c r="M81" s="182"/>
      <c r="N81" s="55"/>
      <c r="O81" s="55"/>
      <c r="P81" s="55"/>
      <c r="Q81" s="343">
        <f t="shared" si="3"/>
        <v>0</v>
      </c>
      <c r="R81" s="344">
        <f t="shared" si="4"/>
      </c>
      <c r="S81" s="345">
        <f t="shared" si="5"/>
      </c>
      <c r="AL81" s="315"/>
      <c r="AM81" s="315"/>
      <c r="AN81" s="315"/>
    </row>
    <row r="82" spans="2:40" ht="15.75">
      <c r="B82" s="340">
        <v>47</v>
      </c>
      <c r="C82" s="341">
        <f t="shared" si="6"/>
      </c>
      <c r="D82" s="201"/>
      <c r="E82" s="201"/>
      <c r="F82" s="58"/>
      <c r="G82" s="48"/>
      <c r="H82" s="58"/>
      <c r="I82" s="65"/>
      <c r="J82" s="65"/>
      <c r="K82" s="342">
        <f t="shared" si="2"/>
      </c>
      <c r="L82" s="168"/>
      <c r="M82" s="182"/>
      <c r="N82" s="55"/>
      <c r="O82" s="55"/>
      <c r="P82" s="55"/>
      <c r="Q82" s="343">
        <f t="shared" si="3"/>
        <v>0</v>
      </c>
      <c r="R82" s="344">
        <f t="shared" si="4"/>
      </c>
      <c r="S82" s="345">
        <f t="shared" si="5"/>
      </c>
      <c r="AL82" s="315"/>
      <c r="AM82" s="315"/>
      <c r="AN82" s="315"/>
    </row>
    <row r="83" spans="2:40" ht="15.75">
      <c r="B83" s="340">
        <v>48</v>
      </c>
      <c r="C83" s="341">
        <f t="shared" si="6"/>
      </c>
      <c r="D83" s="201"/>
      <c r="E83" s="201"/>
      <c r="F83" s="58"/>
      <c r="G83" s="48"/>
      <c r="H83" s="58"/>
      <c r="I83" s="65"/>
      <c r="J83" s="65"/>
      <c r="K83" s="342">
        <f t="shared" si="2"/>
      </c>
      <c r="L83" s="168"/>
      <c r="M83" s="182"/>
      <c r="N83" s="55"/>
      <c r="O83" s="55"/>
      <c r="P83" s="55"/>
      <c r="Q83" s="343">
        <f t="shared" si="3"/>
        <v>0</v>
      </c>
      <c r="R83" s="344">
        <f t="shared" si="4"/>
      </c>
      <c r="S83" s="345">
        <f t="shared" si="5"/>
      </c>
      <c r="AL83" s="315"/>
      <c r="AM83" s="315"/>
      <c r="AN83" s="315"/>
    </row>
    <row r="84" spans="2:40" ht="15.75">
      <c r="B84" s="340">
        <v>49</v>
      </c>
      <c r="C84" s="341">
        <f t="shared" si="6"/>
      </c>
      <c r="D84" s="201"/>
      <c r="E84" s="201"/>
      <c r="F84" s="58"/>
      <c r="G84" s="48"/>
      <c r="H84" s="58"/>
      <c r="I84" s="65"/>
      <c r="J84" s="65"/>
      <c r="K84" s="342">
        <f t="shared" si="2"/>
      </c>
      <c r="L84" s="168"/>
      <c r="M84" s="182"/>
      <c r="N84" s="55"/>
      <c r="O84" s="55"/>
      <c r="P84" s="55"/>
      <c r="Q84" s="343">
        <f t="shared" si="3"/>
        <v>0</v>
      </c>
      <c r="R84" s="344">
        <f t="shared" si="4"/>
      </c>
      <c r="S84" s="345">
        <f t="shared" si="5"/>
      </c>
      <c r="AL84" s="315"/>
      <c r="AM84" s="315"/>
      <c r="AN84" s="315"/>
    </row>
    <row r="85" spans="2:40" ht="15.75">
      <c r="B85" s="340">
        <v>50</v>
      </c>
      <c r="C85" s="341">
        <f t="shared" si="6"/>
      </c>
      <c r="D85" s="201"/>
      <c r="E85" s="201"/>
      <c r="F85" s="58"/>
      <c r="G85" s="48"/>
      <c r="H85" s="58"/>
      <c r="I85" s="65"/>
      <c r="J85" s="65"/>
      <c r="K85" s="342">
        <f t="shared" si="2"/>
      </c>
      <c r="L85" s="168"/>
      <c r="M85" s="182"/>
      <c r="N85" s="55"/>
      <c r="O85" s="55"/>
      <c r="P85" s="55"/>
      <c r="Q85" s="343">
        <f t="shared" si="3"/>
        <v>0</v>
      </c>
      <c r="R85" s="344">
        <f t="shared" si="4"/>
      </c>
      <c r="S85" s="345">
        <f t="shared" si="5"/>
      </c>
      <c r="AL85" s="315"/>
      <c r="AM85" s="315"/>
      <c r="AN85" s="315"/>
    </row>
    <row r="86" spans="2:40" ht="15.75">
      <c r="B86" s="340">
        <v>51</v>
      </c>
      <c r="C86" s="341">
        <f t="shared" si="6"/>
      </c>
      <c r="D86" s="201"/>
      <c r="E86" s="201"/>
      <c r="F86" s="58"/>
      <c r="G86" s="48"/>
      <c r="H86" s="58"/>
      <c r="I86" s="65"/>
      <c r="J86" s="65"/>
      <c r="K86" s="342">
        <f t="shared" si="2"/>
      </c>
      <c r="L86" s="168"/>
      <c r="M86" s="182"/>
      <c r="N86" s="55"/>
      <c r="O86" s="55"/>
      <c r="P86" s="55"/>
      <c r="Q86" s="343">
        <f t="shared" si="3"/>
        <v>0</v>
      </c>
      <c r="R86" s="344">
        <f t="shared" si="4"/>
      </c>
      <c r="S86" s="345">
        <f t="shared" si="5"/>
      </c>
      <c r="AL86" s="315"/>
      <c r="AM86" s="315"/>
      <c r="AN86" s="315"/>
    </row>
    <row r="87" spans="2:40" ht="15.75">
      <c r="B87" s="340">
        <v>52</v>
      </c>
      <c r="C87" s="341">
        <f t="shared" si="6"/>
      </c>
      <c r="D87" s="201"/>
      <c r="E87" s="201"/>
      <c r="F87" s="58"/>
      <c r="G87" s="48"/>
      <c r="H87" s="58"/>
      <c r="I87" s="65"/>
      <c r="J87" s="65"/>
      <c r="K87" s="342">
        <f t="shared" si="2"/>
      </c>
      <c r="L87" s="168"/>
      <c r="M87" s="182"/>
      <c r="N87" s="55"/>
      <c r="O87" s="55"/>
      <c r="P87" s="55"/>
      <c r="Q87" s="343">
        <f t="shared" si="3"/>
        <v>0</v>
      </c>
      <c r="R87" s="344">
        <f t="shared" si="4"/>
      </c>
      <c r="S87" s="345">
        <f t="shared" si="5"/>
      </c>
      <c r="AL87" s="315"/>
      <c r="AM87" s="315"/>
      <c r="AN87" s="315"/>
    </row>
    <row r="88" spans="2:40" ht="15.75">
      <c r="B88" s="340">
        <v>53</v>
      </c>
      <c r="C88" s="341">
        <f t="shared" si="6"/>
      </c>
      <c r="D88" s="201"/>
      <c r="E88" s="201"/>
      <c r="F88" s="58"/>
      <c r="G88" s="48"/>
      <c r="H88" s="58"/>
      <c r="I88" s="65"/>
      <c r="J88" s="65"/>
      <c r="K88" s="342">
        <f t="shared" si="2"/>
      </c>
      <c r="L88" s="168"/>
      <c r="M88" s="182"/>
      <c r="N88" s="55"/>
      <c r="O88" s="55"/>
      <c r="P88" s="55"/>
      <c r="Q88" s="343">
        <f t="shared" si="3"/>
        <v>0</v>
      </c>
      <c r="R88" s="344">
        <f t="shared" si="4"/>
      </c>
      <c r="S88" s="345">
        <f t="shared" si="5"/>
      </c>
      <c r="AL88" s="315"/>
      <c r="AM88" s="315"/>
      <c r="AN88" s="315"/>
    </row>
    <row r="89" spans="2:40" ht="15.75">
      <c r="B89" s="340">
        <v>54</v>
      </c>
      <c r="C89" s="341">
        <f t="shared" si="6"/>
      </c>
      <c r="D89" s="201"/>
      <c r="E89" s="201"/>
      <c r="F89" s="58"/>
      <c r="G89" s="48"/>
      <c r="H89" s="58"/>
      <c r="I89" s="65"/>
      <c r="J89" s="65"/>
      <c r="K89" s="342">
        <f t="shared" si="2"/>
      </c>
      <c r="L89" s="168"/>
      <c r="M89" s="182"/>
      <c r="N89" s="55"/>
      <c r="O89" s="55"/>
      <c r="P89" s="55"/>
      <c r="Q89" s="343">
        <f t="shared" si="3"/>
        <v>0</v>
      </c>
      <c r="R89" s="344">
        <f t="shared" si="4"/>
      </c>
      <c r="S89" s="345">
        <f t="shared" si="5"/>
      </c>
      <c r="AL89" s="315"/>
      <c r="AM89" s="315"/>
      <c r="AN89" s="315"/>
    </row>
    <row r="90" spans="2:40" ht="15.75">
      <c r="B90" s="340">
        <v>55</v>
      </c>
      <c r="C90" s="341">
        <f t="shared" si="6"/>
      </c>
      <c r="D90" s="201"/>
      <c r="E90" s="201"/>
      <c r="F90" s="58"/>
      <c r="G90" s="48"/>
      <c r="H90" s="58"/>
      <c r="I90" s="65"/>
      <c r="J90" s="65"/>
      <c r="K90" s="342">
        <f t="shared" si="2"/>
      </c>
      <c r="L90" s="168"/>
      <c r="M90" s="182"/>
      <c r="N90" s="55"/>
      <c r="O90" s="55"/>
      <c r="P90" s="55"/>
      <c r="Q90" s="343">
        <f t="shared" si="3"/>
        <v>0</v>
      </c>
      <c r="R90" s="344">
        <f t="shared" si="4"/>
      </c>
      <c r="S90" s="345">
        <f t="shared" si="5"/>
      </c>
      <c r="AL90" s="315"/>
      <c r="AM90" s="315"/>
      <c r="AN90" s="315"/>
    </row>
    <row r="91" spans="2:40" ht="15.75">
      <c r="B91" s="340">
        <v>56</v>
      </c>
      <c r="C91" s="341">
        <f t="shared" si="6"/>
      </c>
      <c r="D91" s="201"/>
      <c r="E91" s="201"/>
      <c r="F91" s="58"/>
      <c r="G91" s="48"/>
      <c r="H91" s="58"/>
      <c r="I91" s="65"/>
      <c r="J91" s="65"/>
      <c r="K91" s="342">
        <f t="shared" si="2"/>
      </c>
      <c r="L91" s="168"/>
      <c r="M91" s="182"/>
      <c r="N91" s="55"/>
      <c r="O91" s="55"/>
      <c r="P91" s="55"/>
      <c r="Q91" s="343">
        <f t="shared" si="3"/>
        <v>0</v>
      </c>
      <c r="R91" s="344">
        <f t="shared" si="4"/>
      </c>
      <c r="S91" s="345">
        <f t="shared" si="5"/>
      </c>
      <c r="AL91" s="315"/>
      <c r="AM91" s="315"/>
      <c r="AN91" s="315"/>
    </row>
    <row r="92" spans="2:40" ht="15.75">
      <c r="B92" s="340">
        <v>57</v>
      </c>
      <c r="C92" s="341">
        <f t="shared" si="6"/>
      </c>
      <c r="D92" s="201"/>
      <c r="E92" s="201"/>
      <c r="F92" s="58"/>
      <c r="G92" s="48"/>
      <c r="H92" s="58"/>
      <c r="I92" s="65"/>
      <c r="J92" s="65"/>
      <c r="K92" s="342">
        <f t="shared" si="2"/>
      </c>
      <c r="L92" s="168"/>
      <c r="M92" s="182"/>
      <c r="N92" s="55"/>
      <c r="O92" s="55"/>
      <c r="P92" s="55"/>
      <c r="Q92" s="343">
        <f t="shared" si="3"/>
        <v>0</v>
      </c>
      <c r="R92" s="344">
        <f t="shared" si="4"/>
      </c>
      <c r="S92" s="345">
        <f t="shared" si="5"/>
      </c>
      <c r="AL92" s="315"/>
      <c r="AM92" s="315"/>
      <c r="AN92" s="315"/>
    </row>
    <row r="93" spans="2:40" ht="15.75">
      <c r="B93" s="340">
        <v>58</v>
      </c>
      <c r="C93" s="341">
        <f t="shared" si="6"/>
      </c>
      <c r="D93" s="201"/>
      <c r="E93" s="201"/>
      <c r="F93" s="58"/>
      <c r="G93" s="48"/>
      <c r="H93" s="58"/>
      <c r="I93" s="65"/>
      <c r="J93" s="65"/>
      <c r="K93" s="342">
        <f t="shared" si="2"/>
      </c>
      <c r="L93" s="168"/>
      <c r="M93" s="182"/>
      <c r="N93" s="55"/>
      <c r="O93" s="55"/>
      <c r="P93" s="55"/>
      <c r="Q93" s="343">
        <f>SUM(L93:P93)</f>
        <v>0</v>
      </c>
      <c r="R93" s="344">
        <f t="shared" si="4"/>
      </c>
      <c r="S93" s="345">
        <f t="shared" si="5"/>
      </c>
      <c r="AL93" s="315"/>
      <c r="AM93" s="315"/>
      <c r="AN93" s="315"/>
    </row>
    <row r="94" spans="2:40" ht="15.75">
      <c r="B94" s="340">
        <v>59</v>
      </c>
      <c r="C94" s="341">
        <f t="shared" si="6"/>
      </c>
      <c r="D94" s="201"/>
      <c r="E94" s="201"/>
      <c r="F94" s="58"/>
      <c r="G94" s="48"/>
      <c r="H94" s="58"/>
      <c r="I94" s="65"/>
      <c r="J94" s="65"/>
      <c r="K94" s="342">
        <f t="shared" si="2"/>
      </c>
      <c r="L94" s="168"/>
      <c r="M94" s="182"/>
      <c r="N94" s="55"/>
      <c r="O94" s="55"/>
      <c r="P94" s="55"/>
      <c r="Q94" s="343">
        <f t="shared" si="3"/>
        <v>0</v>
      </c>
      <c r="R94" s="344">
        <f t="shared" si="4"/>
      </c>
      <c r="S94" s="345">
        <f t="shared" si="5"/>
      </c>
      <c r="AL94" s="315"/>
      <c r="AM94" s="315"/>
      <c r="AN94" s="315"/>
    </row>
    <row r="95" spans="2:40" ht="15.75">
      <c r="B95" s="340">
        <v>60</v>
      </c>
      <c r="C95" s="341">
        <f t="shared" si="6"/>
      </c>
      <c r="D95" s="201"/>
      <c r="E95" s="201"/>
      <c r="F95" s="58"/>
      <c r="G95" s="48"/>
      <c r="H95" s="58"/>
      <c r="I95" s="65"/>
      <c r="J95" s="65"/>
      <c r="K95" s="342">
        <f t="shared" si="2"/>
      </c>
      <c r="L95" s="168"/>
      <c r="M95" s="182"/>
      <c r="N95" s="55"/>
      <c r="O95" s="55"/>
      <c r="P95" s="55"/>
      <c r="Q95" s="343">
        <f t="shared" si="3"/>
        <v>0</v>
      </c>
      <c r="R95" s="344">
        <f t="shared" si="4"/>
      </c>
      <c r="S95" s="345">
        <f t="shared" si="5"/>
      </c>
      <c r="AL95" s="315"/>
      <c r="AM95" s="315"/>
      <c r="AN95" s="315"/>
    </row>
    <row r="96" spans="2:40" ht="15.75">
      <c r="B96" s="340">
        <v>61</v>
      </c>
      <c r="C96" s="341">
        <f t="shared" si="6"/>
      </c>
      <c r="D96" s="201"/>
      <c r="E96" s="201"/>
      <c r="F96" s="58"/>
      <c r="G96" s="48"/>
      <c r="H96" s="58"/>
      <c r="I96" s="65"/>
      <c r="J96" s="65"/>
      <c r="K96" s="342">
        <f t="shared" si="2"/>
      </c>
      <c r="L96" s="168"/>
      <c r="M96" s="182"/>
      <c r="N96" s="55"/>
      <c r="O96" s="55"/>
      <c r="P96" s="55"/>
      <c r="Q96" s="343">
        <f t="shared" si="3"/>
        <v>0</v>
      </c>
      <c r="R96" s="344">
        <f t="shared" si="4"/>
      </c>
      <c r="S96" s="345">
        <f t="shared" si="5"/>
      </c>
      <c r="AL96" s="315"/>
      <c r="AM96" s="315"/>
      <c r="AN96" s="315"/>
    </row>
    <row r="97" spans="2:40" ht="15.75">
      <c r="B97" s="340">
        <v>62</v>
      </c>
      <c r="C97" s="341">
        <f t="shared" si="6"/>
      </c>
      <c r="D97" s="201"/>
      <c r="E97" s="201"/>
      <c r="F97" s="58"/>
      <c r="G97" s="58"/>
      <c r="H97" s="58"/>
      <c r="I97" s="65"/>
      <c r="J97" s="65"/>
      <c r="K97" s="342">
        <f t="shared" si="2"/>
      </c>
      <c r="L97" s="168"/>
      <c r="M97" s="182"/>
      <c r="N97" s="55"/>
      <c r="O97" s="55"/>
      <c r="P97" s="55"/>
      <c r="Q97" s="343">
        <f t="shared" si="3"/>
        <v>0</v>
      </c>
      <c r="R97" s="344">
        <f t="shared" si="4"/>
      </c>
      <c r="S97" s="345">
        <f t="shared" si="5"/>
      </c>
      <c r="AL97" s="315"/>
      <c r="AM97" s="315"/>
      <c r="AN97" s="315"/>
    </row>
    <row r="98" spans="2:40" ht="15.75">
      <c r="B98" s="340">
        <v>63</v>
      </c>
      <c r="C98" s="341">
        <f t="shared" si="6"/>
      </c>
      <c r="D98" s="201"/>
      <c r="E98" s="201"/>
      <c r="F98" s="58"/>
      <c r="G98" s="48"/>
      <c r="H98" s="58"/>
      <c r="I98" s="65"/>
      <c r="J98" s="65"/>
      <c r="K98" s="342">
        <f t="shared" si="2"/>
      </c>
      <c r="L98" s="168"/>
      <c r="M98" s="182"/>
      <c r="N98" s="55"/>
      <c r="O98" s="55"/>
      <c r="P98" s="55"/>
      <c r="Q98" s="343">
        <f t="shared" si="3"/>
        <v>0</v>
      </c>
      <c r="R98" s="344">
        <f t="shared" si="4"/>
      </c>
      <c r="S98" s="345">
        <f t="shared" si="5"/>
      </c>
      <c r="AL98" s="315"/>
      <c r="AM98" s="315"/>
      <c r="AN98" s="315"/>
    </row>
    <row r="99" spans="2:40" ht="15.75">
      <c r="B99" s="340">
        <v>64</v>
      </c>
      <c r="C99" s="341">
        <f t="shared" si="6"/>
      </c>
      <c r="D99" s="201"/>
      <c r="E99" s="201"/>
      <c r="F99" s="58"/>
      <c r="G99" s="48"/>
      <c r="H99" s="48"/>
      <c r="I99" s="65"/>
      <c r="J99" s="65"/>
      <c r="K99" s="342">
        <f t="shared" si="2"/>
      </c>
      <c r="L99" s="168"/>
      <c r="M99" s="182"/>
      <c r="N99" s="55"/>
      <c r="O99" s="55"/>
      <c r="P99" s="55"/>
      <c r="Q99" s="343">
        <f t="shared" si="3"/>
        <v>0</v>
      </c>
      <c r="R99" s="344">
        <f t="shared" si="4"/>
      </c>
      <c r="S99" s="345">
        <f t="shared" si="5"/>
      </c>
      <c r="AL99" s="315"/>
      <c r="AM99" s="315"/>
      <c r="AN99" s="315"/>
    </row>
    <row r="100" spans="2:40" ht="15.75">
      <c r="B100" s="340">
        <v>65</v>
      </c>
      <c r="C100" s="341">
        <f aca="true" t="shared" si="7" ref="C100:C131">IF(AND(NOT(COUNTA(D100:J100)),(NOT(COUNTA(L100:P100)))),"",VLOOKUP($D$7,Info_County_Code,2,FALSE))</f>
      </c>
      <c r="D100" s="201"/>
      <c r="E100" s="201"/>
      <c r="F100" s="58"/>
      <c r="G100" s="48"/>
      <c r="H100" s="48"/>
      <c r="I100" s="65"/>
      <c r="J100" s="65"/>
      <c r="K100" s="342">
        <f t="shared" si="2"/>
      </c>
      <c r="L100" s="168"/>
      <c r="M100" s="182"/>
      <c r="N100" s="55"/>
      <c r="O100" s="55"/>
      <c r="P100" s="55"/>
      <c r="Q100" s="343">
        <f t="shared" si="3"/>
        <v>0</v>
      </c>
      <c r="R100" s="344">
        <f t="shared" si="4"/>
      </c>
      <c r="S100" s="345">
        <f t="shared" si="5"/>
      </c>
      <c r="AL100" s="315"/>
      <c r="AM100" s="315"/>
      <c r="AN100" s="315"/>
    </row>
    <row r="101" spans="2:40" ht="15.75">
      <c r="B101" s="340">
        <v>66</v>
      </c>
      <c r="C101" s="341">
        <f t="shared" si="7"/>
      </c>
      <c r="D101" s="201"/>
      <c r="E101" s="201"/>
      <c r="F101" s="58"/>
      <c r="G101" s="48"/>
      <c r="H101" s="48"/>
      <c r="I101" s="65"/>
      <c r="J101" s="65"/>
      <c r="K101" s="342">
        <f aca="true" t="shared" si="8" ref="K101:K135">IF(OR(G101="Combined Summary",F101="Standalone"),(SUMPRODUCT(--(D$36:D$135=D101),I$36:I$135,J$36:J$135)),"")</f>
      </c>
      <c r="L101" s="168"/>
      <c r="M101" s="182"/>
      <c r="N101" s="55"/>
      <c r="O101" s="55"/>
      <c r="P101" s="55"/>
      <c r="Q101" s="343">
        <f aca="true" t="shared" si="9" ref="Q101:Q106">SUM(L101:P101)</f>
        <v>0</v>
      </c>
      <c r="R101" s="344">
        <f aca="true" t="shared" si="10" ref="R101:R135">IF(OR(G101="Combined Summary",F101="Standalone"),(SUMIF(D$36:D$135,D101,I$36:I$135)),"")</f>
      </c>
      <c r="S101" s="345">
        <f aca="true" t="shared" si="11" ref="S101:S135">IF(AND(F101="Standalone",NOT(R101=1)),"ERROR",IF(AND(G101="Combined Summary",NOT(R101=1)),"ERROR",""))</f>
      </c>
      <c r="AL101" s="315"/>
      <c r="AM101" s="315"/>
      <c r="AN101" s="315"/>
    </row>
    <row r="102" spans="2:40" ht="15.75">
      <c r="B102" s="340">
        <v>67</v>
      </c>
      <c r="C102" s="341">
        <f t="shared" si="7"/>
      </c>
      <c r="D102" s="201"/>
      <c r="E102" s="201"/>
      <c r="F102" s="58"/>
      <c r="G102" s="48"/>
      <c r="H102" s="48"/>
      <c r="I102" s="65"/>
      <c r="J102" s="65"/>
      <c r="K102" s="342">
        <f t="shared" si="8"/>
      </c>
      <c r="L102" s="168"/>
      <c r="M102" s="182"/>
      <c r="N102" s="55"/>
      <c r="O102" s="55"/>
      <c r="P102" s="55"/>
      <c r="Q102" s="343">
        <f t="shared" si="9"/>
        <v>0</v>
      </c>
      <c r="R102" s="344">
        <f t="shared" si="10"/>
      </c>
      <c r="S102" s="345">
        <f t="shared" si="11"/>
      </c>
      <c r="AL102" s="315"/>
      <c r="AM102" s="315"/>
      <c r="AN102" s="315"/>
    </row>
    <row r="103" spans="2:40" ht="15.75">
      <c r="B103" s="340">
        <v>68</v>
      </c>
      <c r="C103" s="341">
        <f t="shared" si="7"/>
      </c>
      <c r="D103" s="201"/>
      <c r="E103" s="201"/>
      <c r="F103" s="58"/>
      <c r="G103" s="48"/>
      <c r="H103" s="48"/>
      <c r="I103" s="65"/>
      <c r="J103" s="65"/>
      <c r="K103" s="342">
        <f t="shared" si="8"/>
      </c>
      <c r="L103" s="168"/>
      <c r="M103" s="182"/>
      <c r="N103" s="55"/>
      <c r="O103" s="55"/>
      <c r="P103" s="55"/>
      <c r="Q103" s="343">
        <f t="shared" si="9"/>
        <v>0</v>
      </c>
      <c r="R103" s="344">
        <f t="shared" si="10"/>
      </c>
      <c r="S103" s="345">
        <f t="shared" si="11"/>
      </c>
      <c r="AL103" s="315"/>
      <c r="AM103" s="315"/>
      <c r="AN103" s="315"/>
    </row>
    <row r="104" spans="2:40" ht="15.75">
      <c r="B104" s="340">
        <v>69</v>
      </c>
      <c r="C104" s="341">
        <f t="shared" si="7"/>
      </c>
      <c r="D104" s="201"/>
      <c r="E104" s="201"/>
      <c r="F104" s="58"/>
      <c r="G104" s="48"/>
      <c r="H104" s="48"/>
      <c r="I104" s="65"/>
      <c r="J104" s="65"/>
      <c r="K104" s="342">
        <f t="shared" si="8"/>
      </c>
      <c r="L104" s="168"/>
      <c r="M104" s="182"/>
      <c r="N104" s="55"/>
      <c r="O104" s="55"/>
      <c r="P104" s="55"/>
      <c r="Q104" s="343">
        <f t="shared" si="9"/>
        <v>0</v>
      </c>
      <c r="R104" s="344">
        <f t="shared" si="10"/>
      </c>
      <c r="S104" s="345">
        <f t="shared" si="11"/>
      </c>
      <c r="AL104" s="315"/>
      <c r="AM104" s="315"/>
      <c r="AN104" s="315"/>
    </row>
    <row r="105" spans="2:40" ht="15.75">
      <c r="B105" s="340">
        <v>70</v>
      </c>
      <c r="C105" s="341">
        <f t="shared" si="7"/>
      </c>
      <c r="D105" s="201"/>
      <c r="E105" s="201"/>
      <c r="F105" s="58"/>
      <c r="G105" s="48"/>
      <c r="H105" s="48"/>
      <c r="I105" s="65"/>
      <c r="J105" s="65"/>
      <c r="K105" s="342">
        <f t="shared" si="8"/>
      </c>
      <c r="L105" s="168"/>
      <c r="M105" s="182"/>
      <c r="N105" s="55"/>
      <c r="O105" s="55"/>
      <c r="P105" s="55"/>
      <c r="Q105" s="343">
        <f t="shared" si="9"/>
        <v>0</v>
      </c>
      <c r="R105" s="344">
        <f t="shared" si="10"/>
      </c>
      <c r="S105" s="345">
        <f t="shared" si="11"/>
      </c>
      <c r="AL105" s="315"/>
      <c r="AM105" s="315"/>
      <c r="AN105" s="315"/>
    </row>
    <row r="106" spans="2:40" ht="15.75">
      <c r="B106" s="340">
        <v>71</v>
      </c>
      <c r="C106" s="341">
        <f t="shared" si="7"/>
      </c>
      <c r="D106" s="201"/>
      <c r="E106" s="201"/>
      <c r="F106" s="58"/>
      <c r="G106" s="48"/>
      <c r="H106" s="48"/>
      <c r="I106" s="65"/>
      <c r="J106" s="65"/>
      <c r="K106" s="342">
        <f t="shared" si="8"/>
      </c>
      <c r="L106" s="168"/>
      <c r="M106" s="182"/>
      <c r="N106" s="55"/>
      <c r="O106" s="55"/>
      <c r="P106" s="55"/>
      <c r="Q106" s="343">
        <f t="shared" si="9"/>
        <v>0</v>
      </c>
      <c r="R106" s="344">
        <f t="shared" si="10"/>
      </c>
      <c r="S106" s="345">
        <f t="shared" si="11"/>
      </c>
      <c r="AL106" s="315"/>
      <c r="AM106" s="315"/>
      <c r="AN106" s="315"/>
    </row>
    <row r="107" spans="2:40" ht="15.75">
      <c r="B107" s="340">
        <v>72</v>
      </c>
      <c r="C107" s="341">
        <f t="shared" si="7"/>
      </c>
      <c r="D107" s="201"/>
      <c r="E107" s="201"/>
      <c r="F107" s="58"/>
      <c r="G107" s="48"/>
      <c r="H107" s="48"/>
      <c r="I107" s="65"/>
      <c r="J107" s="65"/>
      <c r="K107" s="342">
        <f t="shared" si="8"/>
      </c>
      <c r="L107" s="168"/>
      <c r="M107" s="182"/>
      <c r="N107" s="55"/>
      <c r="O107" s="55"/>
      <c r="P107" s="55"/>
      <c r="Q107" s="343">
        <f>SUM(L107:P107)</f>
        <v>0</v>
      </c>
      <c r="R107" s="344">
        <f t="shared" si="10"/>
      </c>
      <c r="S107" s="345">
        <f t="shared" si="11"/>
      </c>
      <c r="AL107" s="315"/>
      <c r="AM107" s="315"/>
      <c r="AN107" s="315"/>
    </row>
    <row r="108" spans="2:40" ht="15.75">
      <c r="B108" s="340">
        <v>73</v>
      </c>
      <c r="C108" s="341">
        <f t="shared" si="7"/>
      </c>
      <c r="D108" s="201"/>
      <c r="E108" s="201"/>
      <c r="F108" s="58"/>
      <c r="G108" s="48"/>
      <c r="H108" s="48"/>
      <c r="I108" s="65"/>
      <c r="J108" s="65"/>
      <c r="K108" s="342">
        <f t="shared" si="8"/>
      </c>
      <c r="L108" s="168"/>
      <c r="M108" s="182"/>
      <c r="N108" s="55"/>
      <c r="O108" s="55"/>
      <c r="P108" s="55"/>
      <c r="Q108" s="343">
        <f aca="true" t="shared" si="12" ref="Q108:Q122">SUM(L108:P108)</f>
        <v>0</v>
      </c>
      <c r="R108" s="344">
        <f t="shared" si="10"/>
      </c>
      <c r="S108" s="345">
        <f t="shared" si="11"/>
      </c>
      <c r="AL108" s="315"/>
      <c r="AM108" s="315"/>
      <c r="AN108" s="315"/>
    </row>
    <row r="109" spans="2:40" ht="15.75">
      <c r="B109" s="340">
        <v>74</v>
      </c>
      <c r="C109" s="341">
        <f t="shared" si="7"/>
      </c>
      <c r="D109" s="201"/>
      <c r="E109" s="201"/>
      <c r="F109" s="58"/>
      <c r="G109" s="48"/>
      <c r="H109" s="48"/>
      <c r="I109" s="65"/>
      <c r="J109" s="65"/>
      <c r="K109" s="342">
        <f t="shared" si="8"/>
      </c>
      <c r="L109" s="168"/>
      <c r="M109" s="182"/>
      <c r="N109" s="55"/>
      <c r="O109" s="55"/>
      <c r="P109" s="55"/>
      <c r="Q109" s="343">
        <f t="shared" si="12"/>
        <v>0</v>
      </c>
      <c r="R109" s="344">
        <f t="shared" si="10"/>
      </c>
      <c r="S109" s="345">
        <f t="shared" si="11"/>
      </c>
      <c r="AL109" s="315"/>
      <c r="AM109" s="315"/>
      <c r="AN109" s="315"/>
    </row>
    <row r="110" spans="2:40" ht="15.75">
      <c r="B110" s="340">
        <v>75</v>
      </c>
      <c r="C110" s="341">
        <f t="shared" si="7"/>
      </c>
      <c r="D110" s="201"/>
      <c r="E110" s="201"/>
      <c r="F110" s="58"/>
      <c r="G110" s="48"/>
      <c r="H110" s="48"/>
      <c r="I110" s="65"/>
      <c r="J110" s="65"/>
      <c r="K110" s="342">
        <f t="shared" si="8"/>
      </c>
      <c r="L110" s="168"/>
      <c r="M110" s="182"/>
      <c r="N110" s="55"/>
      <c r="O110" s="55"/>
      <c r="P110" s="55"/>
      <c r="Q110" s="343">
        <f t="shared" si="12"/>
        <v>0</v>
      </c>
      <c r="R110" s="344">
        <f t="shared" si="10"/>
      </c>
      <c r="S110" s="345">
        <f t="shared" si="11"/>
      </c>
      <c r="AL110" s="315"/>
      <c r="AM110" s="315"/>
      <c r="AN110" s="315"/>
    </row>
    <row r="111" spans="2:40" ht="15.75">
      <c r="B111" s="340">
        <v>76</v>
      </c>
      <c r="C111" s="341">
        <f t="shared" si="7"/>
      </c>
      <c r="D111" s="201"/>
      <c r="E111" s="201"/>
      <c r="F111" s="58"/>
      <c r="G111" s="48"/>
      <c r="H111" s="48"/>
      <c r="I111" s="65"/>
      <c r="J111" s="65"/>
      <c r="K111" s="342">
        <f t="shared" si="8"/>
      </c>
      <c r="L111" s="168"/>
      <c r="M111" s="182"/>
      <c r="N111" s="55"/>
      <c r="O111" s="55"/>
      <c r="P111" s="55"/>
      <c r="Q111" s="343">
        <f t="shared" si="12"/>
        <v>0</v>
      </c>
      <c r="R111" s="344">
        <f t="shared" si="10"/>
      </c>
      <c r="S111" s="345">
        <f t="shared" si="11"/>
      </c>
      <c r="AL111" s="315"/>
      <c r="AM111" s="315"/>
      <c r="AN111" s="315"/>
    </row>
    <row r="112" spans="2:40" ht="15.75">
      <c r="B112" s="340">
        <v>77</v>
      </c>
      <c r="C112" s="341">
        <f t="shared" si="7"/>
      </c>
      <c r="D112" s="201"/>
      <c r="E112" s="201"/>
      <c r="F112" s="58"/>
      <c r="G112" s="48"/>
      <c r="H112" s="48"/>
      <c r="I112" s="65"/>
      <c r="J112" s="65"/>
      <c r="K112" s="342">
        <f t="shared" si="8"/>
      </c>
      <c r="L112" s="168"/>
      <c r="M112" s="182"/>
      <c r="N112" s="55"/>
      <c r="O112" s="55"/>
      <c r="P112" s="55"/>
      <c r="Q112" s="343">
        <f t="shared" si="12"/>
        <v>0</v>
      </c>
      <c r="R112" s="344">
        <f t="shared" si="10"/>
      </c>
      <c r="S112" s="345">
        <f t="shared" si="11"/>
      </c>
      <c r="AL112" s="315"/>
      <c r="AM112" s="315"/>
      <c r="AN112" s="315"/>
    </row>
    <row r="113" spans="2:40" ht="15.75">
      <c r="B113" s="340">
        <v>78</v>
      </c>
      <c r="C113" s="341">
        <f t="shared" si="7"/>
      </c>
      <c r="D113" s="201"/>
      <c r="E113" s="201"/>
      <c r="F113" s="58"/>
      <c r="G113" s="48"/>
      <c r="H113" s="48"/>
      <c r="I113" s="65"/>
      <c r="J113" s="65"/>
      <c r="K113" s="342">
        <f t="shared" si="8"/>
      </c>
      <c r="L113" s="168"/>
      <c r="M113" s="182"/>
      <c r="N113" s="55"/>
      <c r="O113" s="55"/>
      <c r="P113" s="55"/>
      <c r="Q113" s="343">
        <f t="shared" si="12"/>
        <v>0</v>
      </c>
      <c r="R113" s="344">
        <f t="shared" si="10"/>
      </c>
      <c r="S113" s="345">
        <f t="shared" si="11"/>
      </c>
      <c r="AL113" s="315"/>
      <c r="AM113" s="315"/>
      <c r="AN113" s="315"/>
    </row>
    <row r="114" spans="2:40" ht="15.75">
      <c r="B114" s="340">
        <v>79</v>
      </c>
      <c r="C114" s="341">
        <f t="shared" si="7"/>
      </c>
      <c r="D114" s="201"/>
      <c r="E114" s="201"/>
      <c r="F114" s="58"/>
      <c r="G114" s="48"/>
      <c r="H114" s="48"/>
      <c r="I114" s="65"/>
      <c r="J114" s="65"/>
      <c r="K114" s="342">
        <f t="shared" si="8"/>
      </c>
      <c r="L114" s="168"/>
      <c r="M114" s="182"/>
      <c r="N114" s="55"/>
      <c r="O114" s="55"/>
      <c r="P114" s="55"/>
      <c r="Q114" s="343">
        <f t="shared" si="12"/>
        <v>0</v>
      </c>
      <c r="R114" s="344">
        <f t="shared" si="10"/>
      </c>
      <c r="S114" s="345">
        <f t="shared" si="11"/>
      </c>
      <c r="AL114" s="315"/>
      <c r="AM114" s="315"/>
      <c r="AN114" s="315"/>
    </row>
    <row r="115" spans="2:40" ht="15.75">
      <c r="B115" s="340">
        <v>80</v>
      </c>
      <c r="C115" s="341">
        <f t="shared" si="7"/>
      </c>
      <c r="D115" s="201"/>
      <c r="E115" s="201"/>
      <c r="F115" s="58"/>
      <c r="G115" s="48"/>
      <c r="H115" s="48"/>
      <c r="I115" s="65"/>
      <c r="J115" s="65"/>
      <c r="K115" s="342">
        <f t="shared" si="8"/>
      </c>
      <c r="L115" s="168"/>
      <c r="M115" s="182"/>
      <c r="N115" s="55"/>
      <c r="O115" s="55"/>
      <c r="P115" s="55"/>
      <c r="Q115" s="343">
        <f t="shared" si="12"/>
        <v>0</v>
      </c>
      <c r="R115" s="344">
        <f t="shared" si="10"/>
      </c>
      <c r="S115" s="345">
        <f t="shared" si="11"/>
      </c>
      <c r="AL115" s="315"/>
      <c r="AM115" s="315"/>
      <c r="AN115" s="315"/>
    </row>
    <row r="116" spans="2:40" ht="15.75">
      <c r="B116" s="340">
        <v>81</v>
      </c>
      <c r="C116" s="341">
        <f t="shared" si="7"/>
      </c>
      <c r="D116" s="201"/>
      <c r="E116" s="201"/>
      <c r="F116" s="58"/>
      <c r="G116" s="48"/>
      <c r="H116" s="48"/>
      <c r="I116" s="65"/>
      <c r="J116" s="65"/>
      <c r="K116" s="342">
        <f t="shared" si="8"/>
      </c>
      <c r="L116" s="168"/>
      <c r="M116" s="182"/>
      <c r="N116" s="55"/>
      <c r="O116" s="55"/>
      <c r="P116" s="55"/>
      <c r="Q116" s="343">
        <f t="shared" si="12"/>
        <v>0</v>
      </c>
      <c r="R116" s="344">
        <f t="shared" si="10"/>
      </c>
      <c r="S116" s="345">
        <f t="shared" si="11"/>
      </c>
      <c r="AL116" s="315"/>
      <c r="AM116" s="315"/>
      <c r="AN116" s="315"/>
    </row>
    <row r="117" spans="2:40" ht="15.75">
      <c r="B117" s="340">
        <v>82</v>
      </c>
      <c r="C117" s="341">
        <f t="shared" si="7"/>
      </c>
      <c r="D117" s="201"/>
      <c r="E117" s="201"/>
      <c r="F117" s="58"/>
      <c r="G117" s="48"/>
      <c r="H117" s="48"/>
      <c r="I117" s="65"/>
      <c r="J117" s="65"/>
      <c r="K117" s="342">
        <f t="shared" si="8"/>
      </c>
      <c r="L117" s="168"/>
      <c r="M117" s="182"/>
      <c r="N117" s="55"/>
      <c r="O117" s="55"/>
      <c r="P117" s="55"/>
      <c r="Q117" s="343">
        <f t="shared" si="12"/>
        <v>0</v>
      </c>
      <c r="R117" s="344">
        <f t="shared" si="10"/>
      </c>
      <c r="S117" s="345">
        <f t="shared" si="11"/>
      </c>
      <c r="AL117" s="315"/>
      <c r="AM117" s="315"/>
      <c r="AN117" s="315"/>
    </row>
    <row r="118" spans="2:40" ht="15.75">
      <c r="B118" s="340">
        <v>83</v>
      </c>
      <c r="C118" s="341">
        <f t="shared" si="7"/>
      </c>
      <c r="D118" s="201"/>
      <c r="E118" s="201"/>
      <c r="F118" s="58"/>
      <c r="G118" s="48"/>
      <c r="H118" s="48"/>
      <c r="I118" s="65"/>
      <c r="J118" s="65"/>
      <c r="K118" s="342">
        <f t="shared" si="8"/>
      </c>
      <c r="L118" s="168"/>
      <c r="M118" s="182"/>
      <c r="N118" s="55"/>
      <c r="O118" s="55"/>
      <c r="P118" s="55"/>
      <c r="Q118" s="343">
        <f t="shared" si="12"/>
        <v>0</v>
      </c>
      <c r="R118" s="344">
        <f t="shared" si="10"/>
      </c>
      <c r="S118" s="345">
        <f t="shared" si="11"/>
      </c>
      <c r="AL118" s="315"/>
      <c r="AM118" s="315"/>
      <c r="AN118" s="315"/>
    </row>
    <row r="119" spans="2:40" ht="15.75">
      <c r="B119" s="340">
        <v>84</v>
      </c>
      <c r="C119" s="341">
        <f t="shared" si="7"/>
      </c>
      <c r="D119" s="201"/>
      <c r="E119" s="201"/>
      <c r="F119" s="58"/>
      <c r="G119" s="48"/>
      <c r="H119" s="48"/>
      <c r="I119" s="65"/>
      <c r="J119" s="65"/>
      <c r="K119" s="342">
        <f t="shared" si="8"/>
      </c>
      <c r="L119" s="168"/>
      <c r="M119" s="182"/>
      <c r="N119" s="55"/>
      <c r="O119" s="55"/>
      <c r="P119" s="55"/>
      <c r="Q119" s="343">
        <f t="shared" si="12"/>
        <v>0</v>
      </c>
      <c r="R119" s="344">
        <f t="shared" si="10"/>
      </c>
      <c r="S119" s="345">
        <f t="shared" si="11"/>
      </c>
      <c r="AL119" s="315"/>
      <c r="AM119" s="315"/>
      <c r="AN119" s="315"/>
    </row>
    <row r="120" spans="2:40" ht="15.75">
      <c r="B120" s="340">
        <v>85</v>
      </c>
      <c r="C120" s="341">
        <f t="shared" si="7"/>
      </c>
      <c r="D120" s="201"/>
      <c r="E120" s="201"/>
      <c r="F120" s="58"/>
      <c r="G120" s="48"/>
      <c r="H120" s="48"/>
      <c r="I120" s="65"/>
      <c r="J120" s="65"/>
      <c r="K120" s="342">
        <f t="shared" si="8"/>
      </c>
      <c r="L120" s="168"/>
      <c r="M120" s="182"/>
      <c r="N120" s="55"/>
      <c r="O120" s="55"/>
      <c r="P120" s="55"/>
      <c r="Q120" s="343">
        <f t="shared" si="12"/>
        <v>0</v>
      </c>
      <c r="R120" s="344">
        <f t="shared" si="10"/>
      </c>
      <c r="S120" s="345">
        <f t="shared" si="11"/>
      </c>
      <c r="AL120" s="315"/>
      <c r="AM120" s="315"/>
      <c r="AN120" s="315"/>
    </row>
    <row r="121" spans="2:40" ht="15.75">
      <c r="B121" s="340">
        <v>86</v>
      </c>
      <c r="C121" s="341">
        <f t="shared" si="7"/>
      </c>
      <c r="D121" s="201"/>
      <c r="E121" s="201"/>
      <c r="F121" s="58"/>
      <c r="G121" s="48"/>
      <c r="H121" s="48"/>
      <c r="I121" s="65"/>
      <c r="J121" s="65"/>
      <c r="K121" s="342">
        <f t="shared" si="8"/>
      </c>
      <c r="L121" s="168"/>
      <c r="M121" s="182"/>
      <c r="N121" s="55"/>
      <c r="O121" s="55"/>
      <c r="P121" s="55"/>
      <c r="Q121" s="343">
        <f t="shared" si="12"/>
        <v>0</v>
      </c>
      <c r="R121" s="344">
        <f t="shared" si="10"/>
      </c>
      <c r="S121" s="345">
        <f t="shared" si="11"/>
      </c>
      <c r="AL121" s="315"/>
      <c r="AM121" s="315"/>
      <c r="AN121" s="315"/>
    </row>
    <row r="122" spans="2:40" ht="15.75">
      <c r="B122" s="340">
        <v>87</v>
      </c>
      <c r="C122" s="341">
        <f t="shared" si="7"/>
      </c>
      <c r="D122" s="201"/>
      <c r="E122" s="201"/>
      <c r="F122" s="58"/>
      <c r="G122" s="48"/>
      <c r="H122" s="48"/>
      <c r="I122" s="65"/>
      <c r="J122" s="65"/>
      <c r="K122" s="342">
        <f t="shared" si="8"/>
      </c>
      <c r="L122" s="168"/>
      <c r="M122" s="182"/>
      <c r="N122" s="55"/>
      <c r="O122" s="55"/>
      <c r="P122" s="55"/>
      <c r="Q122" s="343">
        <f t="shared" si="12"/>
        <v>0</v>
      </c>
      <c r="R122" s="344">
        <f t="shared" si="10"/>
      </c>
      <c r="S122" s="345">
        <f t="shared" si="11"/>
      </c>
      <c r="AL122" s="315"/>
      <c r="AM122" s="315"/>
      <c r="AN122" s="315"/>
    </row>
    <row r="123" spans="2:40" ht="15.75">
      <c r="B123" s="340">
        <v>88</v>
      </c>
      <c r="C123" s="341">
        <f t="shared" si="7"/>
      </c>
      <c r="D123" s="201"/>
      <c r="E123" s="201"/>
      <c r="F123" s="58"/>
      <c r="G123" s="48"/>
      <c r="H123" s="48"/>
      <c r="I123" s="65"/>
      <c r="J123" s="65"/>
      <c r="K123" s="342">
        <f t="shared" si="8"/>
      </c>
      <c r="L123" s="168"/>
      <c r="M123" s="182"/>
      <c r="N123" s="55"/>
      <c r="O123" s="55"/>
      <c r="P123" s="55"/>
      <c r="Q123" s="343">
        <f>SUM(L123:P123)</f>
        <v>0</v>
      </c>
      <c r="R123" s="344">
        <f t="shared" si="10"/>
      </c>
      <c r="S123" s="345">
        <f t="shared" si="11"/>
      </c>
      <c r="AL123" s="315"/>
      <c r="AM123" s="315"/>
      <c r="AN123" s="315"/>
    </row>
    <row r="124" spans="2:40" ht="15.75">
      <c r="B124" s="340">
        <v>89</v>
      </c>
      <c r="C124" s="341">
        <f t="shared" si="7"/>
      </c>
      <c r="D124" s="201"/>
      <c r="E124" s="201"/>
      <c r="F124" s="58"/>
      <c r="G124" s="48"/>
      <c r="H124" s="48"/>
      <c r="I124" s="65"/>
      <c r="J124" s="65"/>
      <c r="K124" s="342">
        <f t="shared" si="8"/>
      </c>
      <c r="L124" s="168"/>
      <c r="M124" s="182"/>
      <c r="N124" s="55"/>
      <c r="O124" s="55"/>
      <c r="P124" s="55"/>
      <c r="Q124" s="343">
        <f aca="true" t="shared" si="13" ref="Q124:Q135">SUM(L124:P124)</f>
        <v>0</v>
      </c>
      <c r="R124" s="344">
        <f t="shared" si="10"/>
      </c>
      <c r="S124" s="345">
        <f t="shared" si="11"/>
      </c>
      <c r="AL124" s="315"/>
      <c r="AM124" s="315"/>
      <c r="AN124" s="315"/>
    </row>
    <row r="125" spans="2:40" ht="15.75">
      <c r="B125" s="340">
        <v>90</v>
      </c>
      <c r="C125" s="341">
        <f t="shared" si="7"/>
      </c>
      <c r="D125" s="201"/>
      <c r="E125" s="201"/>
      <c r="F125" s="58"/>
      <c r="G125" s="48"/>
      <c r="H125" s="48"/>
      <c r="I125" s="65"/>
      <c r="J125" s="65"/>
      <c r="K125" s="342">
        <f t="shared" si="8"/>
      </c>
      <c r="L125" s="168"/>
      <c r="M125" s="182"/>
      <c r="N125" s="55"/>
      <c r="O125" s="55"/>
      <c r="P125" s="55"/>
      <c r="Q125" s="343">
        <f t="shared" si="13"/>
        <v>0</v>
      </c>
      <c r="R125" s="344">
        <f t="shared" si="10"/>
      </c>
      <c r="S125" s="345">
        <f t="shared" si="11"/>
      </c>
      <c r="AL125" s="315"/>
      <c r="AM125" s="315"/>
      <c r="AN125" s="315"/>
    </row>
    <row r="126" spans="2:40" ht="15.75">
      <c r="B126" s="340">
        <v>91</v>
      </c>
      <c r="C126" s="341">
        <f t="shared" si="7"/>
      </c>
      <c r="D126" s="201"/>
      <c r="E126" s="201"/>
      <c r="F126" s="58"/>
      <c r="G126" s="48"/>
      <c r="H126" s="48"/>
      <c r="I126" s="65"/>
      <c r="J126" s="65"/>
      <c r="K126" s="342">
        <f t="shared" si="8"/>
      </c>
      <c r="L126" s="168"/>
      <c r="M126" s="182"/>
      <c r="N126" s="55"/>
      <c r="O126" s="55"/>
      <c r="P126" s="55"/>
      <c r="Q126" s="343">
        <f t="shared" si="13"/>
        <v>0</v>
      </c>
      <c r="R126" s="344">
        <f t="shared" si="10"/>
      </c>
      <c r="S126" s="345">
        <f t="shared" si="11"/>
      </c>
      <c r="AL126" s="315"/>
      <c r="AM126" s="315"/>
      <c r="AN126" s="315"/>
    </row>
    <row r="127" spans="2:40" ht="15.75">
      <c r="B127" s="340">
        <v>92</v>
      </c>
      <c r="C127" s="341">
        <f t="shared" si="7"/>
      </c>
      <c r="D127" s="201"/>
      <c r="E127" s="201"/>
      <c r="F127" s="58"/>
      <c r="G127" s="48"/>
      <c r="H127" s="48"/>
      <c r="I127" s="65"/>
      <c r="J127" s="65"/>
      <c r="K127" s="342">
        <f t="shared" si="8"/>
      </c>
      <c r="L127" s="168"/>
      <c r="M127" s="182"/>
      <c r="N127" s="55"/>
      <c r="O127" s="55"/>
      <c r="P127" s="55"/>
      <c r="Q127" s="343">
        <f t="shared" si="13"/>
        <v>0</v>
      </c>
      <c r="R127" s="344">
        <f t="shared" si="10"/>
      </c>
      <c r="S127" s="345">
        <f t="shared" si="11"/>
      </c>
      <c r="AL127" s="315"/>
      <c r="AM127" s="315"/>
      <c r="AN127" s="315"/>
    </row>
    <row r="128" spans="2:40" ht="15.75">
      <c r="B128" s="340">
        <v>93</v>
      </c>
      <c r="C128" s="341">
        <f t="shared" si="7"/>
      </c>
      <c r="D128" s="201"/>
      <c r="E128" s="201"/>
      <c r="F128" s="58"/>
      <c r="G128" s="48"/>
      <c r="H128" s="48"/>
      <c r="I128" s="65"/>
      <c r="J128" s="65"/>
      <c r="K128" s="342">
        <f t="shared" si="8"/>
      </c>
      <c r="L128" s="168"/>
      <c r="M128" s="182"/>
      <c r="N128" s="55"/>
      <c r="O128" s="55"/>
      <c r="P128" s="55"/>
      <c r="Q128" s="343">
        <f t="shared" si="13"/>
        <v>0</v>
      </c>
      <c r="R128" s="344">
        <f t="shared" si="10"/>
      </c>
      <c r="S128" s="345">
        <f t="shared" si="11"/>
      </c>
      <c r="AL128" s="315"/>
      <c r="AM128" s="315"/>
      <c r="AN128" s="315"/>
    </row>
    <row r="129" spans="2:40" ht="15.75">
      <c r="B129" s="340">
        <v>94</v>
      </c>
      <c r="C129" s="341">
        <f t="shared" si="7"/>
      </c>
      <c r="D129" s="201"/>
      <c r="E129" s="201"/>
      <c r="F129" s="58"/>
      <c r="G129" s="48"/>
      <c r="H129" s="48"/>
      <c r="I129" s="65"/>
      <c r="J129" s="65"/>
      <c r="K129" s="342">
        <f t="shared" si="8"/>
      </c>
      <c r="L129" s="168"/>
      <c r="M129" s="182"/>
      <c r="N129" s="55"/>
      <c r="O129" s="55"/>
      <c r="P129" s="55"/>
      <c r="Q129" s="343">
        <f t="shared" si="13"/>
        <v>0</v>
      </c>
      <c r="R129" s="344">
        <f t="shared" si="10"/>
      </c>
      <c r="S129" s="345">
        <f t="shared" si="11"/>
      </c>
      <c r="AL129" s="315"/>
      <c r="AM129" s="315"/>
      <c r="AN129" s="315"/>
    </row>
    <row r="130" spans="2:40" ht="15.75">
      <c r="B130" s="340">
        <v>95</v>
      </c>
      <c r="C130" s="341">
        <f t="shared" si="7"/>
      </c>
      <c r="D130" s="201"/>
      <c r="E130" s="201"/>
      <c r="F130" s="58"/>
      <c r="G130" s="48"/>
      <c r="H130" s="48"/>
      <c r="I130" s="65"/>
      <c r="J130" s="65"/>
      <c r="K130" s="342">
        <f t="shared" si="8"/>
      </c>
      <c r="L130" s="168"/>
      <c r="M130" s="182"/>
      <c r="N130" s="55"/>
      <c r="O130" s="55"/>
      <c r="P130" s="55"/>
      <c r="Q130" s="343">
        <f t="shared" si="13"/>
        <v>0</v>
      </c>
      <c r="R130" s="344">
        <f t="shared" si="10"/>
      </c>
      <c r="S130" s="345">
        <f t="shared" si="11"/>
      </c>
      <c r="AL130" s="315"/>
      <c r="AM130" s="315"/>
      <c r="AN130" s="315"/>
    </row>
    <row r="131" spans="2:40" ht="15.75">
      <c r="B131" s="340">
        <v>96</v>
      </c>
      <c r="C131" s="341">
        <f t="shared" si="7"/>
      </c>
      <c r="D131" s="201"/>
      <c r="E131" s="201"/>
      <c r="F131" s="58"/>
      <c r="G131" s="48"/>
      <c r="H131" s="48"/>
      <c r="I131" s="65"/>
      <c r="J131" s="65"/>
      <c r="K131" s="342">
        <f t="shared" si="8"/>
      </c>
      <c r="L131" s="168"/>
      <c r="M131" s="182"/>
      <c r="N131" s="55"/>
      <c r="O131" s="55"/>
      <c r="P131" s="55"/>
      <c r="Q131" s="343">
        <f t="shared" si="13"/>
        <v>0</v>
      </c>
      <c r="R131" s="344">
        <f t="shared" si="10"/>
      </c>
      <c r="S131" s="345">
        <f t="shared" si="11"/>
      </c>
      <c r="AL131" s="315"/>
      <c r="AM131" s="315"/>
      <c r="AN131" s="315"/>
    </row>
    <row r="132" spans="2:40" ht="15.75">
      <c r="B132" s="340">
        <v>97</v>
      </c>
      <c r="C132" s="341">
        <f>IF(AND(NOT(COUNTA(D132:J132)),(NOT(COUNTA(L132:P132)))),"",VLOOKUP($D$7,Info_County_Code,2,FALSE))</f>
      </c>
      <c r="D132" s="201"/>
      <c r="E132" s="201"/>
      <c r="F132" s="58"/>
      <c r="G132" s="48"/>
      <c r="H132" s="48"/>
      <c r="I132" s="65"/>
      <c r="J132" s="65"/>
      <c r="K132" s="342">
        <f t="shared" si="8"/>
      </c>
      <c r="L132" s="168"/>
      <c r="M132" s="182"/>
      <c r="N132" s="55"/>
      <c r="O132" s="55"/>
      <c r="P132" s="55"/>
      <c r="Q132" s="343">
        <f t="shared" si="13"/>
        <v>0</v>
      </c>
      <c r="R132" s="344">
        <f t="shared" si="10"/>
      </c>
      <c r="S132" s="345">
        <f t="shared" si="11"/>
      </c>
      <c r="AL132" s="315"/>
      <c r="AM132" s="315"/>
      <c r="AN132" s="315"/>
    </row>
    <row r="133" spans="2:40" ht="15.75">
      <c r="B133" s="340">
        <v>98</v>
      </c>
      <c r="C133" s="341">
        <f>IF(AND(NOT(COUNTA(D133:J133)),(NOT(COUNTA(L133:P133)))),"",VLOOKUP($D$7,Info_County_Code,2,FALSE))</f>
      </c>
      <c r="D133" s="201"/>
      <c r="E133" s="201"/>
      <c r="F133" s="58"/>
      <c r="G133" s="48"/>
      <c r="H133" s="48"/>
      <c r="I133" s="65"/>
      <c r="J133" s="65"/>
      <c r="K133" s="342">
        <f t="shared" si="8"/>
      </c>
      <c r="L133" s="168"/>
      <c r="M133" s="182"/>
      <c r="N133" s="55"/>
      <c r="O133" s="55"/>
      <c r="P133" s="55"/>
      <c r="Q133" s="343">
        <f t="shared" si="13"/>
        <v>0</v>
      </c>
      <c r="R133" s="344">
        <f t="shared" si="10"/>
      </c>
      <c r="S133" s="345">
        <f t="shared" si="11"/>
      </c>
      <c r="AL133" s="315"/>
      <c r="AM133" s="315"/>
      <c r="AN133" s="315"/>
    </row>
    <row r="134" spans="2:40" ht="15.75">
      <c r="B134" s="340">
        <v>99</v>
      </c>
      <c r="C134" s="341">
        <f>IF(AND(NOT(COUNTA(D134:J134)),(NOT(COUNTA(L134:P134)))),"",VLOOKUP($D$7,Info_County_Code,2,FALSE))</f>
      </c>
      <c r="D134" s="201"/>
      <c r="E134" s="201"/>
      <c r="F134" s="58"/>
      <c r="G134" s="48"/>
      <c r="H134" s="48"/>
      <c r="I134" s="65"/>
      <c r="J134" s="65"/>
      <c r="K134" s="342">
        <f t="shared" si="8"/>
      </c>
      <c r="L134" s="168"/>
      <c r="M134" s="182"/>
      <c r="N134" s="55"/>
      <c r="O134" s="55"/>
      <c r="P134" s="55"/>
      <c r="Q134" s="343">
        <f t="shared" si="13"/>
        <v>0</v>
      </c>
      <c r="R134" s="344">
        <f t="shared" si="10"/>
      </c>
      <c r="S134" s="345">
        <f t="shared" si="11"/>
      </c>
      <c r="AL134" s="315"/>
      <c r="AM134" s="315"/>
      <c r="AN134" s="315"/>
    </row>
    <row r="135" spans="2:40" ht="15.75">
      <c r="B135" s="340">
        <v>100</v>
      </c>
      <c r="C135" s="341">
        <f>IF(AND(NOT(COUNTA(D135:J135)),(NOT(COUNTA(L135:P135)))),"",VLOOKUP($D$7,Info_County_Code,2,FALSE))</f>
      </c>
      <c r="D135" s="201"/>
      <c r="E135" s="201"/>
      <c r="F135" s="58"/>
      <c r="G135" s="48"/>
      <c r="H135" s="48"/>
      <c r="I135" s="65"/>
      <c r="J135" s="65"/>
      <c r="K135" s="342">
        <f t="shared" si="8"/>
      </c>
      <c r="L135" s="168"/>
      <c r="M135" s="182"/>
      <c r="N135" s="55"/>
      <c r="O135" s="55"/>
      <c r="P135" s="55"/>
      <c r="Q135" s="343">
        <f t="shared" si="13"/>
        <v>0</v>
      </c>
      <c r="R135" s="344">
        <f t="shared" si="10"/>
      </c>
      <c r="S135" s="345">
        <f t="shared" si="11"/>
      </c>
      <c r="AL135" s="315"/>
      <c r="AM135" s="315"/>
      <c r="AN135" s="315"/>
    </row>
    <row r="136" spans="2:3" ht="15.75" hidden="1">
      <c r="B136" s="346"/>
      <c r="C136" s="315"/>
    </row>
    <row r="137" ht="15.75" hidden="1"/>
    <row r="138" ht="15.75" hidden="1"/>
    <row r="139" ht="15.75" hidden="1"/>
    <row r="140" ht="15.75" hidden="1"/>
    <row r="141" ht="15.75" hidden="1"/>
    <row r="142" ht="15.75" hidden="1"/>
    <row r="143" ht="15.75" hidden="1"/>
    <row r="144" ht="15.75" hidden="1"/>
    <row r="145" ht="15.75" hidden="1"/>
    <row r="146" ht="15.75" hidden="1"/>
    <row r="147" ht="15.75" hidden="1"/>
    <row r="148" ht="15.75" hidden="1"/>
    <row r="149" ht="15.75" hidden="1"/>
    <row r="150" ht="15.75" hidden="1"/>
  </sheetData>
  <sheetProtection sheet="1" objects="1" scenarios="1" formatColumns="0" formatRows="0"/>
  <mergeCells count="16">
    <mergeCell ref="D34:K34"/>
    <mergeCell ref="M34:P34"/>
    <mergeCell ref="C29:E29"/>
    <mergeCell ref="B7:C7"/>
    <mergeCell ref="C13:E13"/>
    <mergeCell ref="C14:E14"/>
    <mergeCell ref="C15:E15"/>
    <mergeCell ref="C16:E16"/>
    <mergeCell ref="C17:E17"/>
    <mergeCell ref="G26:G28"/>
    <mergeCell ref="G12:J12"/>
    <mergeCell ref="F26:F28"/>
    <mergeCell ref="C21:E21"/>
    <mergeCell ref="C20:E20"/>
    <mergeCell ref="C18:E18"/>
    <mergeCell ref="C19:E19"/>
  </mergeCells>
  <dataValidations count="2">
    <dataValidation type="list" allowBlank="1" showInputMessage="1" showErrorMessage="1" sqref="G36:G135">
      <formula1>PEI_Program_Type</formula1>
    </dataValidation>
    <dataValidation type="list" allowBlank="1" showInputMessage="1" showErrorMessage="1" sqref="F36:F135">
      <formula1>PEI_Combined_Standalone</formula1>
    </dataValidation>
  </dataValidations>
  <printOptions/>
  <pageMargins left="0.25" right="0.25" top="0.4010416666666667" bottom="0.75" header="0.3" footer="0.3"/>
  <pageSetup fitToHeight="0" fitToWidth="0" horizontalDpi="600" verticalDpi="600" orientation="landscape" paperSize="5" scale="40" r:id="rId1"/>
  <headerFooter>
    <oddFooter>&amp;C&amp;"Arial,Regular"&amp;16Page &amp;P of &amp;N</oddFooter>
  </headerFooter>
  <rowBreaks count="2" manualBreakCount="2">
    <brk id="30" min="1" max="16" man="1"/>
    <brk id="82" min="1" max="16" man="1"/>
  </rowBreaks>
</worksheet>
</file>

<file path=xl/worksheets/sheet7.xml><?xml version="1.0" encoding="utf-8"?>
<worksheet xmlns="http://schemas.openxmlformats.org/spreadsheetml/2006/main" xmlns:r="http://schemas.openxmlformats.org/officeDocument/2006/relationships">
  <sheetPr codeName="Sheet7"/>
  <dimension ref="A1:Q132"/>
  <sheetViews>
    <sheetView showGridLines="0" zoomScale="60" zoomScaleNormal="60" zoomScaleSheetLayoutView="40" zoomScalePageLayoutView="0" workbookViewId="0" topLeftCell="A1">
      <selection activeCell="A1" sqref="A1"/>
    </sheetView>
  </sheetViews>
  <sheetFormatPr defaultColWidth="0" defaultRowHeight="15" zeroHeight="1"/>
  <cols>
    <col min="1" max="1" width="2.7109375" style="49" customWidth="1"/>
    <col min="2" max="2" width="6.7109375" style="388" customWidth="1"/>
    <col min="3" max="3" width="8.8515625" style="388" customWidth="1"/>
    <col min="4" max="4" width="63.8515625" style="388" bestFit="1" customWidth="1"/>
    <col min="5" max="7" width="17.7109375" style="388" customWidth="1"/>
    <col min="8" max="8" width="31.00390625" style="388" bestFit="1" customWidth="1"/>
    <col min="9" max="9" width="24.8515625" style="388" customWidth="1"/>
    <col min="10" max="10" width="24.421875" style="388" bestFit="1" customWidth="1"/>
    <col min="11" max="11" width="20.8515625" style="388" bestFit="1" customWidth="1"/>
    <col min="12" max="12" width="25.140625" style="388" bestFit="1" customWidth="1"/>
    <col min="13" max="13" width="26.57421875" style="388" customWidth="1"/>
    <col min="14" max="14" width="21.140625" style="388" bestFit="1" customWidth="1"/>
    <col min="15" max="15" width="20.140625" style="388" bestFit="1" customWidth="1"/>
    <col min="16" max="16" width="17.7109375" style="388" customWidth="1"/>
    <col min="17" max="17" width="21.140625" style="315" hidden="1" customWidth="1"/>
    <col min="18" max="18" width="18.00390625" style="315" hidden="1" customWidth="1"/>
    <col min="19" max="16384" width="9.140625" style="315" hidden="1" customWidth="1"/>
  </cols>
  <sheetData>
    <row r="1" spans="1:16" s="49" customFormat="1" ht="15">
      <c r="A1" s="284" t="s">
        <v>371</v>
      </c>
      <c r="B1" s="462"/>
      <c r="C1" s="462"/>
      <c r="D1" s="462"/>
      <c r="E1" s="50"/>
      <c r="F1" s="50"/>
      <c r="G1" s="50"/>
      <c r="H1" s="50"/>
      <c r="I1" s="50"/>
      <c r="J1" s="50"/>
      <c r="K1" s="50"/>
      <c r="L1" s="50"/>
      <c r="M1" s="50"/>
      <c r="N1" s="50"/>
      <c r="O1" s="50"/>
      <c r="P1" s="50"/>
    </row>
    <row r="2" s="160" customFormat="1" ht="18">
      <c r="B2" s="285" t="str">
        <f>'1. Information'!B2</f>
        <v>Version 7/1/2018</v>
      </c>
    </row>
    <row r="3" spans="2:15" s="49" customFormat="1" ht="18">
      <c r="B3" s="349" t="str">
        <f>'1. Information'!B3</f>
        <v>Annual Mental Health Services Act Revenue and Expenditure Report</v>
      </c>
      <c r="C3" s="7"/>
      <c r="D3" s="7"/>
      <c r="E3" s="7"/>
      <c r="F3" s="7"/>
      <c r="G3" s="7"/>
      <c r="H3" s="7"/>
      <c r="I3" s="7"/>
      <c r="J3" s="7"/>
      <c r="K3" s="8"/>
      <c r="L3" s="7"/>
      <c r="M3" s="7"/>
      <c r="N3" s="7"/>
      <c r="O3" s="7"/>
    </row>
    <row r="4" spans="2:15" s="49" customFormat="1" ht="18">
      <c r="B4" s="350" t="str">
        <f>'1. Information'!B4</f>
        <v>Fiscal Year 2017-18</v>
      </c>
      <c r="C4" s="9"/>
      <c r="D4" s="9"/>
      <c r="E4" s="9"/>
      <c r="F4" s="9"/>
      <c r="G4" s="9"/>
      <c r="H4" s="9"/>
      <c r="I4" s="9"/>
      <c r="J4" s="9"/>
      <c r="K4" s="10"/>
      <c r="L4" s="9"/>
      <c r="M4" s="9"/>
      <c r="N4" s="9"/>
      <c r="O4" s="9"/>
    </row>
    <row r="5" spans="2:15" s="49" customFormat="1" ht="18">
      <c r="B5" s="349" t="s">
        <v>258</v>
      </c>
      <c r="C5" s="7"/>
      <c r="D5" s="7"/>
      <c r="E5" s="7"/>
      <c r="F5" s="7"/>
      <c r="G5" s="7"/>
      <c r="H5" s="7"/>
      <c r="I5" s="7"/>
      <c r="J5" s="7"/>
      <c r="K5" s="8"/>
      <c r="L5" s="7"/>
      <c r="M5" s="7"/>
      <c r="N5" s="7"/>
      <c r="O5" s="7"/>
    </row>
    <row r="6" spans="2:16" s="49" customFormat="1" ht="15.75">
      <c r="B6" s="50"/>
      <c r="C6" s="8"/>
      <c r="D6" s="8"/>
      <c r="E6" s="8"/>
      <c r="F6" s="8"/>
      <c r="G6" s="8"/>
      <c r="H6" s="8"/>
      <c r="I6" s="8"/>
      <c r="J6" s="8"/>
      <c r="K6" s="8"/>
      <c r="L6" s="8"/>
      <c r="M6" s="7"/>
      <c r="N6" s="7"/>
      <c r="O6" s="7"/>
      <c r="P6" s="7"/>
    </row>
    <row r="7" spans="2:16" s="49" customFormat="1" ht="15.75">
      <c r="B7" s="447" t="s">
        <v>1</v>
      </c>
      <c r="C7" s="447"/>
      <c r="D7" s="286" t="str">
        <f>IF(ISBLANK('1. Information'!D8),"",'1. Information'!D8)</f>
        <v>San Francisco</v>
      </c>
      <c r="E7" s="50"/>
      <c r="F7" s="248" t="s">
        <v>2</v>
      </c>
      <c r="G7" s="317">
        <f>IF(ISBLANK('1. Information'!D7),"",'1. Information'!D7)</f>
        <v>43465</v>
      </c>
      <c r="H7" s="51"/>
      <c r="I7" s="51"/>
      <c r="J7" s="8"/>
      <c r="K7" s="8"/>
      <c r="L7" s="8"/>
      <c r="M7" s="8"/>
      <c r="N7" s="8"/>
      <c r="O7" s="8"/>
      <c r="P7" s="8"/>
    </row>
    <row r="8" spans="2:16" s="49" customFormat="1" ht="15.75">
      <c r="B8" s="6"/>
      <c r="C8" s="6"/>
      <c r="D8" s="6"/>
      <c r="E8" s="50"/>
      <c r="F8" s="6"/>
      <c r="G8" s="51"/>
      <c r="H8" s="51"/>
      <c r="I8" s="51"/>
      <c r="J8" s="8"/>
      <c r="K8" s="8"/>
      <c r="L8" s="8"/>
      <c r="M8" s="8"/>
      <c r="N8" s="8"/>
      <c r="O8" s="8"/>
      <c r="P8" s="8"/>
    </row>
    <row r="9" spans="2:16" s="49" customFormat="1" ht="18.75" thickBot="1">
      <c r="B9" s="351" t="s">
        <v>260</v>
      </c>
      <c r="C9" s="16"/>
      <c r="D9" s="16"/>
      <c r="E9" s="54"/>
      <c r="F9" s="52"/>
      <c r="G9" s="52"/>
      <c r="H9" s="53"/>
      <c r="I9" s="53"/>
      <c r="J9" s="17"/>
      <c r="K9" s="17"/>
      <c r="L9" s="8"/>
      <c r="M9" s="8"/>
      <c r="N9" s="8"/>
      <c r="O9" s="179"/>
      <c r="P9" s="8"/>
    </row>
    <row r="10" spans="2:16" s="49" customFormat="1" ht="16.5" thickTop="1">
      <c r="B10" s="11"/>
      <c r="C10" s="6"/>
      <c r="D10" s="6"/>
      <c r="E10" s="50"/>
      <c r="H10" s="51"/>
      <c r="I10" s="51"/>
      <c r="J10" s="8"/>
      <c r="K10" s="8"/>
      <c r="L10" s="8"/>
      <c r="M10" s="8"/>
      <c r="N10" s="8"/>
      <c r="O10" s="179"/>
      <c r="P10" s="8"/>
    </row>
    <row r="11" spans="2:14" s="49" customFormat="1" ht="15.75">
      <c r="B11" s="6"/>
      <c r="C11" s="6"/>
      <c r="D11" s="6"/>
      <c r="E11" s="50"/>
      <c r="F11" s="299" t="s">
        <v>27</v>
      </c>
      <c r="G11" s="290" t="s">
        <v>29</v>
      </c>
      <c r="H11" s="319" t="s">
        <v>32</v>
      </c>
      <c r="I11" s="319" t="s">
        <v>246</v>
      </c>
      <c r="J11" s="330" t="s">
        <v>247</v>
      </c>
      <c r="K11" s="299" t="s">
        <v>248</v>
      </c>
      <c r="L11" s="348"/>
      <c r="M11" s="179"/>
      <c r="N11" s="179"/>
    </row>
    <row r="12" spans="3:14" s="49" customFormat="1" ht="15.75">
      <c r="C12" s="3"/>
      <c r="D12" s="12"/>
      <c r="E12" s="12"/>
      <c r="F12" s="248" t="s">
        <v>28</v>
      </c>
      <c r="G12" s="437" t="s">
        <v>30</v>
      </c>
      <c r="H12" s="437"/>
      <c r="I12" s="437"/>
      <c r="J12" s="440"/>
      <c r="K12" s="305"/>
      <c r="L12" s="179"/>
      <c r="M12" s="179"/>
      <c r="N12" s="179"/>
    </row>
    <row r="13" spans="3:14" s="49" customFormat="1" ht="65.25" customHeight="1">
      <c r="C13" s="464"/>
      <c r="D13" s="464"/>
      <c r="E13" s="464"/>
      <c r="F13" s="292" t="s">
        <v>300</v>
      </c>
      <c r="G13" s="294" t="s">
        <v>5</v>
      </c>
      <c r="H13" s="293" t="s">
        <v>6</v>
      </c>
      <c r="I13" s="293" t="s">
        <v>31</v>
      </c>
      <c r="J13" s="293" t="s">
        <v>15</v>
      </c>
      <c r="K13" s="336" t="s">
        <v>278</v>
      </c>
      <c r="L13" s="179"/>
      <c r="M13" s="179"/>
      <c r="N13" s="179"/>
    </row>
    <row r="14" spans="2:14" s="49" customFormat="1" ht="15.75">
      <c r="B14" s="340">
        <v>1</v>
      </c>
      <c r="C14" s="445" t="s">
        <v>160</v>
      </c>
      <c r="D14" s="445"/>
      <c r="E14" s="445"/>
      <c r="F14" s="167"/>
      <c r="G14" s="18"/>
      <c r="H14" s="14"/>
      <c r="I14" s="14"/>
      <c r="J14" s="172"/>
      <c r="K14" s="298">
        <f>SUM(F14:J14)</f>
        <v>0</v>
      </c>
      <c r="L14" s="179"/>
      <c r="M14" s="179"/>
      <c r="N14" s="179"/>
    </row>
    <row r="15" spans="2:14" s="49" customFormat="1" ht="15.75">
      <c r="B15" s="340">
        <v>2</v>
      </c>
      <c r="C15" s="445" t="s">
        <v>161</v>
      </c>
      <c r="D15" s="445"/>
      <c r="E15" s="445"/>
      <c r="F15" s="14">
        <v>142277.56</v>
      </c>
      <c r="G15" s="206"/>
      <c r="H15" s="207"/>
      <c r="I15" s="207"/>
      <c r="J15" s="208"/>
      <c r="K15" s="298">
        <f>SUM(F15:J15)</f>
        <v>142277.56</v>
      </c>
      <c r="L15" s="179"/>
      <c r="M15" s="179"/>
      <c r="N15" s="179"/>
    </row>
    <row r="16" spans="2:14" s="49" customFormat="1" ht="15.75">
      <c r="B16" s="340">
        <v>3</v>
      </c>
      <c r="C16" s="441" t="s">
        <v>314</v>
      </c>
      <c r="D16" s="442"/>
      <c r="E16" s="443"/>
      <c r="F16" s="188"/>
      <c r="G16" s="352"/>
      <c r="H16" s="352"/>
      <c r="I16" s="352"/>
      <c r="J16" s="352"/>
      <c r="K16" s="298">
        <f>SUM(F16:J16)</f>
        <v>0</v>
      </c>
      <c r="L16" s="179"/>
      <c r="M16" s="179"/>
      <c r="N16" s="179"/>
    </row>
    <row r="17" spans="2:14" s="49" customFormat="1" ht="15.75">
      <c r="B17" s="340">
        <v>4</v>
      </c>
      <c r="C17" s="441" t="s">
        <v>315</v>
      </c>
      <c r="D17" s="442"/>
      <c r="E17" s="443"/>
      <c r="F17" s="205"/>
      <c r="G17" s="352"/>
      <c r="H17" s="352"/>
      <c r="I17" s="352"/>
      <c r="J17" s="352"/>
      <c r="K17" s="298">
        <f>SUM(F17:J17)</f>
        <v>0</v>
      </c>
      <c r="L17" s="179"/>
      <c r="M17" s="179"/>
      <c r="N17" s="179"/>
    </row>
    <row r="18" spans="2:14" s="49" customFormat="1" ht="15.75">
      <c r="B18" s="340">
        <v>5</v>
      </c>
      <c r="C18" s="445" t="s">
        <v>162</v>
      </c>
      <c r="D18" s="445"/>
      <c r="E18" s="445"/>
      <c r="F18" s="353">
        <f>SUMIF($J$29:$J$132,"Project Administration",K$29:K$132)</f>
        <v>23371.7</v>
      </c>
      <c r="G18" s="354">
        <f>SUMIF($J$29:$J$132,"Project Administration",L$29:L$132)</f>
        <v>0</v>
      </c>
      <c r="H18" s="353">
        <f>SUMIF($J$29:$J$132,"Project Administration",M$29:M$132)</f>
        <v>0</v>
      </c>
      <c r="I18" s="353">
        <f>SUMIF($J$29:$J$132,"Project Administration",N$29:N$132)</f>
        <v>0</v>
      </c>
      <c r="J18" s="353">
        <f>SUMIF($J$29:$J$132,"Project Administration",O$29:O$132)</f>
        <v>0</v>
      </c>
      <c r="K18" s="298">
        <f>SUM(F18:J18)</f>
        <v>23371.7</v>
      </c>
      <c r="L18" s="179"/>
      <c r="M18" s="179"/>
      <c r="N18" s="179"/>
    </row>
    <row r="19" spans="2:14" s="49" customFormat="1" ht="15.75">
      <c r="B19" s="340">
        <v>6</v>
      </c>
      <c r="C19" s="445" t="s">
        <v>163</v>
      </c>
      <c r="D19" s="445"/>
      <c r="E19" s="445"/>
      <c r="F19" s="352">
        <f>SUMIF($J$29:$J$132,"Project Evaluation",K$29:K$132)</f>
        <v>0</v>
      </c>
      <c r="G19" s="355">
        <f>SUMIF($J$29:$J$132,"Project Evaluation",L$29:L$132)</f>
        <v>0</v>
      </c>
      <c r="H19" s="352">
        <f>SUMIF($J$29:$J$132,"Project Evaluation",M$29:M$132)</f>
        <v>0</v>
      </c>
      <c r="I19" s="352">
        <f>SUMIF($J$29:$J$132,"Project Evaluation",N$29:N$132)</f>
        <v>0</v>
      </c>
      <c r="J19" s="352">
        <f>SUMIF($J$29:$J$132,"Project Evaluation",O$29:O$132)</f>
        <v>0</v>
      </c>
      <c r="K19" s="298">
        <f>SUM(F19:J19)</f>
        <v>0</v>
      </c>
      <c r="L19" s="179"/>
      <c r="M19" s="179"/>
      <c r="N19" s="179"/>
    </row>
    <row r="20" spans="2:14" s="49" customFormat="1" ht="15.75">
      <c r="B20" s="340">
        <v>7</v>
      </c>
      <c r="C20" s="445" t="s">
        <v>236</v>
      </c>
      <c r="D20" s="445"/>
      <c r="E20" s="445"/>
      <c r="F20" s="352">
        <f>SUMIF($J$29:$J$132,"Project Direct",K$29:K$132)</f>
        <v>813146.54</v>
      </c>
      <c r="G20" s="355">
        <f>SUMIF($J$29:$J$132,"Project Direct",L$29:L$132)</f>
        <v>0</v>
      </c>
      <c r="H20" s="352">
        <f>SUMIF($J$29:$J$132,"Project Direct",M$29:M$132)</f>
        <v>0</v>
      </c>
      <c r="I20" s="352">
        <f>SUMIF($J$29:$J$132,"Project Direct",N$29:N$132)</f>
        <v>0</v>
      </c>
      <c r="J20" s="352">
        <f>SUMIF($J$29:$J$132,"Project Direct",O$29:O$132)</f>
        <v>0</v>
      </c>
      <c r="K20" s="298">
        <f>SUM(F20:J20)</f>
        <v>813146.54</v>
      </c>
      <c r="L20" s="179"/>
      <c r="M20" s="179"/>
      <c r="N20" s="179"/>
    </row>
    <row r="21" spans="2:14" s="49" customFormat="1" ht="15.75">
      <c r="B21" s="340">
        <v>8</v>
      </c>
      <c r="C21" s="463" t="s">
        <v>164</v>
      </c>
      <c r="D21" s="463"/>
      <c r="E21" s="463"/>
      <c r="F21" s="356">
        <f>SUM(F18:F20)</f>
        <v>836518.24</v>
      </c>
      <c r="G21" s="357">
        <f>SUM(G18:G20)</f>
        <v>0</v>
      </c>
      <c r="H21" s="356">
        <f>SUM(H18:H20)</f>
        <v>0</v>
      </c>
      <c r="I21" s="356">
        <f>SUM(I18:I20)</f>
        <v>0</v>
      </c>
      <c r="J21" s="356">
        <f>SUM(J18:J20)</f>
        <v>0</v>
      </c>
      <c r="K21" s="356">
        <f>SUM(K18:K20)</f>
        <v>836518.24</v>
      </c>
      <c r="L21" s="179"/>
      <c r="M21" s="179"/>
      <c r="N21" s="179"/>
    </row>
    <row r="22" spans="2:14" s="49" customFormat="1" ht="30.75" customHeight="1">
      <c r="B22" s="340">
        <v>9</v>
      </c>
      <c r="C22" s="460" t="s">
        <v>316</v>
      </c>
      <c r="D22" s="460"/>
      <c r="E22" s="460"/>
      <c r="F22" s="358">
        <f aca="true" t="shared" si="0" ref="F22:K22">SUM(F14:F15,F17,F18:F20)</f>
        <v>978795.8</v>
      </c>
      <c r="G22" s="358">
        <f t="shared" si="0"/>
        <v>0</v>
      </c>
      <c r="H22" s="358">
        <f t="shared" si="0"/>
        <v>0</v>
      </c>
      <c r="I22" s="358">
        <f t="shared" si="0"/>
        <v>0</v>
      </c>
      <c r="J22" s="358">
        <f t="shared" si="0"/>
        <v>0</v>
      </c>
      <c r="K22" s="358">
        <f t="shared" si="0"/>
        <v>978795.8</v>
      </c>
      <c r="L22" s="179"/>
      <c r="M22" s="179"/>
      <c r="N22" s="179"/>
    </row>
    <row r="23" s="49" customFormat="1" ht="15"/>
    <row r="24" spans="2:17" s="49" customFormat="1" ht="18.75" thickBot="1">
      <c r="B24" s="303" t="s">
        <v>261</v>
      </c>
      <c r="C24" s="52"/>
      <c r="D24" s="52"/>
      <c r="E24" s="52"/>
      <c r="F24" s="52"/>
      <c r="G24" s="52"/>
      <c r="H24" s="52"/>
      <c r="I24" s="52"/>
      <c r="J24" s="52"/>
      <c r="K24" s="52"/>
      <c r="L24" s="52"/>
      <c r="M24" s="52"/>
      <c r="N24" s="52"/>
      <c r="O24" s="52"/>
      <c r="P24" s="52"/>
      <c r="Q24" s="52"/>
    </row>
    <row r="25" s="49" customFormat="1" ht="15.75" thickTop="1"/>
    <row r="26" spans="3:16" s="49" customFormat="1" ht="15">
      <c r="C26" s="340" t="s">
        <v>27</v>
      </c>
      <c r="D26" s="340" t="s">
        <v>29</v>
      </c>
      <c r="E26" s="340" t="s">
        <v>32</v>
      </c>
      <c r="F26" s="340" t="s">
        <v>246</v>
      </c>
      <c r="G26" s="340" t="s">
        <v>247</v>
      </c>
      <c r="H26" s="340" t="s">
        <v>248</v>
      </c>
      <c r="I26" s="340" t="s">
        <v>257</v>
      </c>
      <c r="J26" s="340" t="s">
        <v>249</v>
      </c>
      <c r="K26" s="299" t="s">
        <v>250</v>
      </c>
      <c r="L26" s="289" t="s">
        <v>251</v>
      </c>
      <c r="M26" s="289" t="s">
        <v>252</v>
      </c>
      <c r="N26" s="359" t="s">
        <v>253</v>
      </c>
      <c r="O26" s="299" t="s">
        <v>254</v>
      </c>
      <c r="P26" s="299" t="s">
        <v>255</v>
      </c>
    </row>
    <row r="27" spans="2:16" s="49" customFormat="1" ht="15.75">
      <c r="B27" s="13"/>
      <c r="C27" s="360"/>
      <c r="D27" s="461" t="s">
        <v>167</v>
      </c>
      <c r="E27" s="461"/>
      <c r="F27" s="461"/>
      <c r="G27" s="461"/>
      <c r="H27" s="461"/>
      <c r="I27" s="461"/>
      <c r="J27" s="461"/>
      <c r="K27" s="248" t="s">
        <v>28</v>
      </c>
      <c r="L27" s="461" t="s">
        <v>30</v>
      </c>
      <c r="M27" s="461"/>
      <c r="N27" s="461"/>
      <c r="O27" s="461"/>
      <c r="P27" s="361"/>
    </row>
    <row r="28" spans="2:16" ht="47.25">
      <c r="B28" s="362" t="s">
        <v>134</v>
      </c>
      <c r="C28" s="363" t="s">
        <v>11</v>
      </c>
      <c r="D28" s="364" t="s">
        <v>12</v>
      </c>
      <c r="E28" s="293" t="s">
        <v>18</v>
      </c>
      <c r="F28" s="293" t="s">
        <v>154</v>
      </c>
      <c r="G28" s="293" t="s">
        <v>13</v>
      </c>
      <c r="H28" s="293" t="s">
        <v>151</v>
      </c>
      <c r="I28" s="293" t="s">
        <v>152</v>
      </c>
      <c r="J28" s="365" t="s">
        <v>153</v>
      </c>
      <c r="K28" s="292" t="s">
        <v>300</v>
      </c>
      <c r="L28" s="335" t="s">
        <v>5</v>
      </c>
      <c r="M28" s="333" t="s">
        <v>6</v>
      </c>
      <c r="N28" s="333" t="s">
        <v>14</v>
      </c>
      <c r="O28" s="366" t="s">
        <v>15</v>
      </c>
      <c r="P28" s="336" t="s">
        <v>278</v>
      </c>
    </row>
    <row r="29" spans="2:16" ht="15">
      <c r="B29" s="326">
        <v>1</v>
      </c>
      <c r="C29" s="367">
        <f>IF(P32&lt;&gt;0,VLOOKUP($D$7,Info_County_Code,2,FALSE),"")</f>
        <v>38</v>
      </c>
      <c r="D29" s="66" t="s">
        <v>352</v>
      </c>
      <c r="E29" s="66"/>
      <c r="F29" s="66">
        <v>41753</v>
      </c>
      <c r="G29" s="66">
        <v>41791</v>
      </c>
      <c r="H29" s="55">
        <v>1000000</v>
      </c>
      <c r="I29" s="55">
        <v>1552500</v>
      </c>
      <c r="J29" s="368" t="s">
        <v>158</v>
      </c>
      <c r="K29" s="57"/>
      <c r="L29" s="57"/>
      <c r="M29" s="55"/>
      <c r="N29" s="55"/>
      <c r="O29" s="62"/>
      <c r="P29" s="298">
        <f aca="true" t="shared" si="1" ref="P29:P64">SUM(K29:O29)</f>
        <v>0</v>
      </c>
    </row>
    <row r="30" spans="2:16" ht="15">
      <c r="B30" s="326">
        <v>1</v>
      </c>
      <c r="C30" s="369">
        <f aca="true" t="shared" si="2" ref="C30:I31">IF(ISBLANK(C29),"",C29)</f>
        <v>38</v>
      </c>
      <c r="D30" s="370" t="str">
        <f t="shared" si="2"/>
        <v>INN 14. First Impressions </v>
      </c>
      <c r="E30" s="371">
        <f t="shared" si="2"/>
      </c>
      <c r="F30" s="371">
        <f t="shared" si="2"/>
        <v>41753</v>
      </c>
      <c r="G30" s="371">
        <f t="shared" si="2"/>
        <v>41791</v>
      </c>
      <c r="H30" s="372">
        <f t="shared" si="2"/>
        <v>1000000</v>
      </c>
      <c r="I30" s="372">
        <f t="shared" si="2"/>
        <v>1552500</v>
      </c>
      <c r="J30" s="325" t="s">
        <v>159</v>
      </c>
      <c r="K30" s="57"/>
      <c r="L30" s="57"/>
      <c r="M30" s="55"/>
      <c r="N30" s="55"/>
      <c r="O30" s="62"/>
      <c r="P30" s="298">
        <f t="shared" si="1"/>
        <v>0</v>
      </c>
    </row>
    <row r="31" spans="2:16" ht="15">
      <c r="B31" s="326">
        <v>1</v>
      </c>
      <c r="C31" s="369">
        <f aca="true" t="shared" si="3" ref="C31:H31">IF(ISBLANK(C29),"",C29)</f>
        <v>38</v>
      </c>
      <c r="D31" s="373" t="str">
        <f t="shared" si="3"/>
        <v>INN 14. First Impressions </v>
      </c>
      <c r="E31" s="374">
        <f t="shared" si="3"/>
      </c>
      <c r="F31" s="374">
        <f t="shared" si="3"/>
        <v>41753</v>
      </c>
      <c r="G31" s="374">
        <f t="shared" si="3"/>
        <v>41791</v>
      </c>
      <c r="H31" s="325">
        <f t="shared" si="3"/>
        <v>1000000</v>
      </c>
      <c r="I31" s="325">
        <f t="shared" si="2"/>
        <v>1552500</v>
      </c>
      <c r="J31" s="325" t="s">
        <v>237</v>
      </c>
      <c r="K31" s="57">
        <v>252647</v>
      </c>
      <c r="L31" s="57"/>
      <c r="M31" s="55"/>
      <c r="N31" s="55"/>
      <c r="O31" s="62"/>
      <c r="P31" s="298">
        <f t="shared" si="1"/>
        <v>252647</v>
      </c>
    </row>
    <row r="32" spans="2:16" ht="15.75">
      <c r="B32" s="375">
        <v>1</v>
      </c>
      <c r="C32" s="376">
        <f aca="true" t="shared" si="4" ref="C32:I32">IF(ISBLANK(C29),"",C29)</f>
        <v>38</v>
      </c>
      <c r="D32" s="377" t="str">
        <f t="shared" si="4"/>
        <v>INN 14. First Impressions </v>
      </c>
      <c r="E32" s="378">
        <f t="shared" si="4"/>
      </c>
      <c r="F32" s="378">
        <f t="shared" si="4"/>
        <v>41753</v>
      </c>
      <c r="G32" s="378">
        <f t="shared" si="4"/>
        <v>41791</v>
      </c>
      <c r="H32" s="379">
        <f t="shared" si="4"/>
        <v>1000000</v>
      </c>
      <c r="I32" s="379">
        <f t="shared" si="4"/>
        <v>1552500</v>
      </c>
      <c r="J32" s="327" t="s">
        <v>263</v>
      </c>
      <c r="K32" s="380">
        <f>SUM(K29:K31)</f>
        <v>252647</v>
      </c>
      <c r="L32" s="380">
        <f>SUM(L29:L31)</f>
        <v>0</v>
      </c>
      <c r="M32" s="381">
        <f>SUM(M29:M31)</f>
        <v>0</v>
      </c>
      <c r="N32" s="381">
        <f>SUM(N29:N31)</f>
        <v>0</v>
      </c>
      <c r="O32" s="382">
        <f>SUM(O29:O31)</f>
        <v>0</v>
      </c>
      <c r="P32" s="327">
        <f t="shared" si="1"/>
        <v>252647</v>
      </c>
    </row>
    <row r="33" spans="2:16" ht="15.75">
      <c r="B33" s="326">
        <v>2</v>
      </c>
      <c r="C33" s="367">
        <f>IF(P36&lt;&gt;0,VLOOKUP($D$7,Info_County_Code,2,FALSE),"")</f>
        <v>38</v>
      </c>
      <c r="D33" s="214" t="s">
        <v>353</v>
      </c>
      <c r="E33" s="66"/>
      <c r="F33" s="66">
        <v>42082</v>
      </c>
      <c r="G33" s="66">
        <v>42156</v>
      </c>
      <c r="H33" s="55">
        <v>500000</v>
      </c>
      <c r="I33" s="55">
        <v>1305250</v>
      </c>
      <c r="J33" s="368" t="str">
        <f>IF(NOT(ISBLANK(D33)),$J$29,"")</f>
        <v>Project Administration</v>
      </c>
      <c r="K33" s="57"/>
      <c r="L33" s="57"/>
      <c r="M33" s="55"/>
      <c r="N33" s="55"/>
      <c r="O33" s="62"/>
      <c r="P33" s="298">
        <f>SUM(K33:O33)</f>
        <v>0</v>
      </c>
    </row>
    <row r="34" spans="2:16" ht="30">
      <c r="B34" s="326">
        <v>2</v>
      </c>
      <c r="C34" s="369">
        <f aca="true" t="shared" si="5" ref="C34:I34">IF(ISBLANK(C33),"",C33)</f>
        <v>38</v>
      </c>
      <c r="D34" s="370" t="str">
        <f t="shared" si="5"/>
        <v>INN 15. Building a Peer-to-Peer Support Network for Socially Isolated Older Adults </v>
      </c>
      <c r="E34" s="371">
        <f t="shared" si="5"/>
      </c>
      <c r="F34" s="371">
        <f t="shared" si="5"/>
        <v>42082</v>
      </c>
      <c r="G34" s="371">
        <f t="shared" si="5"/>
        <v>42156</v>
      </c>
      <c r="H34" s="372">
        <f t="shared" si="5"/>
        <v>500000</v>
      </c>
      <c r="I34" s="372">
        <f t="shared" si="5"/>
        <v>1305250</v>
      </c>
      <c r="J34" s="325" t="str">
        <f>IF(NOT(ISBLANK(D33)),$J$30,"")</f>
        <v>Project Evaluation</v>
      </c>
      <c r="K34" s="57"/>
      <c r="L34" s="57"/>
      <c r="M34" s="55"/>
      <c r="N34" s="55"/>
      <c r="O34" s="62"/>
      <c r="P34" s="298">
        <f>SUM(K34:O34)</f>
        <v>0</v>
      </c>
    </row>
    <row r="35" spans="2:16" ht="30">
      <c r="B35" s="326">
        <v>2</v>
      </c>
      <c r="C35" s="369">
        <f aca="true" t="shared" si="6" ref="C35:I35">IF(ISBLANK(C33),"",C33)</f>
        <v>38</v>
      </c>
      <c r="D35" s="373" t="str">
        <f t="shared" si="6"/>
        <v>INN 15. Building a Peer-to-Peer Support Network for Socially Isolated Older Adults </v>
      </c>
      <c r="E35" s="374">
        <f t="shared" si="6"/>
      </c>
      <c r="F35" s="374">
        <f t="shared" si="6"/>
        <v>42082</v>
      </c>
      <c r="G35" s="374">
        <f t="shared" si="6"/>
        <v>42156</v>
      </c>
      <c r="H35" s="325">
        <f t="shared" si="6"/>
        <v>500000</v>
      </c>
      <c r="I35" s="325">
        <f t="shared" si="6"/>
        <v>1305250</v>
      </c>
      <c r="J35" s="325" t="str">
        <f>IF(NOT(ISBLANK(D33)),$J$31,"")</f>
        <v>Project Direct</v>
      </c>
      <c r="K35" s="57">
        <v>240936.3</v>
      </c>
      <c r="L35" s="57"/>
      <c r="M35" s="55"/>
      <c r="N35" s="55"/>
      <c r="O35" s="62"/>
      <c r="P35" s="298">
        <f>SUM(K35:O35)</f>
        <v>240936.3</v>
      </c>
    </row>
    <row r="36" spans="2:16" ht="31.5">
      <c r="B36" s="375">
        <v>2</v>
      </c>
      <c r="C36" s="376">
        <f aca="true" t="shared" si="7" ref="C36:I36">IF(ISBLANK(C33),"",C33)</f>
        <v>38</v>
      </c>
      <c r="D36" s="377" t="str">
        <f t="shared" si="7"/>
        <v>INN 15. Building a Peer-to-Peer Support Network for Socially Isolated Older Adults </v>
      </c>
      <c r="E36" s="378">
        <f t="shared" si="7"/>
      </c>
      <c r="F36" s="378">
        <f t="shared" si="7"/>
        <v>42082</v>
      </c>
      <c r="G36" s="378">
        <f t="shared" si="7"/>
        <v>42156</v>
      </c>
      <c r="H36" s="379">
        <f t="shared" si="7"/>
        <v>500000</v>
      </c>
      <c r="I36" s="379">
        <f t="shared" si="7"/>
        <v>1305250</v>
      </c>
      <c r="J36" s="327" t="str">
        <f>IF(NOT(ISBLANK(D33)),$J$32,"")</f>
        <v>Project Subtotal</v>
      </c>
      <c r="K36" s="380">
        <f>SUM(K33:K35)</f>
        <v>240936.3</v>
      </c>
      <c r="L36" s="380">
        <f>SUM(L33:L35)</f>
        <v>0</v>
      </c>
      <c r="M36" s="381">
        <f>SUM(M33:M35)</f>
        <v>0</v>
      </c>
      <c r="N36" s="381">
        <f>SUM(N33:N35)</f>
        <v>0</v>
      </c>
      <c r="O36" s="382">
        <f>SUM(O33:O35)</f>
        <v>0</v>
      </c>
      <c r="P36" s="327">
        <f>SUM(K36:O36)</f>
        <v>240936.3</v>
      </c>
    </row>
    <row r="37" spans="2:16" ht="15.75">
      <c r="B37" s="326">
        <v>2</v>
      </c>
      <c r="C37" s="367">
        <f>IF(P40&lt;&gt;0,VLOOKUP($D$7,Info_County_Code,2,FALSE),"")</f>
        <v>38</v>
      </c>
      <c r="D37" s="214" t="s">
        <v>354</v>
      </c>
      <c r="E37" s="66"/>
      <c r="F37" s="66">
        <v>42082</v>
      </c>
      <c r="G37" s="66">
        <v>42133</v>
      </c>
      <c r="H37" s="55">
        <v>536392</v>
      </c>
      <c r="I37" s="55">
        <v>1219000</v>
      </c>
      <c r="J37" s="368" t="str">
        <f>IF(NOT(ISBLANK(D37)),$J$29,"")</f>
        <v>Project Administration</v>
      </c>
      <c r="K37" s="57"/>
      <c r="L37" s="57"/>
      <c r="M37" s="55"/>
      <c r="N37" s="55"/>
      <c r="O37" s="62"/>
      <c r="P37" s="298">
        <f t="shared" si="1"/>
        <v>0</v>
      </c>
    </row>
    <row r="38" spans="2:16" ht="30">
      <c r="B38" s="326">
        <v>2</v>
      </c>
      <c r="C38" s="369">
        <f aca="true" t="shared" si="8" ref="C38:I38">IF(ISBLANK(C37),"",C37)</f>
        <v>38</v>
      </c>
      <c r="D38" s="370" t="str">
        <f t="shared" si="8"/>
        <v>INN 16. Building a Peer-to-Peer Support Network for Transgender Individuals</v>
      </c>
      <c r="E38" s="371">
        <f t="shared" si="8"/>
      </c>
      <c r="F38" s="371">
        <f t="shared" si="8"/>
        <v>42082</v>
      </c>
      <c r="G38" s="371">
        <f t="shared" si="8"/>
        <v>42133</v>
      </c>
      <c r="H38" s="372">
        <f t="shared" si="8"/>
        <v>536392</v>
      </c>
      <c r="I38" s="372">
        <f t="shared" si="8"/>
        <v>1219000</v>
      </c>
      <c r="J38" s="325" t="str">
        <f>IF(NOT(ISBLANK(D37)),$J$30,"")</f>
        <v>Project Evaluation</v>
      </c>
      <c r="K38" s="57"/>
      <c r="L38" s="57"/>
      <c r="M38" s="55"/>
      <c r="N38" s="55"/>
      <c r="O38" s="62"/>
      <c r="P38" s="298">
        <f t="shared" si="1"/>
        <v>0</v>
      </c>
    </row>
    <row r="39" spans="2:16" ht="30">
      <c r="B39" s="326">
        <v>2</v>
      </c>
      <c r="C39" s="369">
        <f aca="true" t="shared" si="9" ref="C39:I39">IF(ISBLANK(C37),"",C37)</f>
        <v>38</v>
      </c>
      <c r="D39" s="373" t="str">
        <f t="shared" si="9"/>
        <v>INN 16. Building a Peer-to-Peer Support Network for Transgender Individuals</v>
      </c>
      <c r="E39" s="374">
        <f t="shared" si="9"/>
      </c>
      <c r="F39" s="374">
        <f t="shared" si="9"/>
        <v>42082</v>
      </c>
      <c r="G39" s="374">
        <f t="shared" si="9"/>
        <v>42133</v>
      </c>
      <c r="H39" s="325">
        <f t="shared" si="9"/>
        <v>536392</v>
      </c>
      <c r="I39" s="325">
        <f t="shared" si="9"/>
        <v>1219000</v>
      </c>
      <c r="J39" s="325" t="str">
        <f>IF(NOT(ISBLANK(D37)),$J$31,"")</f>
        <v>Project Direct</v>
      </c>
      <c r="K39" s="57">
        <v>170654.24</v>
      </c>
      <c r="L39" s="57"/>
      <c r="M39" s="55"/>
      <c r="N39" s="55"/>
      <c r="O39" s="62"/>
      <c r="P39" s="298">
        <f t="shared" si="1"/>
        <v>170654.24</v>
      </c>
    </row>
    <row r="40" spans="2:16" ht="31.5">
      <c r="B40" s="375">
        <v>2</v>
      </c>
      <c r="C40" s="376">
        <f aca="true" t="shared" si="10" ref="C40:I40">IF(ISBLANK(C37),"",C37)</f>
        <v>38</v>
      </c>
      <c r="D40" s="377" t="str">
        <f t="shared" si="10"/>
        <v>INN 16. Building a Peer-to-Peer Support Network for Transgender Individuals</v>
      </c>
      <c r="E40" s="378">
        <f t="shared" si="10"/>
      </c>
      <c r="F40" s="378">
        <f t="shared" si="10"/>
        <v>42082</v>
      </c>
      <c r="G40" s="378">
        <f t="shared" si="10"/>
        <v>42133</v>
      </c>
      <c r="H40" s="379">
        <f t="shared" si="10"/>
        <v>536392</v>
      </c>
      <c r="I40" s="379">
        <f t="shared" si="10"/>
        <v>1219000</v>
      </c>
      <c r="J40" s="327" t="str">
        <f>IF(NOT(ISBLANK(D37)),$J$32,"")</f>
        <v>Project Subtotal</v>
      </c>
      <c r="K40" s="380">
        <f>SUM(K37:K39)</f>
        <v>170654.24</v>
      </c>
      <c r="L40" s="380">
        <f>SUM(L37:L39)</f>
        <v>0</v>
      </c>
      <c r="M40" s="381">
        <f>SUM(M37:M39)</f>
        <v>0</v>
      </c>
      <c r="N40" s="381">
        <f>SUM(N37:N39)</f>
        <v>0</v>
      </c>
      <c r="O40" s="382">
        <f>SUM(O37:O39)</f>
        <v>0</v>
      </c>
      <c r="P40" s="327">
        <f t="shared" si="1"/>
        <v>170654.24</v>
      </c>
    </row>
    <row r="41" spans="2:16" ht="15.75">
      <c r="B41" s="326">
        <v>3</v>
      </c>
      <c r="C41" s="367">
        <f>IF(P44&lt;&gt;0,VLOOKUP($D$7,Info_County_Code,2,FALSE),"")</f>
        <v>38</v>
      </c>
      <c r="D41" s="214" t="s">
        <v>355</v>
      </c>
      <c r="E41" s="66"/>
      <c r="F41" s="66">
        <v>42271</v>
      </c>
      <c r="G41" s="66">
        <v>42271</v>
      </c>
      <c r="H41" s="55">
        <v>2001600</v>
      </c>
      <c r="I41" s="55">
        <v>2001600</v>
      </c>
      <c r="J41" s="368" t="str">
        <f>IF(NOT(ISBLANK(D41)),$J$29,"")</f>
        <v>Project Administration</v>
      </c>
      <c r="K41" s="57">
        <v>23371.7</v>
      </c>
      <c r="L41" s="57"/>
      <c r="M41" s="55"/>
      <c r="N41" s="55"/>
      <c r="O41" s="62"/>
      <c r="P41" s="298">
        <f t="shared" si="1"/>
        <v>23371.7</v>
      </c>
    </row>
    <row r="42" spans="2:16" ht="15">
      <c r="B42" s="326">
        <v>3</v>
      </c>
      <c r="C42" s="369">
        <f aca="true" t="shared" si="11" ref="C42:I42">IF(ISBLANK(C41),"",C41)</f>
        <v>38</v>
      </c>
      <c r="D42" s="370" t="str">
        <f t="shared" si="11"/>
        <v>INN 17. Hummingbird Place - Peer Respite</v>
      </c>
      <c r="E42" s="371">
        <f t="shared" si="11"/>
      </c>
      <c r="F42" s="371">
        <f t="shared" si="11"/>
        <v>42271</v>
      </c>
      <c r="G42" s="371">
        <f t="shared" si="11"/>
        <v>42271</v>
      </c>
      <c r="H42" s="372">
        <f t="shared" si="11"/>
        <v>2001600</v>
      </c>
      <c r="I42" s="372">
        <f t="shared" si="11"/>
        <v>2001600</v>
      </c>
      <c r="J42" s="325" t="str">
        <f>IF(NOT(ISBLANK(D41)),$J$30,"")</f>
        <v>Project Evaluation</v>
      </c>
      <c r="K42" s="57"/>
      <c r="L42" s="57"/>
      <c r="M42" s="55"/>
      <c r="N42" s="55"/>
      <c r="O42" s="62"/>
      <c r="P42" s="298">
        <f t="shared" si="1"/>
        <v>0</v>
      </c>
    </row>
    <row r="43" spans="2:16" ht="15">
      <c r="B43" s="326">
        <v>3</v>
      </c>
      <c r="C43" s="369">
        <f aca="true" t="shared" si="12" ref="C43:I43">IF(ISBLANK(C41),"",C41)</f>
        <v>38</v>
      </c>
      <c r="D43" s="373" t="str">
        <f t="shared" si="12"/>
        <v>INN 17. Hummingbird Place - Peer Respite</v>
      </c>
      <c r="E43" s="374">
        <f t="shared" si="12"/>
      </c>
      <c r="F43" s="374">
        <f t="shared" si="12"/>
        <v>42271</v>
      </c>
      <c r="G43" s="374">
        <f t="shared" si="12"/>
        <v>42271</v>
      </c>
      <c r="H43" s="325">
        <f t="shared" si="12"/>
        <v>2001600</v>
      </c>
      <c r="I43" s="325">
        <f t="shared" si="12"/>
        <v>2001600</v>
      </c>
      <c r="J43" s="325" t="str">
        <f>IF(NOT(ISBLANK(D41)),$J$31,"")</f>
        <v>Project Direct</v>
      </c>
      <c r="K43" s="57">
        <v>148909</v>
      </c>
      <c r="L43" s="57"/>
      <c r="M43" s="55"/>
      <c r="N43" s="55"/>
      <c r="O43" s="62"/>
      <c r="P43" s="298">
        <f t="shared" si="1"/>
        <v>148909</v>
      </c>
    </row>
    <row r="44" spans="2:16" ht="15.75">
      <c r="B44" s="375">
        <v>3</v>
      </c>
      <c r="C44" s="376">
        <f aca="true" t="shared" si="13" ref="C44:I44">IF(ISBLANK(C41),"",C41)</f>
        <v>38</v>
      </c>
      <c r="D44" s="377" t="str">
        <f t="shared" si="13"/>
        <v>INN 17. Hummingbird Place - Peer Respite</v>
      </c>
      <c r="E44" s="378">
        <f t="shared" si="13"/>
      </c>
      <c r="F44" s="378">
        <f t="shared" si="13"/>
        <v>42271</v>
      </c>
      <c r="G44" s="378">
        <f t="shared" si="13"/>
        <v>42271</v>
      </c>
      <c r="H44" s="379">
        <f t="shared" si="13"/>
        <v>2001600</v>
      </c>
      <c r="I44" s="379">
        <f t="shared" si="13"/>
        <v>2001600</v>
      </c>
      <c r="J44" s="327" t="str">
        <f>IF(NOT(ISBLANK(D41)),$J$32,"")</f>
        <v>Project Subtotal</v>
      </c>
      <c r="K44" s="380">
        <f>SUM(K41:K43)</f>
        <v>172280.7</v>
      </c>
      <c r="L44" s="380">
        <f>SUM(L41:L43)</f>
        <v>0</v>
      </c>
      <c r="M44" s="381">
        <f>SUM(M41:M43)</f>
        <v>0</v>
      </c>
      <c r="N44" s="381">
        <f>SUM(N41:N43)</f>
        <v>0</v>
      </c>
      <c r="O44" s="382">
        <f>SUM(O41:O43)</f>
        <v>0</v>
      </c>
      <c r="P44" s="327">
        <f t="shared" si="1"/>
        <v>172280.7</v>
      </c>
    </row>
    <row r="45" spans="2:16" ht="15">
      <c r="B45" s="326">
        <v>4</v>
      </c>
      <c r="C45" s="367">
        <f>IF(P48&lt;&gt;0,VLOOKUP($D$7,Info_County_Code,2,FALSE),"")</f>
      </c>
      <c r="D45" s="202"/>
      <c r="E45" s="66"/>
      <c r="F45" s="66"/>
      <c r="G45" s="66"/>
      <c r="H45" s="55"/>
      <c r="I45" s="55"/>
      <c r="J45" s="368">
        <f>IF(NOT(ISBLANK(D45)),$J$29,"")</f>
      </c>
      <c r="K45" s="57"/>
      <c r="L45" s="57"/>
      <c r="M45" s="55"/>
      <c r="N45" s="55"/>
      <c r="O45" s="62"/>
      <c r="P45" s="298">
        <f t="shared" si="1"/>
        <v>0</v>
      </c>
    </row>
    <row r="46" spans="2:16" ht="15">
      <c r="B46" s="326">
        <v>4</v>
      </c>
      <c r="C46" s="369">
        <f aca="true" t="shared" si="14" ref="C46:I46">IF(ISBLANK(C45),"",C45)</f>
      </c>
      <c r="D46" s="370">
        <f t="shared" si="14"/>
      </c>
      <c r="E46" s="371">
        <f t="shared" si="14"/>
      </c>
      <c r="F46" s="371">
        <f t="shared" si="14"/>
      </c>
      <c r="G46" s="371">
        <f t="shared" si="14"/>
      </c>
      <c r="H46" s="372">
        <f t="shared" si="14"/>
      </c>
      <c r="I46" s="372">
        <f t="shared" si="14"/>
      </c>
      <c r="J46" s="325">
        <f>IF(NOT(ISBLANK(D45)),$J$30,"")</f>
      </c>
      <c r="K46" s="57"/>
      <c r="L46" s="57"/>
      <c r="M46" s="55"/>
      <c r="N46" s="55"/>
      <c r="O46" s="62"/>
      <c r="P46" s="298">
        <f t="shared" si="1"/>
        <v>0</v>
      </c>
    </row>
    <row r="47" spans="2:16" ht="15">
      <c r="B47" s="326">
        <v>4</v>
      </c>
      <c r="C47" s="369">
        <f aca="true" t="shared" si="15" ref="C47:I47">IF(ISBLANK(C45),"",C45)</f>
      </c>
      <c r="D47" s="373">
        <f t="shared" si="15"/>
      </c>
      <c r="E47" s="374">
        <f t="shared" si="15"/>
      </c>
      <c r="F47" s="374">
        <f t="shared" si="15"/>
      </c>
      <c r="G47" s="374">
        <f t="shared" si="15"/>
      </c>
      <c r="H47" s="325">
        <f t="shared" si="15"/>
      </c>
      <c r="I47" s="325">
        <f t="shared" si="15"/>
      </c>
      <c r="J47" s="325">
        <f>IF(NOT(ISBLANK(D45)),$J$31,"")</f>
      </c>
      <c r="K47" s="57"/>
      <c r="L47" s="57"/>
      <c r="M47" s="55"/>
      <c r="N47" s="55"/>
      <c r="O47" s="62"/>
      <c r="P47" s="298">
        <f t="shared" si="1"/>
        <v>0</v>
      </c>
    </row>
    <row r="48" spans="2:16" ht="15.75">
      <c r="B48" s="375">
        <v>4</v>
      </c>
      <c r="C48" s="376">
        <f aca="true" t="shared" si="16" ref="C48:I48">IF(ISBLANK(C45),"",C45)</f>
      </c>
      <c r="D48" s="377">
        <f t="shared" si="16"/>
      </c>
      <c r="E48" s="378">
        <f t="shared" si="16"/>
      </c>
      <c r="F48" s="378">
        <f t="shared" si="16"/>
      </c>
      <c r="G48" s="378">
        <f t="shared" si="16"/>
      </c>
      <c r="H48" s="379">
        <f t="shared" si="16"/>
      </c>
      <c r="I48" s="379">
        <f t="shared" si="16"/>
      </c>
      <c r="J48" s="327">
        <f>IF(NOT(ISBLANK(D45)),$J$32,"")</f>
      </c>
      <c r="K48" s="380">
        <f>SUM(K45:K47)</f>
        <v>0</v>
      </c>
      <c r="L48" s="380">
        <f>SUM(L45:L47)</f>
        <v>0</v>
      </c>
      <c r="M48" s="381">
        <f>SUM(M45:M47)</f>
        <v>0</v>
      </c>
      <c r="N48" s="381">
        <f>SUM(N45:N47)</f>
        <v>0</v>
      </c>
      <c r="O48" s="382">
        <f>SUM(O45:O47)</f>
        <v>0</v>
      </c>
      <c r="P48" s="327">
        <f t="shared" si="1"/>
        <v>0</v>
      </c>
    </row>
    <row r="49" spans="2:16" ht="15">
      <c r="B49" s="326">
        <v>5</v>
      </c>
      <c r="C49" s="367">
        <f>IF(P52&lt;&gt;0,VLOOKUP($D$7,Info_County_Code,2,FALSE),"")</f>
      </c>
      <c r="D49" s="202"/>
      <c r="E49" s="66"/>
      <c r="F49" s="66"/>
      <c r="G49" s="66"/>
      <c r="H49" s="55"/>
      <c r="I49" s="55"/>
      <c r="J49" s="368">
        <f>IF(NOT(ISBLANK(D49)),$J$29,"")</f>
      </c>
      <c r="K49" s="57"/>
      <c r="L49" s="57"/>
      <c r="M49" s="55"/>
      <c r="N49" s="55"/>
      <c r="O49" s="62"/>
      <c r="P49" s="298">
        <f t="shared" si="1"/>
        <v>0</v>
      </c>
    </row>
    <row r="50" spans="2:16" ht="15">
      <c r="B50" s="326">
        <v>5</v>
      </c>
      <c r="C50" s="369">
        <f aca="true" t="shared" si="17" ref="C50:I50">IF(ISBLANK(C49),"",C49)</f>
      </c>
      <c r="D50" s="370">
        <f t="shared" si="17"/>
      </c>
      <c r="E50" s="371">
        <f t="shared" si="17"/>
      </c>
      <c r="F50" s="371">
        <f t="shared" si="17"/>
      </c>
      <c r="G50" s="371">
        <f t="shared" si="17"/>
      </c>
      <c r="H50" s="372">
        <f t="shared" si="17"/>
      </c>
      <c r="I50" s="372">
        <f t="shared" si="17"/>
      </c>
      <c r="J50" s="325">
        <f>IF(NOT(ISBLANK(D49)),$J$30,"")</f>
      </c>
      <c r="K50" s="57"/>
      <c r="L50" s="57"/>
      <c r="M50" s="55"/>
      <c r="N50" s="55"/>
      <c r="O50" s="62"/>
      <c r="P50" s="298">
        <f t="shared" si="1"/>
        <v>0</v>
      </c>
    </row>
    <row r="51" spans="2:16" ht="15">
      <c r="B51" s="326">
        <v>5</v>
      </c>
      <c r="C51" s="369">
        <f aca="true" t="shared" si="18" ref="C51:I51">IF(ISBLANK(C49),"",C49)</f>
      </c>
      <c r="D51" s="373">
        <f t="shared" si="18"/>
      </c>
      <c r="E51" s="374">
        <f t="shared" si="18"/>
      </c>
      <c r="F51" s="374">
        <f t="shared" si="18"/>
      </c>
      <c r="G51" s="374">
        <f t="shared" si="18"/>
      </c>
      <c r="H51" s="325">
        <f t="shared" si="18"/>
      </c>
      <c r="I51" s="325">
        <f t="shared" si="18"/>
      </c>
      <c r="J51" s="325">
        <f>IF(NOT(ISBLANK(D49)),$J$31,"")</f>
      </c>
      <c r="K51" s="57"/>
      <c r="L51" s="57"/>
      <c r="M51" s="55"/>
      <c r="N51" s="55"/>
      <c r="O51" s="62"/>
      <c r="P51" s="298">
        <f t="shared" si="1"/>
        <v>0</v>
      </c>
    </row>
    <row r="52" spans="2:16" ht="15.75">
      <c r="B52" s="375">
        <v>5</v>
      </c>
      <c r="C52" s="376">
        <f aca="true" t="shared" si="19" ref="C52:I52">IF(ISBLANK(C49),"",C49)</f>
      </c>
      <c r="D52" s="377">
        <f t="shared" si="19"/>
      </c>
      <c r="E52" s="378">
        <f t="shared" si="19"/>
      </c>
      <c r="F52" s="378">
        <f t="shared" si="19"/>
      </c>
      <c r="G52" s="378">
        <f t="shared" si="19"/>
      </c>
      <c r="H52" s="379">
        <f t="shared" si="19"/>
      </c>
      <c r="I52" s="379">
        <f t="shared" si="19"/>
      </c>
      <c r="J52" s="327">
        <f>IF(NOT(ISBLANK(D49)),$J$32,"")</f>
      </c>
      <c r="K52" s="380">
        <f>SUM(K49:K51)</f>
        <v>0</v>
      </c>
      <c r="L52" s="380">
        <f>SUM(L49:L51)</f>
        <v>0</v>
      </c>
      <c r="M52" s="381">
        <f>SUM(M49:M51)</f>
        <v>0</v>
      </c>
      <c r="N52" s="381">
        <f>SUM(N49:N51)</f>
        <v>0</v>
      </c>
      <c r="O52" s="382">
        <f>SUM(O49:O51)</f>
        <v>0</v>
      </c>
      <c r="P52" s="327">
        <f t="shared" si="1"/>
        <v>0</v>
      </c>
    </row>
    <row r="53" spans="2:16" ht="15">
      <c r="B53" s="326">
        <v>6</v>
      </c>
      <c r="C53" s="367">
        <f>IF(P56&lt;&gt;0,VLOOKUP($D$7,Info_County_Code,2,FALSE),"")</f>
      </c>
      <c r="D53" s="202"/>
      <c r="E53" s="66"/>
      <c r="F53" s="66"/>
      <c r="G53" s="66"/>
      <c r="H53" s="55"/>
      <c r="I53" s="55"/>
      <c r="J53" s="368">
        <f>IF(NOT(ISBLANK(D53)),$J$29,"")</f>
      </c>
      <c r="K53" s="57"/>
      <c r="L53" s="57"/>
      <c r="M53" s="55"/>
      <c r="N53" s="55"/>
      <c r="O53" s="62"/>
      <c r="P53" s="298">
        <f t="shared" si="1"/>
        <v>0</v>
      </c>
    </row>
    <row r="54" spans="2:16" ht="15">
      <c r="B54" s="326">
        <v>6</v>
      </c>
      <c r="C54" s="369">
        <f aca="true" t="shared" si="20" ref="C54:I54">IF(ISBLANK(C53),"",C53)</f>
      </c>
      <c r="D54" s="370">
        <f t="shared" si="20"/>
      </c>
      <c r="E54" s="371">
        <f t="shared" si="20"/>
      </c>
      <c r="F54" s="371">
        <f t="shared" si="20"/>
      </c>
      <c r="G54" s="371">
        <f t="shared" si="20"/>
      </c>
      <c r="H54" s="372">
        <f t="shared" si="20"/>
      </c>
      <c r="I54" s="372">
        <f t="shared" si="20"/>
      </c>
      <c r="J54" s="325">
        <f>IF(NOT(ISBLANK(D53)),$J$30,"")</f>
      </c>
      <c r="K54" s="57"/>
      <c r="L54" s="57"/>
      <c r="M54" s="55"/>
      <c r="N54" s="55"/>
      <c r="O54" s="62"/>
      <c r="P54" s="298">
        <f t="shared" si="1"/>
        <v>0</v>
      </c>
    </row>
    <row r="55" spans="2:16" ht="15">
      <c r="B55" s="326">
        <v>6</v>
      </c>
      <c r="C55" s="369">
        <f aca="true" t="shared" si="21" ref="C55:I55">IF(ISBLANK(C53),"",C53)</f>
      </c>
      <c r="D55" s="373">
        <f t="shared" si="21"/>
      </c>
      <c r="E55" s="374">
        <f t="shared" si="21"/>
      </c>
      <c r="F55" s="374">
        <f t="shared" si="21"/>
      </c>
      <c r="G55" s="374">
        <f t="shared" si="21"/>
      </c>
      <c r="H55" s="325">
        <f t="shared" si="21"/>
      </c>
      <c r="I55" s="325">
        <f t="shared" si="21"/>
      </c>
      <c r="J55" s="325">
        <f>IF(NOT(ISBLANK(D53)),$J$31,"")</f>
      </c>
      <c r="K55" s="57"/>
      <c r="L55" s="57"/>
      <c r="M55" s="55"/>
      <c r="N55" s="55"/>
      <c r="O55" s="62"/>
      <c r="P55" s="298">
        <f t="shared" si="1"/>
        <v>0</v>
      </c>
    </row>
    <row r="56" spans="2:16" ht="15.75">
      <c r="B56" s="375">
        <v>6</v>
      </c>
      <c r="C56" s="376">
        <f aca="true" t="shared" si="22" ref="C56:I56">IF(ISBLANK(C53),"",C53)</f>
      </c>
      <c r="D56" s="377">
        <f t="shared" si="22"/>
      </c>
      <c r="E56" s="378">
        <f t="shared" si="22"/>
      </c>
      <c r="F56" s="378">
        <f t="shared" si="22"/>
      </c>
      <c r="G56" s="378">
        <f t="shared" si="22"/>
      </c>
      <c r="H56" s="379">
        <f t="shared" si="22"/>
      </c>
      <c r="I56" s="379">
        <f t="shared" si="22"/>
      </c>
      <c r="J56" s="327">
        <f>IF(NOT(ISBLANK(D53)),$J$32,"")</f>
      </c>
      <c r="K56" s="380">
        <f>SUM(K53:K55)</f>
        <v>0</v>
      </c>
      <c r="L56" s="380">
        <f>SUM(L53:L55)</f>
        <v>0</v>
      </c>
      <c r="M56" s="381">
        <f>SUM(M53:M55)</f>
        <v>0</v>
      </c>
      <c r="N56" s="381">
        <f>SUM(N53:N55)</f>
        <v>0</v>
      </c>
      <c r="O56" s="382">
        <f>SUM(O53:O55)</f>
        <v>0</v>
      </c>
      <c r="P56" s="327">
        <f t="shared" si="1"/>
        <v>0</v>
      </c>
    </row>
    <row r="57" spans="2:16" ht="15">
      <c r="B57" s="326">
        <v>7</v>
      </c>
      <c r="C57" s="367">
        <f>IF(P60&lt;&gt;0,VLOOKUP($D$7,Info_County_Code,2,FALSE),"")</f>
      </c>
      <c r="D57" s="202"/>
      <c r="E57" s="66"/>
      <c r="F57" s="66"/>
      <c r="G57" s="66"/>
      <c r="H57" s="55"/>
      <c r="I57" s="55"/>
      <c r="J57" s="368">
        <f>IF(NOT(ISBLANK(D57)),$J$29,"")</f>
      </c>
      <c r="K57" s="57"/>
      <c r="L57" s="57"/>
      <c r="M57" s="55"/>
      <c r="N57" s="55"/>
      <c r="O57" s="62"/>
      <c r="P57" s="298">
        <f t="shared" si="1"/>
        <v>0</v>
      </c>
    </row>
    <row r="58" spans="2:16" ht="15">
      <c r="B58" s="326">
        <v>7</v>
      </c>
      <c r="C58" s="369">
        <f aca="true" t="shared" si="23" ref="C58:I58">IF(ISBLANK(C57),"",C57)</f>
      </c>
      <c r="D58" s="370">
        <f t="shared" si="23"/>
      </c>
      <c r="E58" s="371">
        <f t="shared" si="23"/>
      </c>
      <c r="F58" s="371">
        <f t="shared" si="23"/>
      </c>
      <c r="G58" s="371">
        <f t="shared" si="23"/>
      </c>
      <c r="H58" s="372">
        <f t="shared" si="23"/>
      </c>
      <c r="I58" s="372">
        <f t="shared" si="23"/>
      </c>
      <c r="J58" s="325">
        <f>IF(NOT(ISBLANK(D57)),$J$30,"")</f>
      </c>
      <c r="K58" s="57"/>
      <c r="L58" s="57"/>
      <c r="M58" s="55"/>
      <c r="N58" s="55"/>
      <c r="O58" s="62"/>
      <c r="P58" s="298">
        <f t="shared" si="1"/>
        <v>0</v>
      </c>
    </row>
    <row r="59" spans="2:16" ht="15">
      <c r="B59" s="326">
        <v>7</v>
      </c>
      <c r="C59" s="369">
        <f aca="true" t="shared" si="24" ref="C59:I59">IF(ISBLANK(C57),"",C57)</f>
      </c>
      <c r="D59" s="373">
        <f t="shared" si="24"/>
      </c>
      <c r="E59" s="374">
        <f t="shared" si="24"/>
      </c>
      <c r="F59" s="374">
        <f t="shared" si="24"/>
      </c>
      <c r="G59" s="374">
        <f t="shared" si="24"/>
      </c>
      <c r="H59" s="325">
        <f t="shared" si="24"/>
      </c>
      <c r="I59" s="325">
        <f t="shared" si="24"/>
      </c>
      <c r="J59" s="325">
        <f>IF(NOT(ISBLANK(D57)),$J$31,"")</f>
      </c>
      <c r="K59" s="57"/>
      <c r="L59" s="57"/>
      <c r="M59" s="55"/>
      <c r="N59" s="55"/>
      <c r="O59" s="62"/>
      <c r="P59" s="298">
        <f t="shared" si="1"/>
        <v>0</v>
      </c>
    </row>
    <row r="60" spans="2:16" ht="15.75">
      <c r="B60" s="375">
        <v>7</v>
      </c>
      <c r="C60" s="376">
        <f aca="true" t="shared" si="25" ref="C60:I60">IF(ISBLANK(C57),"",C57)</f>
      </c>
      <c r="D60" s="377">
        <f t="shared" si="25"/>
      </c>
      <c r="E60" s="378">
        <f t="shared" si="25"/>
      </c>
      <c r="F60" s="378">
        <f t="shared" si="25"/>
      </c>
      <c r="G60" s="378">
        <f t="shared" si="25"/>
      </c>
      <c r="H60" s="379">
        <f t="shared" si="25"/>
      </c>
      <c r="I60" s="379">
        <f t="shared" si="25"/>
      </c>
      <c r="J60" s="327">
        <f>IF(NOT(ISBLANK(D57)),$J$32,"")</f>
      </c>
      <c r="K60" s="380">
        <f>SUM(K57:K59)</f>
        <v>0</v>
      </c>
      <c r="L60" s="380">
        <f>SUM(L57:L59)</f>
        <v>0</v>
      </c>
      <c r="M60" s="381">
        <f>SUM(M57:M59)</f>
        <v>0</v>
      </c>
      <c r="N60" s="381">
        <f>SUM(N57:N59)</f>
        <v>0</v>
      </c>
      <c r="O60" s="382">
        <f>SUM(O57:O59)</f>
        <v>0</v>
      </c>
      <c r="P60" s="327">
        <f t="shared" si="1"/>
        <v>0</v>
      </c>
    </row>
    <row r="61" spans="2:16" ht="15">
      <c r="B61" s="326">
        <v>8</v>
      </c>
      <c r="C61" s="367">
        <f>IF(P64&lt;&gt;0,VLOOKUP($D$7,Info_County_Code,2,FALSE),"")</f>
      </c>
      <c r="D61" s="202"/>
      <c r="E61" s="66"/>
      <c r="F61" s="66"/>
      <c r="G61" s="66"/>
      <c r="H61" s="55"/>
      <c r="I61" s="55"/>
      <c r="J61" s="368">
        <f>IF(NOT(ISBLANK(D61)),$J$29,"")</f>
      </c>
      <c r="K61" s="57"/>
      <c r="L61" s="57"/>
      <c r="M61" s="55"/>
      <c r="N61" s="55"/>
      <c r="O61" s="62"/>
      <c r="P61" s="298">
        <f t="shared" si="1"/>
        <v>0</v>
      </c>
    </row>
    <row r="62" spans="2:16" ht="15">
      <c r="B62" s="326">
        <v>8</v>
      </c>
      <c r="C62" s="369">
        <f aca="true" t="shared" si="26" ref="C62:I62">IF(ISBLANK(C61),"",C61)</f>
      </c>
      <c r="D62" s="370">
        <f t="shared" si="26"/>
      </c>
      <c r="E62" s="371">
        <f t="shared" si="26"/>
      </c>
      <c r="F62" s="371">
        <f t="shared" si="26"/>
      </c>
      <c r="G62" s="371">
        <f t="shared" si="26"/>
      </c>
      <c r="H62" s="372">
        <f t="shared" si="26"/>
      </c>
      <c r="I62" s="372">
        <f t="shared" si="26"/>
      </c>
      <c r="J62" s="325">
        <f>IF(NOT(ISBLANK(D61)),$J$30,"")</f>
      </c>
      <c r="K62" s="57"/>
      <c r="L62" s="57"/>
      <c r="M62" s="55"/>
      <c r="N62" s="55"/>
      <c r="O62" s="62"/>
      <c r="P62" s="298">
        <f t="shared" si="1"/>
        <v>0</v>
      </c>
    </row>
    <row r="63" spans="2:16" ht="15">
      <c r="B63" s="326">
        <v>8</v>
      </c>
      <c r="C63" s="369">
        <f aca="true" t="shared" si="27" ref="C63:I63">IF(ISBLANK(C61),"",C61)</f>
      </c>
      <c r="D63" s="373">
        <f t="shared" si="27"/>
      </c>
      <c r="E63" s="374">
        <f t="shared" si="27"/>
      </c>
      <c r="F63" s="374">
        <f t="shared" si="27"/>
      </c>
      <c r="G63" s="374">
        <f t="shared" si="27"/>
      </c>
      <c r="H63" s="325">
        <f t="shared" si="27"/>
      </c>
      <c r="I63" s="325">
        <f t="shared" si="27"/>
      </c>
      <c r="J63" s="325">
        <f>IF(NOT(ISBLANK(D61)),$J$31,"")</f>
      </c>
      <c r="K63" s="57"/>
      <c r="L63" s="57"/>
      <c r="M63" s="55"/>
      <c r="N63" s="55"/>
      <c r="O63" s="62"/>
      <c r="P63" s="298">
        <f t="shared" si="1"/>
        <v>0</v>
      </c>
    </row>
    <row r="64" spans="2:16" ht="15.75">
      <c r="B64" s="375">
        <v>8</v>
      </c>
      <c r="C64" s="376">
        <f aca="true" t="shared" si="28" ref="C64:I64">IF(ISBLANK(C61),"",C61)</f>
      </c>
      <c r="D64" s="377">
        <f t="shared" si="28"/>
      </c>
      <c r="E64" s="378">
        <f t="shared" si="28"/>
      </c>
      <c r="F64" s="378">
        <f t="shared" si="28"/>
      </c>
      <c r="G64" s="378">
        <f t="shared" si="28"/>
      </c>
      <c r="H64" s="379">
        <f t="shared" si="28"/>
      </c>
      <c r="I64" s="379">
        <f t="shared" si="28"/>
      </c>
      <c r="J64" s="327">
        <f>IF(NOT(ISBLANK(D61)),$J$32,"")</f>
      </c>
      <c r="K64" s="380">
        <f>SUM(K61:K63)</f>
        <v>0</v>
      </c>
      <c r="L64" s="380">
        <f>SUM(L61:L63)</f>
        <v>0</v>
      </c>
      <c r="M64" s="381">
        <f>SUM(M61:M63)</f>
        <v>0</v>
      </c>
      <c r="N64" s="381">
        <f>SUM(N61:N63)</f>
        <v>0</v>
      </c>
      <c r="O64" s="382">
        <f>SUM(O61:O63)</f>
        <v>0</v>
      </c>
      <c r="P64" s="327">
        <f t="shared" si="1"/>
        <v>0</v>
      </c>
    </row>
    <row r="65" spans="2:16" ht="15">
      <c r="B65" s="326">
        <v>9</v>
      </c>
      <c r="C65" s="367">
        <f>IF(P68&lt;&gt;0,VLOOKUP($D$7,Info_County_Code,2,FALSE),"")</f>
      </c>
      <c r="D65" s="202"/>
      <c r="E65" s="66"/>
      <c r="F65" s="66"/>
      <c r="G65" s="66"/>
      <c r="H65" s="55"/>
      <c r="I65" s="55"/>
      <c r="J65" s="368">
        <f>IF(NOT(ISBLANK(D65)),$J$29,"")</f>
      </c>
      <c r="K65" s="57"/>
      <c r="L65" s="57"/>
      <c r="M65" s="55"/>
      <c r="N65" s="55"/>
      <c r="O65" s="62"/>
      <c r="P65" s="298">
        <f aca="true" t="shared" si="29" ref="P65:P88">SUM(K65:O65)</f>
        <v>0</v>
      </c>
    </row>
    <row r="66" spans="2:16" ht="15">
      <c r="B66" s="326">
        <v>9</v>
      </c>
      <c r="C66" s="369">
        <f aca="true" t="shared" si="30" ref="C66:I66">IF(ISBLANK(C65),"",C65)</f>
      </c>
      <c r="D66" s="370">
        <f t="shared" si="30"/>
      </c>
      <c r="E66" s="371">
        <f t="shared" si="30"/>
      </c>
      <c r="F66" s="371">
        <f t="shared" si="30"/>
      </c>
      <c r="G66" s="371">
        <f t="shared" si="30"/>
      </c>
      <c r="H66" s="372">
        <f t="shared" si="30"/>
      </c>
      <c r="I66" s="372">
        <f t="shared" si="30"/>
      </c>
      <c r="J66" s="325">
        <f>IF(NOT(ISBLANK(D65)),$J$30,"")</f>
      </c>
      <c r="K66" s="57"/>
      <c r="L66" s="57"/>
      <c r="M66" s="55"/>
      <c r="N66" s="55"/>
      <c r="O66" s="62"/>
      <c r="P66" s="298">
        <f t="shared" si="29"/>
        <v>0</v>
      </c>
    </row>
    <row r="67" spans="2:16" ht="15">
      <c r="B67" s="326">
        <v>9</v>
      </c>
      <c r="C67" s="369">
        <f aca="true" t="shared" si="31" ref="C67:I67">IF(ISBLANK(C65),"",C65)</f>
      </c>
      <c r="D67" s="373">
        <f t="shared" si="31"/>
      </c>
      <c r="E67" s="374">
        <f t="shared" si="31"/>
      </c>
      <c r="F67" s="374">
        <f t="shared" si="31"/>
      </c>
      <c r="G67" s="374">
        <f t="shared" si="31"/>
      </c>
      <c r="H67" s="325">
        <f t="shared" si="31"/>
      </c>
      <c r="I67" s="325">
        <f t="shared" si="31"/>
      </c>
      <c r="J67" s="325">
        <f>IF(NOT(ISBLANK(D65)),$J$31,"")</f>
      </c>
      <c r="K67" s="57"/>
      <c r="L67" s="57"/>
      <c r="M67" s="55"/>
      <c r="N67" s="55"/>
      <c r="O67" s="62"/>
      <c r="P67" s="298">
        <f t="shared" si="29"/>
        <v>0</v>
      </c>
    </row>
    <row r="68" spans="2:16" ht="15.75">
      <c r="B68" s="375">
        <v>9</v>
      </c>
      <c r="C68" s="376">
        <f aca="true" t="shared" si="32" ref="C68:I68">IF(ISBLANK(C65),"",C65)</f>
      </c>
      <c r="D68" s="377">
        <f t="shared" si="32"/>
      </c>
      <c r="E68" s="378">
        <f t="shared" si="32"/>
      </c>
      <c r="F68" s="378">
        <f t="shared" si="32"/>
      </c>
      <c r="G68" s="378">
        <f t="shared" si="32"/>
      </c>
      <c r="H68" s="379">
        <f t="shared" si="32"/>
      </c>
      <c r="I68" s="379">
        <f t="shared" si="32"/>
      </c>
      <c r="J68" s="327">
        <f>IF(NOT(ISBLANK(D65)),$J$32,"")</f>
      </c>
      <c r="K68" s="380">
        <f>SUM(K65:K67)</f>
        <v>0</v>
      </c>
      <c r="L68" s="380">
        <f>SUM(L65:L67)</f>
        <v>0</v>
      </c>
      <c r="M68" s="381">
        <f>SUM(M65:M67)</f>
        <v>0</v>
      </c>
      <c r="N68" s="381">
        <f>SUM(N65:N67)</f>
        <v>0</v>
      </c>
      <c r="O68" s="382">
        <f>SUM(O65:O67)</f>
        <v>0</v>
      </c>
      <c r="P68" s="327">
        <f t="shared" si="29"/>
        <v>0</v>
      </c>
    </row>
    <row r="69" spans="2:16" ht="15">
      <c r="B69" s="326">
        <v>10</v>
      </c>
      <c r="C69" s="367">
        <f>IF(P72&lt;&gt;0,VLOOKUP($D$7,Info_County_Code,2,FALSE),"")</f>
      </c>
      <c r="D69" s="202"/>
      <c r="E69" s="66"/>
      <c r="F69" s="66"/>
      <c r="G69" s="66"/>
      <c r="H69" s="55"/>
      <c r="I69" s="55"/>
      <c r="J69" s="368">
        <f>IF(NOT(ISBLANK(D69)),$J$29,"")</f>
      </c>
      <c r="K69" s="57"/>
      <c r="L69" s="57"/>
      <c r="M69" s="55"/>
      <c r="N69" s="55"/>
      <c r="O69" s="62"/>
      <c r="P69" s="298">
        <f t="shared" si="29"/>
        <v>0</v>
      </c>
    </row>
    <row r="70" spans="2:16" ht="15">
      <c r="B70" s="326">
        <v>10</v>
      </c>
      <c r="C70" s="369">
        <f aca="true" t="shared" si="33" ref="C70:I70">IF(ISBLANK(C69),"",C69)</f>
      </c>
      <c r="D70" s="370">
        <f t="shared" si="33"/>
      </c>
      <c r="E70" s="371">
        <f t="shared" si="33"/>
      </c>
      <c r="F70" s="371">
        <f t="shared" si="33"/>
      </c>
      <c r="G70" s="371">
        <f t="shared" si="33"/>
      </c>
      <c r="H70" s="372">
        <f t="shared" si="33"/>
      </c>
      <c r="I70" s="372">
        <f t="shared" si="33"/>
      </c>
      <c r="J70" s="325">
        <f>IF(NOT(ISBLANK(D69)),$J$30,"")</f>
      </c>
      <c r="K70" s="57"/>
      <c r="L70" s="57"/>
      <c r="M70" s="55"/>
      <c r="N70" s="55"/>
      <c r="O70" s="62"/>
      <c r="P70" s="298">
        <f t="shared" si="29"/>
        <v>0</v>
      </c>
    </row>
    <row r="71" spans="2:16" ht="15">
      <c r="B71" s="326">
        <v>10</v>
      </c>
      <c r="C71" s="369">
        <f aca="true" t="shared" si="34" ref="C71:I71">IF(ISBLANK(C69),"",C69)</f>
      </c>
      <c r="D71" s="373">
        <f t="shared" si="34"/>
      </c>
      <c r="E71" s="374">
        <f t="shared" si="34"/>
      </c>
      <c r="F71" s="374">
        <f t="shared" si="34"/>
      </c>
      <c r="G71" s="374">
        <f t="shared" si="34"/>
      </c>
      <c r="H71" s="325">
        <f t="shared" si="34"/>
      </c>
      <c r="I71" s="325">
        <f t="shared" si="34"/>
      </c>
      <c r="J71" s="325">
        <f>IF(NOT(ISBLANK(D69)),$J$31,"")</f>
      </c>
      <c r="K71" s="57"/>
      <c r="L71" s="57"/>
      <c r="M71" s="55"/>
      <c r="N71" s="55"/>
      <c r="O71" s="62"/>
      <c r="P71" s="298">
        <f t="shared" si="29"/>
        <v>0</v>
      </c>
    </row>
    <row r="72" spans="2:16" ht="15.75">
      <c r="B72" s="375">
        <v>10</v>
      </c>
      <c r="C72" s="376">
        <f aca="true" t="shared" si="35" ref="C72:I72">IF(ISBLANK(C69),"",C69)</f>
      </c>
      <c r="D72" s="377">
        <f t="shared" si="35"/>
      </c>
      <c r="E72" s="378">
        <f t="shared" si="35"/>
      </c>
      <c r="F72" s="378">
        <f t="shared" si="35"/>
      </c>
      <c r="G72" s="378">
        <f t="shared" si="35"/>
      </c>
      <c r="H72" s="379">
        <f t="shared" si="35"/>
      </c>
      <c r="I72" s="379">
        <f t="shared" si="35"/>
      </c>
      <c r="J72" s="327">
        <f>IF(NOT(ISBLANK(D69)),$J$32,"")</f>
      </c>
      <c r="K72" s="380">
        <f>SUM(K69:K71)</f>
        <v>0</v>
      </c>
      <c r="L72" s="380">
        <f>SUM(L69:L71)</f>
        <v>0</v>
      </c>
      <c r="M72" s="381">
        <f>SUM(M69:M71)</f>
        <v>0</v>
      </c>
      <c r="N72" s="381">
        <f>SUM(N69:N71)</f>
        <v>0</v>
      </c>
      <c r="O72" s="382">
        <f>SUM(O69:O71)</f>
        <v>0</v>
      </c>
      <c r="P72" s="327">
        <f t="shared" si="29"/>
        <v>0</v>
      </c>
    </row>
    <row r="73" spans="2:16" ht="15">
      <c r="B73" s="326">
        <v>11</v>
      </c>
      <c r="C73" s="367">
        <f>IF(P76&lt;&gt;0,VLOOKUP($D$7,Info_County_Code,2,FALSE),"")</f>
      </c>
      <c r="D73" s="202"/>
      <c r="E73" s="66"/>
      <c r="F73" s="66"/>
      <c r="G73" s="66"/>
      <c r="H73" s="55"/>
      <c r="I73" s="55"/>
      <c r="J73" s="368">
        <f>IF(NOT(ISBLANK(D73)),$J$29,"")</f>
      </c>
      <c r="K73" s="57"/>
      <c r="L73" s="57"/>
      <c r="M73" s="55"/>
      <c r="N73" s="55"/>
      <c r="O73" s="62"/>
      <c r="P73" s="298">
        <f t="shared" si="29"/>
        <v>0</v>
      </c>
    </row>
    <row r="74" spans="2:16" ht="15">
      <c r="B74" s="326">
        <v>11</v>
      </c>
      <c r="C74" s="369">
        <f aca="true" t="shared" si="36" ref="C74:I74">IF(ISBLANK(C73),"",C73)</f>
      </c>
      <c r="D74" s="370">
        <f t="shared" si="36"/>
      </c>
      <c r="E74" s="371">
        <f t="shared" si="36"/>
      </c>
      <c r="F74" s="371">
        <f t="shared" si="36"/>
      </c>
      <c r="G74" s="371">
        <f t="shared" si="36"/>
      </c>
      <c r="H74" s="372">
        <f t="shared" si="36"/>
      </c>
      <c r="I74" s="372">
        <f t="shared" si="36"/>
      </c>
      <c r="J74" s="325">
        <f>IF(NOT(ISBLANK(D73)),$J$30,"")</f>
      </c>
      <c r="K74" s="57"/>
      <c r="L74" s="57"/>
      <c r="M74" s="55"/>
      <c r="N74" s="55"/>
      <c r="O74" s="62"/>
      <c r="P74" s="298">
        <f t="shared" si="29"/>
        <v>0</v>
      </c>
    </row>
    <row r="75" spans="2:16" ht="15">
      <c r="B75" s="326">
        <v>11</v>
      </c>
      <c r="C75" s="369">
        <f aca="true" t="shared" si="37" ref="C75:I75">IF(ISBLANK(C73),"",C73)</f>
      </c>
      <c r="D75" s="373">
        <f t="shared" si="37"/>
      </c>
      <c r="E75" s="374">
        <f t="shared" si="37"/>
      </c>
      <c r="F75" s="374">
        <f t="shared" si="37"/>
      </c>
      <c r="G75" s="374">
        <f t="shared" si="37"/>
      </c>
      <c r="H75" s="325">
        <f t="shared" si="37"/>
      </c>
      <c r="I75" s="325">
        <f t="shared" si="37"/>
      </c>
      <c r="J75" s="325">
        <f>IF(NOT(ISBLANK(D73)),$J$31,"")</f>
      </c>
      <c r="K75" s="57"/>
      <c r="L75" s="57"/>
      <c r="M75" s="55"/>
      <c r="N75" s="55"/>
      <c r="O75" s="62"/>
      <c r="P75" s="298">
        <f t="shared" si="29"/>
        <v>0</v>
      </c>
    </row>
    <row r="76" spans="2:16" ht="15.75">
      <c r="B76" s="375">
        <v>11</v>
      </c>
      <c r="C76" s="376">
        <f aca="true" t="shared" si="38" ref="C76:I76">IF(ISBLANK(C73),"",C73)</f>
      </c>
      <c r="D76" s="377">
        <f t="shared" si="38"/>
      </c>
      <c r="E76" s="378">
        <f t="shared" si="38"/>
      </c>
      <c r="F76" s="378">
        <f t="shared" si="38"/>
      </c>
      <c r="G76" s="378">
        <f t="shared" si="38"/>
      </c>
      <c r="H76" s="379">
        <f t="shared" si="38"/>
      </c>
      <c r="I76" s="379">
        <f t="shared" si="38"/>
      </c>
      <c r="J76" s="327">
        <f>IF(NOT(ISBLANK(D73)),$J$32,"")</f>
      </c>
      <c r="K76" s="380">
        <f>SUM(K73:K75)</f>
        <v>0</v>
      </c>
      <c r="L76" s="380">
        <f>SUM(L73:L75)</f>
        <v>0</v>
      </c>
      <c r="M76" s="381">
        <f>SUM(M73:M75)</f>
        <v>0</v>
      </c>
      <c r="N76" s="381">
        <f>SUM(N73:N75)</f>
        <v>0</v>
      </c>
      <c r="O76" s="382">
        <f>SUM(O73:O75)</f>
        <v>0</v>
      </c>
      <c r="P76" s="327">
        <f t="shared" si="29"/>
        <v>0</v>
      </c>
    </row>
    <row r="77" spans="2:16" ht="15">
      <c r="B77" s="326">
        <v>12</v>
      </c>
      <c r="C77" s="367">
        <f>IF(P80&lt;&gt;0,VLOOKUP($D$7,Info_County_Code,2,FALSE),"")</f>
      </c>
      <c r="D77" s="202"/>
      <c r="E77" s="66"/>
      <c r="F77" s="66"/>
      <c r="G77" s="66"/>
      <c r="H77" s="55"/>
      <c r="I77" s="55"/>
      <c r="J77" s="368">
        <f>IF(NOT(ISBLANK(D77)),$J$29,"")</f>
      </c>
      <c r="K77" s="57"/>
      <c r="L77" s="57"/>
      <c r="M77" s="55"/>
      <c r="N77" s="55"/>
      <c r="O77" s="62"/>
      <c r="P77" s="298">
        <f t="shared" si="29"/>
        <v>0</v>
      </c>
    </row>
    <row r="78" spans="2:16" ht="15">
      <c r="B78" s="326">
        <v>12</v>
      </c>
      <c r="C78" s="369">
        <f aca="true" t="shared" si="39" ref="C78:I78">IF(ISBLANK(C77),"",C77)</f>
      </c>
      <c r="D78" s="370">
        <f t="shared" si="39"/>
      </c>
      <c r="E78" s="371">
        <f t="shared" si="39"/>
      </c>
      <c r="F78" s="371">
        <f t="shared" si="39"/>
      </c>
      <c r="G78" s="371">
        <f t="shared" si="39"/>
      </c>
      <c r="H78" s="372">
        <f t="shared" si="39"/>
      </c>
      <c r="I78" s="372">
        <f t="shared" si="39"/>
      </c>
      <c r="J78" s="325">
        <f>IF(NOT(ISBLANK(D77)),$J$30,"")</f>
      </c>
      <c r="K78" s="57"/>
      <c r="L78" s="57"/>
      <c r="M78" s="55"/>
      <c r="N78" s="55"/>
      <c r="O78" s="62"/>
      <c r="P78" s="298">
        <f t="shared" si="29"/>
        <v>0</v>
      </c>
    </row>
    <row r="79" spans="2:16" ht="15">
      <c r="B79" s="326">
        <v>12</v>
      </c>
      <c r="C79" s="369">
        <f aca="true" t="shared" si="40" ref="C79:I79">IF(ISBLANK(C77),"",C77)</f>
      </c>
      <c r="D79" s="373">
        <f t="shared" si="40"/>
      </c>
      <c r="E79" s="374">
        <f t="shared" si="40"/>
      </c>
      <c r="F79" s="374">
        <f t="shared" si="40"/>
      </c>
      <c r="G79" s="374">
        <f t="shared" si="40"/>
      </c>
      <c r="H79" s="325">
        <f t="shared" si="40"/>
      </c>
      <c r="I79" s="325">
        <f t="shared" si="40"/>
      </c>
      <c r="J79" s="325">
        <f>IF(NOT(ISBLANK(D77)),$J$31,"")</f>
      </c>
      <c r="K79" s="57"/>
      <c r="L79" s="57"/>
      <c r="M79" s="55"/>
      <c r="N79" s="55"/>
      <c r="O79" s="62"/>
      <c r="P79" s="298">
        <f t="shared" si="29"/>
        <v>0</v>
      </c>
    </row>
    <row r="80" spans="2:16" ht="15.75">
      <c r="B80" s="375">
        <v>12</v>
      </c>
      <c r="C80" s="376">
        <f aca="true" t="shared" si="41" ref="C80:I80">IF(ISBLANK(C77),"",C77)</f>
      </c>
      <c r="D80" s="377">
        <f t="shared" si="41"/>
      </c>
      <c r="E80" s="378">
        <f t="shared" si="41"/>
      </c>
      <c r="F80" s="378">
        <f t="shared" si="41"/>
      </c>
      <c r="G80" s="378">
        <f t="shared" si="41"/>
      </c>
      <c r="H80" s="379">
        <f t="shared" si="41"/>
      </c>
      <c r="I80" s="379">
        <f t="shared" si="41"/>
      </c>
      <c r="J80" s="327">
        <f>IF(NOT(ISBLANK(D77)),$J$32,"")</f>
      </c>
      <c r="K80" s="380">
        <f>SUM(K77:K79)</f>
        <v>0</v>
      </c>
      <c r="L80" s="380">
        <f>SUM(L77:L79)</f>
        <v>0</v>
      </c>
      <c r="M80" s="381">
        <f>SUM(M77:M79)</f>
        <v>0</v>
      </c>
      <c r="N80" s="381">
        <f>SUM(N77:N79)</f>
        <v>0</v>
      </c>
      <c r="O80" s="382">
        <f>SUM(O77:O79)</f>
        <v>0</v>
      </c>
      <c r="P80" s="327">
        <f t="shared" si="29"/>
        <v>0</v>
      </c>
    </row>
    <row r="81" spans="2:16" ht="15">
      <c r="B81" s="326">
        <v>13</v>
      </c>
      <c r="C81" s="367">
        <f>IF(P84&lt;&gt;0,VLOOKUP($D$7,Info_County_Code,2,FALSE),"")</f>
      </c>
      <c r="D81" s="202"/>
      <c r="E81" s="66"/>
      <c r="F81" s="66"/>
      <c r="G81" s="66"/>
      <c r="H81" s="55"/>
      <c r="I81" s="55"/>
      <c r="J81" s="368">
        <f>IF(NOT(ISBLANK(D81)),$J$29,"")</f>
      </c>
      <c r="K81" s="57"/>
      <c r="L81" s="57"/>
      <c r="M81" s="55"/>
      <c r="N81" s="55"/>
      <c r="O81" s="62"/>
      <c r="P81" s="298">
        <f t="shared" si="29"/>
        <v>0</v>
      </c>
    </row>
    <row r="82" spans="2:16" ht="15">
      <c r="B82" s="326">
        <v>13</v>
      </c>
      <c r="C82" s="369">
        <f aca="true" t="shared" si="42" ref="C82:I82">IF(ISBLANK(C81),"",C81)</f>
      </c>
      <c r="D82" s="370">
        <f t="shared" si="42"/>
      </c>
      <c r="E82" s="371">
        <f t="shared" si="42"/>
      </c>
      <c r="F82" s="371">
        <f t="shared" si="42"/>
      </c>
      <c r="G82" s="371">
        <f t="shared" si="42"/>
      </c>
      <c r="H82" s="372">
        <f t="shared" si="42"/>
      </c>
      <c r="I82" s="372">
        <f t="shared" si="42"/>
      </c>
      <c r="J82" s="325">
        <f>IF(NOT(ISBLANK(D81)),$J$30,"")</f>
      </c>
      <c r="K82" s="57"/>
      <c r="L82" s="57"/>
      <c r="M82" s="55"/>
      <c r="N82" s="55"/>
      <c r="O82" s="62"/>
      <c r="P82" s="298">
        <f t="shared" si="29"/>
        <v>0</v>
      </c>
    </row>
    <row r="83" spans="2:16" ht="15">
      <c r="B83" s="326">
        <v>13</v>
      </c>
      <c r="C83" s="369">
        <f aca="true" t="shared" si="43" ref="C83:I83">IF(ISBLANK(C81),"",C81)</f>
      </c>
      <c r="D83" s="373">
        <f t="shared" si="43"/>
      </c>
      <c r="E83" s="374">
        <f t="shared" si="43"/>
      </c>
      <c r="F83" s="374">
        <f t="shared" si="43"/>
      </c>
      <c r="G83" s="374">
        <f t="shared" si="43"/>
      </c>
      <c r="H83" s="325">
        <f t="shared" si="43"/>
      </c>
      <c r="I83" s="325">
        <f t="shared" si="43"/>
      </c>
      <c r="J83" s="325">
        <f>IF(NOT(ISBLANK(D81)),$J$31,"")</f>
      </c>
      <c r="K83" s="57"/>
      <c r="L83" s="57"/>
      <c r="M83" s="55"/>
      <c r="N83" s="55"/>
      <c r="O83" s="62"/>
      <c r="P83" s="298">
        <f t="shared" si="29"/>
        <v>0</v>
      </c>
    </row>
    <row r="84" spans="2:16" ht="15.75">
      <c r="B84" s="375">
        <v>13</v>
      </c>
      <c r="C84" s="376">
        <f aca="true" t="shared" si="44" ref="C84:I84">IF(ISBLANK(C81),"",C81)</f>
      </c>
      <c r="D84" s="377">
        <f t="shared" si="44"/>
      </c>
      <c r="E84" s="378">
        <f t="shared" si="44"/>
      </c>
      <c r="F84" s="378">
        <f t="shared" si="44"/>
      </c>
      <c r="G84" s="378">
        <f t="shared" si="44"/>
      </c>
      <c r="H84" s="379">
        <f t="shared" si="44"/>
      </c>
      <c r="I84" s="379">
        <f t="shared" si="44"/>
      </c>
      <c r="J84" s="327">
        <f>IF(NOT(ISBLANK(D81)),$J$32,"")</f>
      </c>
      <c r="K84" s="380">
        <f>SUM(K81:K83)</f>
        <v>0</v>
      </c>
      <c r="L84" s="380">
        <f>SUM(L81:L83)</f>
        <v>0</v>
      </c>
      <c r="M84" s="381">
        <f>SUM(M81:M83)</f>
        <v>0</v>
      </c>
      <c r="N84" s="381">
        <f>SUM(N81:N83)</f>
        <v>0</v>
      </c>
      <c r="O84" s="382">
        <f>SUM(O81:O83)</f>
        <v>0</v>
      </c>
      <c r="P84" s="327">
        <f t="shared" si="29"/>
        <v>0</v>
      </c>
    </row>
    <row r="85" spans="2:16" ht="15">
      <c r="B85" s="326">
        <v>14</v>
      </c>
      <c r="C85" s="367">
        <f>IF(P88&lt;&gt;0,VLOOKUP($D$7,Info_County_Code,2,FALSE),"")</f>
      </c>
      <c r="D85" s="202"/>
      <c r="E85" s="66"/>
      <c r="F85" s="66"/>
      <c r="G85" s="66"/>
      <c r="H85" s="55"/>
      <c r="I85" s="55"/>
      <c r="J85" s="368">
        <f>IF(NOT(ISBLANK(D85)),$J$29,"")</f>
      </c>
      <c r="K85" s="57"/>
      <c r="L85" s="57"/>
      <c r="M85" s="55"/>
      <c r="N85" s="55"/>
      <c r="O85" s="62"/>
      <c r="P85" s="298">
        <f t="shared" si="29"/>
        <v>0</v>
      </c>
    </row>
    <row r="86" spans="2:16" ht="15">
      <c r="B86" s="326">
        <v>14</v>
      </c>
      <c r="C86" s="369">
        <f aca="true" t="shared" si="45" ref="C86:I86">IF(ISBLANK(C85),"",C85)</f>
      </c>
      <c r="D86" s="370">
        <f t="shared" si="45"/>
      </c>
      <c r="E86" s="371">
        <f t="shared" si="45"/>
      </c>
      <c r="F86" s="371">
        <f t="shared" si="45"/>
      </c>
      <c r="G86" s="371">
        <f t="shared" si="45"/>
      </c>
      <c r="H86" s="372">
        <f t="shared" si="45"/>
      </c>
      <c r="I86" s="372">
        <f t="shared" si="45"/>
      </c>
      <c r="J86" s="325">
        <f>IF(NOT(ISBLANK(D85)),$J$30,"")</f>
      </c>
      <c r="K86" s="57"/>
      <c r="L86" s="57"/>
      <c r="M86" s="55"/>
      <c r="N86" s="55"/>
      <c r="O86" s="62"/>
      <c r="P86" s="298">
        <f t="shared" si="29"/>
        <v>0</v>
      </c>
    </row>
    <row r="87" spans="2:16" ht="15">
      <c r="B87" s="326">
        <v>14</v>
      </c>
      <c r="C87" s="369">
        <f aca="true" t="shared" si="46" ref="C87:I87">IF(ISBLANK(C85),"",C85)</f>
      </c>
      <c r="D87" s="373">
        <f t="shared" si="46"/>
      </c>
      <c r="E87" s="374">
        <f t="shared" si="46"/>
      </c>
      <c r="F87" s="374">
        <f t="shared" si="46"/>
      </c>
      <c r="G87" s="374">
        <f t="shared" si="46"/>
      </c>
      <c r="H87" s="325">
        <f t="shared" si="46"/>
      </c>
      <c r="I87" s="325">
        <f t="shared" si="46"/>
      </c>
      <c r="J87" s="325">
        <f>IF(NOT(ISBLANK(D85)),$J$31,"")</f>
      </c>
      <c r="K87" s="57"/>
      <c r="L87" s="57"/>
      <c r="M87" s="55"/>
      <c r="N87" s="55"/>
      <c r="O87" s="62"/>
      <c r="P87" s="298">
        <f t="shared" si="29"/>
        <v>0</v>
      </c>
    </row>
    <row r="88" spans="2:16" ht="15.75">
      <c r="B88" s="375">
        <v>14</v>
      </c>
      <c r="C88" s="376">
        <f aca="true" t="shared" si="47" ref="C88:I88">IF(ISBLANK(C85),"",C85)</f>
      </c>
      <c r="D88" s="377">
        <f t="shared" si="47"/>
      </c>
      <c r="E88" s="378">
        <f t="shared" si="47"/>
      </c>
      <c r="F88" s="378">
        <f t="shared" si="47"/>
      </c>
      <c r="G88" s="378">
        <f t="shared" si="47"/>
      </c>
      <c r="H88" s="379">
        <f t="shared" si="47"/>
      </c>
      <c r="I88" s="379">
        <f t="shared" si="47"/>
      </c>
      <c r="J88" s="327">
        <f>IF(NOT(ISBLANK(D85)),$J$32,"")</f>
      </c>
      <c r="K88" s="380">
        <f>SUM(K85:K87)</f>
        <v>0</v>
      </c>
      <c r="L88" s="380">
        <f>SUM(L85:L87)</f>
        <v>0</v>
      </c>
      <c r="M88" s="381">
        <f>SUM(M85:M87)</f>
        <v>0</v>
      </c>
      <c r="N88" s="381">
        <f>SUM(N85:N87)</f>
        <v>0</v>
      </c>
      <c r="O88" s="382">
        <f>SUM(O85:O87)</f>
        <v>0</v>
      </c>
      <c r="P88" s="327">
        <f t="shared" si="29"/>
        <v>0</v>
      </c>
    </row>
    <row r="89" spans="2:16" ht="15">
      <c r="B89" s="326">
        <v>15</v>
      </c>
      <c r="C89" s="367">
        <f>IF(P92&lt;&gt;0,VLOOKUP($D$7,Info_County_Code,2,FALSE),"")</f>
      </c>
      <c r="D89" s="202"/>
      <c r="E89" s="66"/>
      <c r="F89" s="66"/>
      <c r="G89" s="66"/>
      <c r="H89" s="55"/>
      <c r="I89" s="55"/>
      <c r="J89" s="368">
        <f>IF(NOT(ISBLANK(D89)),$J$29,"")</f>
      </c>
      <c r="K89" s="57"/>
      <c r="L89" s="57"/>
      <c r="M89" s="55"/>
      <c r="N89" s="55"/>
      <c r="O89" s="62"/>
      <c r="P89" s="298">
        <f aca="true" t="shared" si="48" ref="P89:P132">SUM(K89:O89)</f>
        <v>0</v>
      </c>
    </row>
    <row r="90" spans="2:16" ht="15">
      <c r="B90" s="326">
        <v>15</v>
      </c>
      <c r="C90" s="369">
        <f aca="true" t="shared" si="49" ref="C90:I90">IF(ISBLANK(C89),"",C89)</f>
      </c>
      <c r="D90" s="370">
        <f t="shared" si="49"/>
      </c>
      <c r="E90" s="371">
        <f t="shared" si="49"/>
      </c>
      <c r="F90" s="371">
        <f t="shared" si="49"/>
      </c>
      <c r="G90" s="371">
        <f t="shared" si="49"/>
      </c>
      <c r="H90" s="372">
        <f t="shared" si="49"/>
      </c>
      <c r="I90" s="372">
        <f t="shared" si="49"/>
      </c>
      <c r="J90" s="325">
        <f>IF(NOT(ISBLANK(D89)),$J$30,"")</f>
      </c>
      <c r="K90" s="57"/>
      <c r="L90" s="57"/>
      <c r="M90" s="55"/>
      <c r="N90" s="55"/>
      <c r="O90" s="62"/>
      <c r="P90" s="298">
        <f t="shared" si="48"/>
        <v>0</v>
      </c>
    </row>
    <row r="91" spans="2:16" ht="15">
      <c r="B91" s="326">
        <v>15</v>
      </c>
      <c r="C91" s="369">
        <f aca="true" t="shared" si="50" ref="C91:I91">IF(ISBLANK(C89),"",C89)</f>
      </c>
      <c r="D91" s="373">
        <f t="shared" si="50"/>
      </c>
      <c r="E91" s="374">
        <f t="shared" si="50"/>
      </c>
      <c r="F91" s="374">
        <f t="shared" si="50"/>
      </c>
      <c r="G91" s="374">
        <f t="shared" si="50"/>
      </c>
      <c r="H91" s="325">
        <f t="shared" si="50"/>
      </c>
      <c r="I91" s="325">
        <f t="shared" si="50"/>
      </c>
      <c r="J91" s="325">
        <f>IF(NOT(ISBLANK(D89)),$J$31,"")</f>
      </c>
      <c r="K91" s="57"/>
      <c r="L91" s="57"/>
      <c r="M91" s="55"/>
      <c r="N91" s="55"/>
      <c r="O91" s="62"/>
      <c r="P91" s="298">
        <f t="shared" si="48"/>
        <v>0</v>
      </c>
    </row>
    <row r="92" spans="2:16" ht="15.75">
      <c r="B92" s="375">
        <v>15</v>
      </c>
      <c r="C92" s="376">
        <f aca="true" t="shared" si="51" ref="C92:I92">IF(ISBLANK(C89),"",C89)</f>
      </c>
      <c r="D92" s="383">
        <f t="shared" si="51"/>
      </c>
      <c r="E92" s="384">
        <f t="shared" si="51"/>
      </c>
      <c r="F92" s="384">
        <f t="shared" si="51"/>
      </c>
      <c r="G92" s="384">
        <f t="shared" si="51"/>
      </c>
      <c r="H92" s="327">
        <f t="shared" si="51"/>
      </c>
      <c r="I92" s="327">
        <f t="shared" si="51"/>
      </c>
      <c r="J92" s="327">
        <f>IF(NOT(ISBLANK(D89)),$J$32,"")</f>
      </c>
      <c r="K92" s="385">
        <f>SUM(K89:K91)</f>
        <v>0</v>
      </c>
      <c r="L92" s="385">
        <f>SUM(L89:L91)</f>
        <v>0</v>
      </c>
      <c r="M92" s="386">
        <f>SUM(M89:M91)</f>
        <v>0</v>
      </c>
      <c r="N92" s="386">
        <f>SUM(N89:N91)</f>
        <v>0</v>
      </c>
      <c r="O92" s="387">
        <f>SUM(O89:O91)</f>
        <v>0</v>
      </c>
      <c r="P92" s="327">
        <f t="shared" si="48"/>
        <v>0</v>
      </c>
    </row>
    <row r="93" spans="2:16" ht="15">
      <c r="B93" s="326">
        <v>16</v>
      </c>
      <c r="C93" s="367">
        <f>IF(P96&lt;&gt;0,VLOOKUP($D$7,Info_County_Code,2,FALSE),"")</f>
      </c>
      <c r="D93" s="202"/>
      <c r="E93" s="66"/>
      <c r="F93" s="66"/>
      <c r="G93" s="66"/>
      <c r="H93" s="55"/>
      <c r="I93" s="55"/>
      <c r="J93" s="368">
        <f>IF(NOT(ISBLANK(D93)),$J$29,"")</f>
      </c>
      <c r="K93" s="57"/>
      <c r="L93" s="57"/>
      <c r="M93" s="55"/>
      <c r="N93" s="55"/>
      <c r="O93" s="62"/>
      <c r="P93" s="298">
        <f t="shared" si="48"/>
        <v>0</v>
      </c>
    </row>
    <row r="94" spans="2:16" ht="15">
      <c r="B94" s="326">
        <v>16</v>
      </c>
      <c r="C94" s="369">
        <f aca="true" t="shared" si="52" ref="C94:I94">IF(ISBLANK(C93),"",C93)</f>
      </c>
      <c r="D94" s="370">
        <f t="shared" si="52"/>
      </c>
      <c r="E94" s="371">
        <f t="shared" si="52"/>
      </c>
      <c r="F94" s="371">
        <f t="shared" si="52"/>
      </c>
      <c r="G94" s="371">
        <f t="shared" si="52"/>
      </c>
      <c r="H94" s="372">
        <f t="shared" si="52"/>
      </c>
      <c r="I94" s="372">
        <f t="shared" si="52"/>
      </c>
      <c r="J94" s="325">
        <f>IF(NOT(ISBLANK(D93)),$J$30,"")</f>
      </c>
      <c r="K94" s="57"/>
      <c r="L94" s="57"/>
      <c r="M94" s="55"/>
      <c r="N94" s="55"/>
      <c r="O94" s="62"/>
      <c r="P94" s="298">
        <f t="shared" si="48"/>
        <v>0</v>
      </c>
    </row>
    <row r="95" spans="2:16" ht="15">
      <c r="B95" s="326">
        <v>16</v>
      </c>
      <c r="C95" s="369">
        <f aca="true" t="shared" si="53" ref="C95:I95">IF(ISBLANK(C93),"",C93)</f>
      </c>
      <c r="D95" s="373">
        <f t="shared" si="53"/>
      </c>
      <c r="E95" s="374">
        <f t="shared" si="53"/>
      </c>
      <c r="F95" s="374">
        <f t="shared" si="53"/>
      </c>
      <c r="G95" s="374">
        <f t="shared" si="53"/>
      </c>
      <c r="H95" s="325">
        <f t="shared" si="53"/>
      </c>
      <c r="I95" s="325">
        <f t="shared" si="53"/>
      </c>
      <c r="J95" s="325">
        <f>IF(NOT(ISBLANK(D93)),$J$31,"")</f>
      </c>
      <c r="K95" s="57"/>
      <c r="L95" s="57"/>
      <c r="M95" s="55"/>
      <c r="N95" s="55"/>
      <c r="O95" s="62"/>
      <c r="P95" s="298">
        <f t="shared" si="48"/>
        <v>0</v>
      </c>
    </row>
    <row r="96" spans="2:16" ht="15.75">
      <c r="B96" s="375">
        <v>16</v>
      </c>
      <c r="C96" s="376">
        <f aca="true" t="shared" si="54" ref="C96:I96">IF(ISBLANK(C93),"",C93)</f>
      </c>
      <c r="D96" s="383">
        <f t="shared" si="54"/>
      </c>
      <c r="E96" s="384">
        <f t="shared" si="54"/>
      </c>
      <c r="F96" s="384">
        <f t="shared" si="54"/>
      </c>
      <c r="G96" s="384">
        <f t="shared" si="54"/>
      </c>
      <c r="H96" s="327">
        <f t="shared" si="54"/>
      </c>
      <c r="I96" s="327">
        <f t="shared" si="54"/>
      </c>
      <c r="J96" s="327">
        <f>IF(NOT(ISBLANK(D93)),$J$32,"")</f>
      </c>
      <c r="K96" s="385">
        <f>SUM(K93:K95)</f>
        <v>0</v>
      </c>
      <c r="L96" s="385">
        <f>SUM(L93:L95)</f>
        <v>0</v>
      </c>
      <c r="M96" s="386">
        <f>SUM(M93:M95)</f>
        <v>0</v>
      </c>
      <c r="N96" s="386">
        <f>SUM(N93:N95)</f>
        <v>0</v>
      </c>
      <c r="O96" s="387">
        <f>SUM(O93:O95)</f>
        <v>0</v>
      </c>
      <c r="P96" s="327">
        <f t="shared" si="48"/>
        <v>0</v>
      </c>
    </row>
    <row r="97" spans="2:16" ht="15">
      <c r="B97" s="326">
        <v>17</v>
      </c>
      <c r="C97" s="367">
        <f>IF(P100&lt;&gt;0,VLOOKUP($D$7,Info_County_Code,2,FALSE),"")</f>
      </c>
      <c r="D97" s="202"/>
      <c r="E97" s="66"/>
      <c r="F97" s="66"/>
      <c r="G97" s="66"/>
      <c r="H97" s="55"/>
      <c r="I97" s="55"/>
      <c r="J97" s="368">
        <f>IF(NOT(ISBLANK(D97)),$J$29,"")</f>
      </c>
      <c r="K97" s="57"/>
      <c r="L97" s="57"/>
      <c r="M97" s="55"/>
      <c r="N97" s="55"/>
      <c r="O97" s="62"/>
      <c r="P97" s="298">
        <f t="shared" si="48"/>
        <v>0</v>
      </c>
    </row>
    <row r="98" spans="2:16" ht="15">
      <c r="B98" s="326">
        <v>17</v>
      </c>
      <c r="C98" s="369">
        <f aca="true" t="shared" si="55" ref="C98:I98">IF(ISBLANK(C97),"",C97)</f>
      </c>
      <c r="D98" s="370">
        <f t="shared" si="55"/>
      </c>
      <c r="E98" s="371">
        <f t="shared" si="55"/>
      </c>
      <c r="F98" s="371">
        <f t="shared" si="55"/>
      </c>
      <c r="G98" s="371">
        <f t="shared" si="55"/>
      </c>
      <c r="H98" s="372">
        <f t="shared" si="55"/>
      </c>
      <c r="I98" s="372">
        <f t="shared" si="55"/>
      </c>
      <c r="J98" s="325">
        <f>IF(NOT(ISBLANK(D97)),$J$30,"")</f>
      </c>
      <c r="K98" s="57"/>
      <c r="L98" s="57"/>
      <c r="M98" s="55"/>
      <c r="N98" s="55"/>
      <c r="O98" s="62"/>
      <c r="P98" s="298">
        <f t="shared" si="48"/>
        <v>0</v>
      </c>
    </row>
    <row r="99" spans="2:16" ht="15">
      <c r="B99" s="326">
        <v>17</v>
      </c>
      <c r="C99" s="369">
        <f aca="true" t="shared" si="56" ref="C99:I99">IF(ISBLANK(C97),"",C97)</f>
      </c>
      <c r="D99" s="373">
        <f t="shared" si="56"/>
      </c>
      <c r="E99" s="374">
        <f t="shared" si="56"/>
      </c>
      <c r="F99" s="374">
        <f t="shared" si="56"/>
      </c>
      <c r="G99" s="374">
        <f t="shared" si="56"/>
      </c>
      <c r="H99" s="325">
        <f t="shared" si="56"/>
      </c>
      <c r="I99" s="325">
        <f t="shared" si="56"/>
      </c>
      <c r="J99" s="325">
        <f>IF(NOT(ISBLANK(D97)),$J$31,"")</f>
      </c>
      <c r="K99" s="57"/>
      <c r="L99" s="57"/>
      <c r="M99" s="55"/>
      <c r="N99" s="55"/>
      <c r="O99" s="62"/>
      <c r="P99" s="298">
        <f t="shared" si="48"/>
        <v>0</v>
      </c>
    </row>
    <row r="100" spans="2:16" ht="15.75">
      <c r="B100" s="375">
        <v>17</v>
      </c>
      <c r="C100" s="376">
        <f aca="true" t="shared" si="57" ref="C100:I100">IF(ISBLANK(C97),"",C97)</f>
      </c>
      <c r="D100" s="383">
        <f t="shared" si="57"/>
      </c>
      <c r="E100" s="384">
        <f t="shared" si="57"/>
      </c>
      <c r="F100" s="384">
        <f t="shared" si="57"/>
      </c>
      <c r="G100" s="384">
        <f t="shared" si="57"/>
      </c>
      <c r="H100" s="327">
        <f t="shared" si="57"/>
      </c>
      <c r="I100" s="327">
        <f t="shared" si="57"/>
      </c>
      <c r="J100" s="327">
        <f>IF(NOT(ISBLANK(D97)),$J$32,"")</f>
      </c>
      <c r="K100" s="385">
        <f>SUM(K97:K99)</f>
        <v>0</v>
      </c>
      <c r="L100" s="385">
        <f>SUM(L97:L99)</f>
        <v>0</v>
      </c>
      <c r="M100" s="386">
        <f>SUM(M97:M99)</f>
        <v>0</v>
      </c>
      <c r="N100" s="386">
        <f>SUM(N97:N99)</f>
        <v>0</v>
      </c>
      <c r="O100" s="387">
        <f>SUM(O97:O99)</f>
        <v>0</v>
      </c>
      <c r="P100" s="327">
        <f t="shared" si="48"/>
        <v>0</v>
      </c>
    </row>
    <row r="101" spans="2:16" ht="15">
      <c r="B101" s="326">
        <v>18</v>
      </c>
      <c r="C101" s="367">
        <f>IF(P104&lt;&gt;0,VLOOKUP($D$7,Info_County_Code,2,FALSE),"")</f>
      </c>
      <c r="D101" s="202"/>
      <c r="E101" s="66"/>
      <c r="F101" s="66"/>
      <c r="G101" s="66"/>
      <c r="H101" s="55"/>
      <c r="I101" s="55"/>
      <c r="J101" s="368">
        <f>IF(NOT(ISBLANK(D101)),$J$29,"")</f>
      </c>
      <c r="K101" s="57"/>
      <c r="L101" s="57"/>
      <c r="M101" s="55"/>
      <c r="N101" s="55"/>
      <c r="O101" s="62"/>
      <c r="P101" s="298">
        <f>SUM(K101:O101)</f>
        <v>0</v>
      </c>
    </row>
    <row r="102" spans="2:16" ht="15">
      <c r="B102" s="326">
        <v>18</v>
      </c>
      <c r="C102" s="369">
        <f aca="true" t="shared" si="58" ref="C102:I102">IF(ISBLANK(C101),"",C101)</f>
      </c>
      <c r="D102" s="370">
        <f t="shared" si="58"/>
      </c>
      <c r="E102" s="371">
        <f t="shared" si="58"/>
      </c>
      <c r="F102" s="371">
        <f t="shared" si="58"/>
      </c>
      <c r="G102" s="371">
        <f t="shared" si="58"/>
      </c>
      <c r="H102" s="372">
        <f t="shared" si="58"/>
      </c>
      <c r="I102" s="372">
        <f t="shared" si="58"/>
      </c>
      <c r="J102" s="325">
        <f>IF(NOT(ISBLANK(D101)),$J$30,"")</f>
      </c>
      <c r="K102" s="57"/>
      <c r="L102" s="57"/>
      <c r="M102" s="55"/>
      <c r="N102" s="55"/>
      <c r="O102" s="62"/>
      <c r="P102" s="298">
        <f>SUM(K102:O102)</f>
        <v>0</v>
      </c>
    </row>
    <row r="103" spans="2:16" ht="15">
      <c r="B103" s="326">
        <v>18</v>
      </c>
      <c r="C103" s="369">
        <f aca="true" t="shared" si="59" ref="C103:I103">IF(ISBLANK(C101),"",C101)</f>
      </c>
      <c r="D103" s="373">
        <f t="shared" si="59"/>
      </c>
      <c r="E103" s="374">
        <f t="shared" si="59"/>
      </c>
      <c r="F103" s="374">
        <f t="shared" si="59"/>
      </c>
      <c r="G103" s="374">
        <f t="shared" si="59"/>
      </c>
      <c r="H103" s="325">
        <f t="shared" si="59"/>
      </c>
      <c r="I103" s="325">
        <f t="shared" si="59"/>
      </c>
      <c r="J103" s="325">
        <f>IF(NOT(ISBLANK(D101)),$J$31,"")</f>
      </c>
      <c r="K103" s="57"/>
      <c r="L103" s="57"/>
      <c r="M103" s="55"/>
      <c r="N103" s="55"/>
      <c r="O103" s="62"/>
      <c r="P103" s="298">
        <f>SUM(K103:O103)</f>
        <v>0</v>
      </c>
    </row>
    <row r="104" spans="2:16" ht="15.75">
      <c r="B104" s="375">
        <v>18</v>
      </c>
      <c r="C104" s="376">
        <f aca="true" t="shared" si="60" ref="C104:I104">IF(ISBLANK(C101),"",C101)</f>
      </c>
      <c r="D104" s="383">
        <f t="shared" si="60"/>
      </c>
      <c r="E104" s="384">
        <f t="shared" si="60"/>
      </c>
      <c r="F104" s="384">
        <f t="shared" si="60"/>
      </c>
      <c r="G104" s="384">
        <f t="shared" si="60"/>
      </c>
      <c r="H104" s="327">
        <f t="shared" si="60"/>
      </c>
      <c r="I104" s="327">
        <f t="shared" si="60"/>
      </c>
      <c r="J104" s="327">
        <f>IF(NOT(ISBLANK(D101)),$J$32,"")</f>
      </c>
      <c r="K104" s="385">
        <f>SUM(K101:K103)</f>
        <v>0</v>
      </c>
      <c r="L104" s="385">
        <f>SUM(L101:L103)</f>
        <v>0</v>
      </c>
      <c r="M104" s="386">
        <f>SUM(M101:M103)</f>
        <v>0</v>
      </c>
      <c r="N104" s="386">
        <f>SUM(N101:N103)</f>
        <v>0</v>
      </c>
      <c r="O104" s="387">
        <f>SUM(O101:O103)</f>
        <v>0</v>
      </c>
      <c r="P104" s="327">
        <f>SUM(K104:O104)</f>
        <v>0</v>
      </c>
    </row>
    <row r="105" spans="2:16" ht="15">
      <c r="B105" s="326">
        <v>19</v>
      </c>
      <c r="C105" s="367">
        <f>IF(P108&lt;&gt;0,VLOOKUP($D$7,Info_County_Code,2,FALSE),"")</f>
      </c>
      <c r="D105" s="202"/>
      <c r="E105" s="66"/>
      <c r="F105" s="66"/>
      <c r="G105" s="66"/>
      <c r="H105" s="55"/>
      <c r="I105" s="55"/>
      <c r="J105" s="368">
        <f>IF(NOT(ISBLANK(D105)),$J$29,"")</f>
      </c>
      <c r="K105" s="57"/>
      <c r="L105" s="57"/>
      <c r="M105" s="55"/>
      <c r="N105" s="55"/>
      <c r="O105" s="62"/>
      <c r="P105" s="298">
        <f t="shared" si="48"/>
        <v>0</v>
      </c>
    </row>
    <row r="106" spans="2:16" ht="15">
      <c r="B106" s="326">
        <v>19</v>
      </c>
      <c r="C106" s="369">
        <f aca="true" t="shared" si="61" ref="C106:I106">IF(ISBLANK(C105),"",C105)</f>
      </c>
      <c r="D106" s="370">
        <f t="shared" si="61"/>
      </c>
      <c r="E106" s="371">
        <f t="shared" si="61"/>
      </c>
      <c r="F106" s="371">
        <f t="shared" si="61"/>
      </c>
      <c r="G106" s="371">
        <f t="shared" si="61"/>
      </c>
      <c r="H106" s="372">
        <f t="shared" si="61"/>
      </c>
      <c r="I106" s="372">
        <f t="shared" si="61"/>
      </c>
      <c r="J106" s="325">
        <f>IF(NOT(ISBLANK(D105)),$J$30,"")</f>
      </c>
      <c r="K106" s="57"/>
      <c r="L106" s="57"/>
      <c r="M106" s="55"/>
      <c r="N106" s="55"/>
      <c r="O106" s="62"/>
      <c r="P106" s="298">
        <f t="shared" si="48"/>
        <v>0</v>
      </c>
    </row>
    <row r="107" spans="2:16" ht="15">
      <c r="B107" s="326">
        <v>19</v>
      </c>
      <c r="C107" s="369">
        <f aca="true" t="shared" si="62" ref="C107:I107">IF(ISBLANK(C105),"",C105)</f>
      </c>
      <c r="D107" s="373">
        <f t="shared" si="62"/>
      </c>
      <c r="E107" s="374">
        <f t="shared" si="62"/>
      </c>
      <c r="F107" s="374">
        <f t="shared" si="62"/>
      </c>
      <c r="G107" s="374">
        <f t="shared" si="62"/>
      </c>
      <c r="H107" s="325">
        <f t="shared" si="62"/>
      </c>
      <c r="I107" s="325">
        <f t="shared" si="62"/>
      </c>
      <c r="J107" s="325">
        <f>IF(NOT(ISBLANK(D105)),$J$31,"")</f>
      </c>
      <c r="K107" s="57"/>
      <c r="L107" s="57"/>
      <c r="M107" s="55"/>
      <c r="N107" s="55"/>
      <c r="O107" s="62"/>
      <c r="P107" s="298">
        <f t="shared" si="48"/>
        <v>0</v>
      </c>
    </row>
    <row r="108" spans="2:16" ht="15.75">
      <c r="B108" s="375">
        <v>19</v>
      </c>
      <c r="C108" s="376">
        <f aca="true" t="shared" si="63" ref="C108:I108">IF(ISBLANK(C105),"",C105)</f>
      </c>
      <c r="D108" s="383">
        <f t="shared" si="63"/>
      </c>
      <c r="E108" s="384">
        <f t="shared" si="63"/>
      </c>
      <c r="F108" s="384">
        <f t="shared" si="63"/>
      </c>
      <c r="G108" s="384">
        <f t="shared" si="63"/>
      </c>
      <c r="H108" s="327">
        <f t="shared" si="63"/>
      </c>
      <c r="I108" s="327">
        <f t="shared" si="63"/>
      </c>
      <c r="J108" s="327">
        <f>IF(NOT(ISBLANK(D105)),$J$32,"")</f>
      </c>
      <c r="K108" s="385">
        <f>SUM(K105:K107)</f>
        <v>0</v>
      </c>
      <c r="L108" s="385">
        <f>SUM(L105:L107)</f>
        <v>0</v>
      </c>
      <c r="M108" s="386">
        <f>SUM(M105:M107)</f>
        <v>0</v>
      </c>
      <c r="N108" s="386">
        <f>SUM(N105:N107)</f>
        <v>0</v>
      </c>
      <c r="O108" s="387">
        <f>SUM(O105:O107)</f>
        <v>0</v>
      </c>
      <c r="P108" s="327">
        <f t="shared" si="48"/>
        <v>0</v>
      </c>
    </row>
    <row r="109" spans="2:16" ht="15">
      <c r="B109" s="326">
        <v>20</v>
      </c>
      <c r="C109" s="367">
        <f>IF(P112&lt;&gt;0,VLOOKUP($D$7,Info_County_Code,2,FALSE),"")</f>
      </c>
      <c r="D109" s="202"/>
      <c r="E109" s="66"/>
      <c r="F109" s="66"/>
      <c r="G109" s="66"/>
      <c r="H109" s="55"/>
      <c r="I109" s="55"/>
      <c r="J109" s="368">
        <f>IF(NOT(ISBLANK(D109)),$J$29,"")</f>
      </c>
      <c r="K109" s="57"/>
      <c r="L109" s="57"/>
      <c r="M109" s="55"/>
      <c r="N109" s="55"/>
      <c r="O109" s="62"/>
      <c r="P109" s="298">
        <f>SUM(K109:O109)</f>
        <v>0</v>
      </c>
    </row>
    <row r="110" spans="2:16" ht="15">
      <c r="B110" s="326">
        <v>20</v>
      </c>
      <c r="C110" s="369">
        <f aca="true" t="shared" si="64" ref="C110:I110">IF(ISBLANK(C109),"",C109)</f>
      </c>
      <c r="D110" s="370">
        <f t="shared" si="64"/>
      </c>
      <c r="E110" s="371">
        <f t="shared" si="64"/>
      </c>
      <c r="F110" s="371">
        <f t="shared" si="64"/>
      </c>
      <c r="G110" s="371">
        <f t="shared" si="64"/>
      </c>
      <c r="H110" s="372">
        <f t="shared" si="64"/>
      </c>
      <c r="I110" s="372">
        <f t="shared" si="64"/>
      </c>
      <c r="J110" s="325">
        <f>IF(NOT(ISBLANK(D109)),$J$30,"")</f>
      </c>
      <c r="K110" s="57"/>
      <c r="L110" s="57"/>
      <c r="M110" s="55"/>
      <c r="N110" s="55"/>
      <c r="O110" s="62"/>
      <c r="P110" s="298">
        <f>SUM(K110:O110)</f>
        <v>0</v>
      </c>
    </row>
    <row r="111" spans="2:16" ht="15">
      <c r="B111" s="326">
        <v>20</v>
      </c>
      <c r="C111" s="369">
        <f aca="true" t="shared" si="65" ref="C111:I111">IF(ISBLANK(C109),"",C109)</f>
      </c>
      <c r="D111" s="373">
        <f t="shared" si="65"/>
      </c>
      <c r="E111" s="374">
        <f t="shared" si="65"/>
      </c>
      <c r="F111" s="374">
        <f t="shared" si="65"/>
      </c>
      <c r="G111" s="374">
        <f t="shared" si="65"/>
      </c>
      <c r="H111" s="325">
        <f t="shared" si="65"/>
      </c>
      <c r="I111" s="325">
        <f t="shared" si="65"/>
      </c>
      <c r="J111" s="325">
        <f>IF(NOT(ISBLANK(D109)),$J$31,"")</f>
      </c>
      <c r="K111" s="57"/>
      <c r="L111" s="57"/>
      <c r="M111" s="55"/>
      <c r="N111" s="55"/>
      <c r="O111" s="62"/>
      <c r="P111" s="298">
        <f>SUM(K111:O111)</f>
        <v>0</v>
      </c>
    </row>
    <row r="112" spans="2:16" ht="15.75">
      <c r="B112" s="375">
        <v>20</v>
      </c>
      <c r="C112" s="376">
        <f aca="true" t="shared" si="66" ref="C112:I112">IF(ISBLANK(C109),"",C109)</f>
      </c>
      <c r="D112" s="383">
        <f t="shared" si="66"/>
      </c>
      <c r="E112" s="384">
        <f t="shared" si="66"/>
      </c>
      <c r="F112" s="384">
        <f t="shared" si="66"/>
      </c>
      <c r="G112" s="384">
        <f t="shared" si="66"/>
      </c>
      <c r="H112" s="327">
        <f t="shared" si="66"/>
      </c>
      <c r="I112" s="327">
        <f t="shared" si="66"/>
      </c>
      <c r="J112" s="327">
        <f>IF(NOT(ISBLANK(D109)),$J$32,"")</f>
      </c>
      <c r="K112" s="385">
        <f>SUM(K109:K111)</f>
        <v>0</v>
      </c>
      <c r="L112" s="385">
        <f>SUM(L109:L111)</f>
        <v>0</v>
      </c>
      <c r="M112" s="386">
        <f>SUM(M109:M111)</f>
        <v>0</v>
      </c>
      <c r="N112" s="386">
        <f>SUM(N109:N111)</f>
        <v>0</v>
      </c>
      <c r="O112" s="387">
        <f>SUM(O109:O111)</f>
        <v>0</v>
      </c>
      <c r="P112" s="327">
        <f>SUM(K112:O112)</f>
        <v>0</v>
      </c>
    </row>
    <row r="113" spans="2:16" ht="15">
      <c r="B113" s="326">
        <v>21</v>
      </c>
      <c r="C113" s="367">
        <f>IF(P116&lt;&gt;0,VLOOKUP($D$7,Info_County_Code,2,FALSE),"")</f>
      </c>
      <c r="D113" s="202"/>
      <c r="E113" s="66"/>
      <c r="F113" s="66"/>
      <c r="G113" s="66"/>
      <c r="H113" s="55"/>
      <c r="I113" s="55"/>
      <c r="J113" s="368">
        <f>IF(NOT(ISBLANK(D113)),$J$29,"")</f>
      </c>
      <c r="K113" s="57"/>
      <c r="L113" s="57"/>
      <c r="M113" s="55"/>
      <c r="N113" s="55"/>
      <c r="O113" s="62"/>
      <c r="P113" s="298">
        <f t="shared" si="48"/>
        <v>0</v>
      </c>
    </row>
    <row r="114" spans="2:16" ht="15">
      <c r="B114" s="326">
        <v>21</v>
      </c>
      <c r="C114" s="369">
        <f aca="true" t="shared" si="67" ref="C114:I114">IF(ISBLANK(C113),"",C113)</f>
      </c>
      <c r="D114" s="370">
        <f t="shared" si="67"/>
      </c>
      <c r="E114" s="371">
        <f t="shared" si="67"/>
      </c>
      <c r="F114" s="371">
        <f t="shared" si="67"/>
      </c>
      <c r="G114" s="371">
        <f t="shared" si="67"/>
      </c>
      <c r="H114" s="372">
        <f t="shared" si="67"/>
      </c>
      <c r="I114" s="372">
        <f t="shared" si="67"/>
      </c>
      <c r="J114" s="325">
        <f>IF(NOT(ISBLANK(D113)),$J$30,"")</f>
      </c>
      <c r="K114" s="57"/>
      <c r="L114" s="57"/>
      <c r="M114" s="55"/>
      <c r="N114" s="55"/>
      <c r="O114" s="62"/>
      <c r="P114" s="298">
        <f t="shared" si="48"/>
        <v>0</v>
      </c>
    </row>
    <row r="115" spans="2:16" ht="15">
      <c r="B115" s="326">
        <v>21</v>
      </c>
      <c r="C115" s="369">
        <f aca="true" t="shared" si="68" ref="C115:I115">IF(ISBLANK(C113),"",C113)</f>
      </c>
      <c r="D115" s="373">
        <f t="shared" si="68"/>
      </c>
      <c r="E115" s="374">
        <f t="shared" si="68"/>
      </c>
      <c r="F115" s="374">
        <f t="shared" si="68"/>
      </c>
      <c r="G115" s="374">
        <f t="shared" si="68"/>
      </c>
      <c r="H115" s="325">
        <f t="shared" si="68"/>
      </c>
      <c r="I115" s="325">
        <f t="shared" si="68"/>
      </c>
      <c r="J115" s="325">
        <f>IF(NOT(ISBLANK(D113)),$J$31,"")</f>
      </c>
      <c r="K115" s="57"/>
      <c r="L115" s="57"/>
      <c r="M115" s="55"/>
      <c r="N115" s="55"/>
      <c r="O115" s="62"/>
      <c r="P115" s="298">
        <f t="shared" si="48"/>
        <v>0</v>
      </c>
    </row>
    <row r="116" spans="2:16" ht="15.75">
      <c r="B116" s="375">
        <v>21</v>
      </c>
      <c r="C116" s="376">
        <f aca="true" t="shared" si="69" ref="C116:I116">IF(ISBLANK(C113),"",C113)</f>
      </c>
      <c r="D116" s="383">
        <f t="shared" si="69"/>
      </c>
      <c r="E116" s="384">
        <f t="shared" si="69"/>
      </c>
      <c r="F116" s="384">
        <f t="shared" si="69"/>
      </c>
      <c r="G116" s="384">
        <f t="shared" si="69"/>
      </c>
      <c r="H116" s="327">
        <f t="shared" si="69"/>
      </c>
      <c r="I116" s="327">
        <f t="shared" si="69"/>
      </c>
      <c r="J116" s="327">
        <f>IF(NOT(ISBLANK(D113)),$J$32,"")</f>
      </c>
      <c r="K116" s="385">
        <f>SUM(K113:K115)</f>
        <v>0</v>
      </c>
      <c r="L116" s="385">
        <f>SUM(L113:L115)</f>
        <v>0</v>
      </c>
      <c r="M116" s="386">
        <f>SUM(M113:M115)</f>
        <v>0</v>
      </c>
      <c r="N116" s="386">
        <f>SUM(N113:N115)</f>
        <v>0</v>
      </c>
      <c r="O116" s="387">
        <f>SUM(O113:O115)</f>
        <v>0</v>
      </c>
      <c r="P116" s="327">
        <f t="shared" si="48"/>
        <v>0</v>
      </c>
    </row>
    <row r="117" spans="2:16" ht="15">
      <c r="B117" s="326">
        <v>22</v>
      </c>
      <c r="C117" s="367">
        <f>IF(P120&lt;&gt;0,VLOOKUP($D$7,Info_County_Code,2,FALSE),"")</f>
      </c>
      <c r="D117" s="202"/>
      <c r="E117" s="66"/>
      <c r="F117" s="66"/>
      <c r="G117" s="66"/>
      <c r="H117" s="55"/>
      <c r="I117" s="55"/>
      <c r="J117" s="368">
        <f>IF(NOT(ISBLANK(D117)),$J$29,"")</f>
      </c>
      <c r="K117" s="57"/>
      <c r="L117" s="57"/>
      <c r="M117" s="55"/>
      <c r="N117" s="55"/>
      <c r="O117" s="62"/>
      <c r="P117" s="298">
        <f>SUM(K117:O117)</f>
        <v>0</v>
      </c>
    </row>
    <row r="118" spans="2:16" ht="15">
      <c r="B118" s="326">
        <v>22</v>
      </c>
      <c r="C118" s="369">
        <f aca="true" t="shared" si="70" ref="C118:I118">IF(ISBLANK(C117),"",C117)</f>
      </c>
      <c r="D118" s="370">
        <f t="shared" si="70"/>
      </c>
      <c r="E118" s="371">
        <f t="shared" si="70"/>
      </c>
      <c r="F118" s="371">
        <f t="shared" si="70"/>
      </c>
      <c r="G118" s="371">
        <f t="shared" si="70"/>
      </c>
      <c r="H118" s="372">
        <f t="shared" si="70"/>
      </c>
      <c r="I118" s="372">
        <f t="shared" si="70"/>
      </c>
      <c r="J118" s="325">
        <f>IF(NOT(ISBLANK(D117)),$J$30,"")</f>
      </c>
      <c r="K118" s="57"/>
      <c r="L118" s="57"/>
      <c r="M118" s="55"/>
      <c r="N118" s="55"/>
      <c r="O118" s="62"/>
      <c r="P118" s="298">
        <f>SUM(K118:O118)</f>
        <v>0</v>
      </c>
    </row>
    <row r="119" spans="2:16" ht="15">
      <c r="B119" s="326">
        <v>22</v>
      </c>
      <c r="C119" s="369">
        <f aca="true" t="shared" si="71" ref="C119:I119">IF(ISBLANK(C117),"",C117)</f>
      </c>
      <c r="D119" s="373">
        <f t="shared" si="71"/>
      </c>
      <c r="E119" s="374">
        <f t="shared" si="71"/>
      </c>
      <c r="F119" s="374">
        <f t="shared" si="71"/>
      </c>
      <c r="G119" s="374">
        <f t="shared" si="71"/>
      </c>
      <c r="H119" s="325">
        <f t="shared" si="71"/>
      </c>
      <c r="I119" s="325">
        <f t="shared" si="71"/>
      </c>
      <c r="J119" s="325">
        <f>IF(NOT(ISBLANK(D117)),$J$31,"")</f>
      </c>
      <c r="K119" s="57"/>
      <c r="L119" s="57"/>
      <c r="M119" s="55"/>
      <c r="N119" s="55"/>
      <c r="O119" s="62"/>
      <c r="P119" s="298">
        <f>SUM(K119:O119)</f>
        <v>0</v>
      </c>
    </row>
    <row r="120" spans="2:16" ht="15.75">
      <c r="B120" s="375">
        <v>22</v>
      </c>
      <c r="C120" s="376">
        <f aca="true" t="shared" si="72" ref="C120:I120">IF(ISBLANK(C117),"",C117)</f>
      </c>
      <c r="D120" s="383">
        <f t="shared" si="72"/>
      </c>
      <c r="E120" s="384">
        <f t="shared" si="72"/>
      </c>
      <c r="F120" s="384">
        <f t="shared" si="72"/>
      </c>
      <c r="G120" s="384">
        <f t="shared" si="72"/>
      </c>
      <c r="H120" s="327">
        <f t="shared" si="72"/>
      </c>
      <c r="I120" s="327">
        <f t="shared" si="72"/>
      </c>
      <c r="J120" s="327">
        <f>IF(NOT(ISBLANK(D117)),$J$32,"")</f>
      </c>
      <c r="K120" s="385">
        <f>SUM(K117:K119)</f>
        <v>0</v>
      </c>
      <c r="L120" s="385">
        <f>SUM(L117:L119)</f>
        <v>0</v>
      </c>
      <c r="M120" s="386">
        <f>SUM(M117:M119)</f>
        <v>0</v>
      </c>
      <c r="N120" s="386">
        <f>SUM(N117:N119)</f>
        <v>0</v>
      </c>
      <c r="O120" s="387">
        <f>SUM(O117:O119)</f>
        <v>0</v>
      </c>
      <c r="P120" s="327">
        <f>SUM(K120:O120)</f>
        <v>0</v>
      </c>
    </row>
    <row r="121" spans="2:16" ht="15">
      <c r="B121" s="326">
        <v>23</v>
      </c>
      <c r="C121" s="367">
        <f>IF(P124&lt;&gt;0,VLOOKUP($D$7,Info_County_Code,2,FALSE),"")</f>
      </c>
      <c r="D121" s="202"/>
      <c r="E121" s="66"/>
      <c r="F121" s="66"/>
      <c r="G121" s="66"/>
      <c r="H121" s="55"/>
      <c r="I121" s="55"/>
      <c r="J121" s="368">
        <f>IF(NOT(ISBLANK(D121)),$J$29,"")</f>
      </c>
      <c r="K121" s="57"/>
      <c r="L121" s="57"/>
      <c r="M121" s="55"/>
      <c r="N121" s="55"/>
      <c r="O121" s="62"/>
      <c r="P121" s="298">
        <f t="shared" si="48"/>
        <v>0</v>
      </c>
    </row>
    <row r="122" spans="2:16" ht="15">
      <c r="B122" s="326">
        <v>23</v>
      </c>
      <c r="C122" s="369">
        <f aca="true" t="shared" si="73" ref="C122:I122">IF(ISBLANK(C121),"",C121)</f>
      </c>
      <c r="D122" s="370">
        <f t="shared" si="73"/>
      </c>
      <c r="E122" s="371">
        <f t="shared" si="73"/>
      </c>
      <c r="F122" s="371">
        <f t="shared" si="73"/>
      </c>
      <c r="G122" s="371">
        <f t="shared" si="73"/>
      </c>
      <c r="H122" s="372">
        <f t="shared" si="73"/>
      </c>
      <c r="I122" s="372">
        <f t="shared" si="73"/>
      </c>
      <c r="J122" s="325">
        <f>IF(NOT(ISBLANK(D121)),$J$30,"")</f>
      </c>
      <c r="K122" s="57"/>
      <c r="L122" s="57"/>
      <c r="M122" s="55"/>
      <c r="N122" s="55"/>
      <c r="O122" s="62"/>
      <c r="P122" s="298">
        <f t="shared" si="48"/>
        <v>0</v>
      </c>
    </row>
    <row r="123" spans="2:16" ht="15">
      <c r="B123" s="326">
        <v>23</v>
      </c>
      <c r="C123" s="369">
        <f aca="true" t="shared" si="74" ref="C123:I123">IF(ISBLANK(C121),"",C121)</f>
      </c>
      <c r="D123" s="373">
        <f t="shared" si="74"/>
      </c>
      <c r="E123" s="374">
        <f t="shared" si="74"/>
      </c>
      <c r="F123" s="374">
        <f t="shared" si="74"/>
      </c>
      <c r="G123" s="374">
        <f t="shared" si="74"/>
      </c>
      <c r="H123" s="325">
        <f t="shared" si="74"/>
      </c>
      <c r="I123" s="325">
        <f t="shared" si="74"/>
      </c>
      <c r="J123" s="325">
        <f>IF(NOT(ISBLANK(D121)),$J$31,"")</f>
      </c>
      <c r="K123" s="57"/>
      <c r="L123" s="57"/>
      <c r="M123" s="55"/>
      <c r="N123" s="55"/>
      <c r="O123" s="62"/>
      <c r="P123" s="298">
        <f t="shared" si="48"/>
        <v>0</v>
      </c>
    </row>
    <row r="124" spans="2:16" ht="15.75">
      <c r="B124" s="375">
        <v>23</v>
      </c>
      <c r="C124" s="376">
        <f aca="true" t="shared" si="75" ref="C124:I124">IF(ISBLANK(C121),"",C121)</f>
      </c>
      <c r="D124" s="383">
        <f t="shared" si="75"/>
      </c>
      <c r="E124" s="384">
        <f t="shared" si="75"/>
      </c>
      <c r="F124" s="384">
        <f t="shared" si="75"/>
      </c>
      <c r="G124" s="384">
        <f t="shared" si="75"/>
      </c>
      <c r="H124" s="327">
        <f t="shared" si="75"/>
      </c>
      <c r="I124" s="327">
        <f t="shared" si="75"/>
      </c>
      <c r="J124" s="327">
        <f>IF(NOT(ISBLANK(D121)),$J$32,"")</f>
      </c>
      <c r="K124" s="385">
        <f>SUM(K121:K123)</f>
        <v>0</v>
      </c>
      <c r="L124" s="385">
        <f>SUM(L121:L123)</f>
        <v>0</v>
      </c>
      <c r="M124" s="386">
        <f>SUM(M121:M123)</f>
        <v>0</v>
      </c>
      <c r="N124" s="386">
        <f>SUM(N121:N123)</f>
        <v>0</v>
      </c>
      <c r="O124" s="387">
        <f>SUM(O121:O123)</f>
        <v>0</v>
      </c>
      <c r="P124" s="327">
        <f t="shared" si="48"/>
        <v>0</v>
      </c>
    </row>
    <row r="125" spans="2:16" ht="15">
      <c r="B125" s="326">
        <v>24</v>
      </c>
      <c r="C125" s="367">
        <f>IF(P128&lt;&gt;0,VLOOKUP($D$7,Info_County_Code,2,FALSE),"")</f>
      </c>
      <c r="D125" s="202"/>
      <c r="E125" s="66"/>
      <c r="F125" s="66"/>
      <c r="G125" s="66"/>
      <c r="H125" s="55"/>
      <c r="I125" s="55"/>
      <c r="J125" s="368">
        <f>IF(NOT(ISBLANK(D125)),$J$29,"")</f>
      </c>
      <c r="K125" s="57"/>
      <c r="L125" s="57"/>
      <c r="M125" s="55"/>
      <c r="N125" s="55"/>
      <c r="O125" s="62"/>
      <c r="P125" s="298">
        <f>SUM(K125:O125)</f>
        <v>0</v>
      </c>
    </row>
    <row r="126" spans="2:16" ht="15">
      <c r="B126" s="326">
        <v>24</v>
      </c>
      <c r="C126" s="369">
        <f aca="true" t="shared" si="76" ref="C126:I126">IF(ISBLANK(C125),"",C125)</f>
      </c>
      <c r="D126" s="370">
        <f t="shared" si="76"/>
      </c>
      <c r="E126" s="371">
        <f t="shared" si="76"/>
      </c>
      <c r="F126" s="371">
        <f t="shared" si="76"/>
      </c>
      <c r="G126" s="371">
        <f t="shared" si="76"/>
      </c>
      <c r="H126" s="372">
        <f t="shared" si="76"/>
      </c>
      <c r="I126" s="372">
        <f t="shared" si="76"/>
      </c>
      <c r="J126" s="325">
        <f>IF(NOT(ISBLANK(D125)),$J$30,"")</f>
      </c>
      <c r="K126" s="57"/>
      <c r="L126" s="57"/>
      <c r="M126" s="55"/>
      <c r="N126" s="55"/>
      <c r="O126" s="62"/>
      <c r="P126" s="298">
        <f>SUM(K126:O126)</f>
        <v>0</v>
      </c>
    </row>
    <row r="127" spans="2:16" ht="15">
      <c r="B127" s="326">
        <v>24</v>
      </c>
      <c r="C127" s="369">
        <f aca="true" t="shared" si="77" ref="C127:I127">IF(ISBLANK(C125),"",C125)</f>
      </c>
      <c r="D127" s="373">
        <f t="shared" si="77"/>
      </c>
      <c r="E127" s="374">
        <f t="shared" si="77"/>
      </c>
      <c r="F127" s="374">
        <f t="shared" si="77"/>
      </c>
      <c r="G127" s="374">
        <f t="shared" si="77"/>
      </c>
      <c r="H127" s="325">
        <f t="shared" si="77"/>
      </c>
      <c r="I127" s="325">
        <f t="shared" si="77"/>
      </c>
      <c r="J127" s="325">
        <f>IF(NOT(ISBLANK(D125)),$J$31,"")</f>
      </c>
      <c r="K127" s="57"/>
      <c r="L127" s="57"/>
      <c r="M127" s="55"/>
      <c r="N127" s="55"/>
      <c r="O127" s="62"/>
      <c r="P127" s="298">
        <f>SUM(K127:O127)</f>
        <v>0</v>
      </c>
    </row>
    <row r="128" spans="2:16" ht="15.75">
      <c r="B128" s="375">
        <v>24</v>
      </c>
      <c r="C128" s="376">
        <f aca="true" t="shared" si="78" ref="C128:I128">IF(ISBLANK(C125),"",C125)</f>
      </c>
      <c r="D128" s="383">
        <f t="shared" si="78"/>
      </c>
      <c r="E128" s="384">
        <f t="shared" si="78"/>
      </c>
      <c r="F128" s="384">
        <f t="shared" si="78"/>
      </c>
      <c r="G128" s="384">
        <f t="shared" si="78"/>
      </c>
      <c r="H128" s="327">
        <f t="shared" si="78"/>
      </c>
      <c r="I128" s="327">
        <f t="shared" si="78"/>
      </c>
      <c r="J128" s="327">
        <f>IF(NOT(ISBLANK(D125)),$J$32,"")</f>
      </c>
      <c r="K128" s="385">
        <f>SUM(K125:K127)</f>
        <v>0</v>
      </c>
      <c r="L128" s="385">
        <f>SUM(L125:L127)</f>
        <v>0</v>
      </c>
      <c r="M128" s="386">
        <f>SUM(M125:M127)</f>
        <v>0</v>
      </c>
      <c r="N128" s="386">
        <f>SUM(N125:N127)</f>
        <v>0</v>
      </c>
      <c r="O128" s="387">
        <f>SUM(O125:O127)</f>
        <v>0</v>
      </c>
      <c r="P128" s="327">
        <f>SUM(K128:O128)</f>
        <v>0</v>
      </c>
    </row>
    <row r="129" spans="2:16" ht="15">
      <c r="B129" s="326">
        <v>25</v>
      </c>
      <c r="C129" s="367">
        <f>IF(P132&lt;&gt;0,VLOOKUP($D$7,Info_County_Code,2,FALSE),"")</f>
      </c>
      <c r="D129" s="202"/>
      <c r="E129" s="66"/>
      <c r="F129" s="66"/>
      <c r="G129" s="66"/>
      <c r="H129" s="55"/>
      <c r="I129" s="55"/>
      <c r="J129" s="368">
        <f>IF(NOT(ISBLANK(D129)),$J$29,"")</f>
      </c>
      <c r="K129" s="57"/>
      <c r="L129" s="57"/>
      <c r="M129" s="55"/>
      <c r="N129" s="55"/>
      <c r="O129" s="62"/>
      <c r="P129" s="298">
        <f t="shared" si="48"/>
        <v>0</v>
      </c>
    </row>
    <row r="130" spans="2:16" ht="15">
      <c r="B130" s="326">
        <v>25</v>
      </c>
      <c r="C130" s="369">
        <f aca="true" t="shared" si="79" ref="C130:I130">IF(ISBLANK(C129),"",C129)</f>
      </c>
      <c r="D130" s="370">
        <f t="shared" si="79"/>
      </c>
      <c r="E130" s="371">
        <f t="shared" si="79"/>
      </c>
      <c r="F130" s="371">
        <f t="shared" si="79"/>
      </c>
      <c r="G130" s="371">
        <f t="shared" si="79"/>
      </c>
      <c r="H130" s="372">
        <f t="shared" si="79"/>
      </c>
      <c r="I130" s="372">
        <f t="shared" si="79"/>
      </c>
      <c r="J130" s="325">
        <f>IF(NOT(ISBLANK(D129)),$J$30,"")</f>
      </c>
      <c r="K130" s="57"/>
      <c r="L130" s="57"/>
      <c r="M130" s="55"/>
      <c r="N130" s="55"/>
      <c r="O130" s="62"/>
      <c r="P130" s="298">
        <f t="shared" si="48"/>
        <v>0</v>
      </c>
    </row>
    <row r="131" spans="2:16" ht="15">
      <c r="B131" s="326">
        <v>25</v>
      </c>
      <c r="C131" s="369">
        <f aca="true" t="shared" si="80" ref="C131:I131">IF(ISBLANK(C129),"",C129)</f>
      </c>
      <c r="D131" s="373">
        <f t="shared" si="80"/>
      </c>
      <c r="E131" s="374">
        <f t="shared" si="80"/>
      </c>
      <c r="F131" s="374">
        <f t="shared" si="80"/>
      </c>
      <c r="G131" s="374">
        <f t="shared" si="80"/>
      </c>
      <c r="H131" s="325">
        <f t="shared" si="80"/>
      </c>
      <c r="I131" s="325">
        <f t="shared" si="80"/>
      </c>
      <c r="J131" s="325">
        <f>IF(NOT(ISBLANK(D129)),$J$31,"")</f>
      </c>
      <c r="K131" s="57"/>
      <c r="L131" s="57"/>
      <c r="M131" s="55"/>
      <c r="N131" s="55"/>
      <c r="O131" s="62"/>
      <c r="P131" s="298">
        <f t="shared" si="48"/>
        <v>0</v>
      </c>
    </row>
    <row r="132" spans="2:16" ht="15.75">
      <c r="B132" s="375">
        <v>25</v>
      </c>
      <c r="C132" s="376">
        <f aca="true" t="shared" si="81" ref="C132:I132">IF(ISBLANK(C129),"",C129)</f>
      </c>
      <c r="D132" s="383">
        <f t="shared" si="81"/>
      </c>
      <c r="E132" s="384">
        <f t="shared" si="81"/>
      </c>
      <c r="F132" s="384">
        <f t="shared" si="81"/>
      </c>
      <c r="G132" s="384">
        <f t="shared" si="81"/>
      </c>
      <c r="H132" s="327">
        <f t="shared" si="81"/>
      </c>
      <c r="I132" s="327">
        <f t="shared" si="81"/>
      </c>
      <c r="J132" s="327">
        <f>IF(NOT(ISBLANK(D129)),$J$32,"")</f>
      </c>
      <c r="K132" s="385">
        <f>SUM(K129:K131)</f>
        <v>0</v>
      </c>
      <c r="L132" s="385">
        <f>SUM(L129:L131)</f>
        <v>0</v>
      </c>
      <c r="M132" s="386">
        <f>SUM(M129:M131)</f>
        <v>0</v>
      </c>
      <c r="N132" s="386">
        <f>SUM(N129:N131)</f>
        <v>0</v>
      </c>
      <c r="O132" s="387">
        <f>SUM(O129:O131)</f>
        <v>0</v>
      </c>
      <c r="P132" s="327">
        <f t="shared" si="48"/>
        <v>0</v>
      </c>
    </row>
    <row r="133" ht="15" hidden="1"/>
    <row r="134" ht="15" hidden="1"/>
    <row r="135" ht="15" hidden="1"/>
    <row r="136" ht="15" hidden="1"/>
    <row r="137" ht="15" hidden="1"/>
    <row r="138" ht="15" hidden="1"/>
    <row r="139" ht="15" hidden="1"/>
    <row r="140" ht="15" hidden="1"/>
    <row r="141" ht="15" hidden="1"/>
    <row r="142" ht="15" hidden="1"/>
    <row r="143" ht="15" hidden="1"/>
    <row r="144" ht="15" hidden="1"/>
    <row r="145" ht="15" hidden="1"/>
  </sheetData>
  <sheetProtection sheet="1" objects="1" scenarios="1" formatColumns="0" formatRows="0"/>
  <mergeCells count="15">
    <mergeCell ref="C22:E22"/>
    <mergeCell ref="G12:J12"/>
    <mergeCell ref="D27:J27"/>
    <mergeCell ref="L27:O27"/>
    <mergeCell ref="B1:D1"/>
    <mergeCell ref="C15:E15"/>
    <mergeCell ref="C19:E19"/>
    <mergeCell ref="C20:E20"/>
    <mergeCell ref="C21:E21"/>
    <mergeCell ref="C18:E18"/>
    <mergeCell ref="B7:C7"/>
    <mergeCell ref="C14:E14"/>
    <mergeCell ref="C13:E13"/>
    <mergeCell ref="C16:E16"/>
    <mergeCell ref="C17:E17"/>
  </mergeCells>
  <printOptions/>
  <pageMargins left="0.25" right="0.25" top="0.25875" bottom="0.75" header="0.3" footer="0.3"/>
  <pageSetup fitToHeight="0" fitToWidth="0" horizontalDpi="600" verticalDpi="600" orientation="landscape" paperSize="5" scale="46" r:id="rId1"/>
  <headerFooter>
    <oddFooter>&amp;C&amp;"Arial,Regular"&amp;16Page &amp;P of &amp;N</oddFooter>
  </headerFooter>
  <rowBreaks count="1" manualBreakCount="1">
    <brk id="64" min="1" max="16" man="1"/>
  </rowBreaks>
</worksheet>
</file>

<file path=xl/worksheets/sheet8.xml><?xml version="1.0" encoding="utf-8"?>
<worksheet xmlns="http://schemas.openxmlformats.org/spreadsheetml/2006/main" xmlns:r="http://schemas.openxmlformats.org/officeDocument/2006/relationships">
  <sheetPr codeName="Sheet8"/>
  <dimension ref="A1:V33"/>
  <sheetViews>
    <sheetView showGridLines="0" zoomScale="70" zoomScaleNormal="70" zoomScaleSheetLayoutView="55" zoomScalePageLayoutView="0" workbookViewId="0" topLeftCell="A1">
      <selection activeCell="G7" sqref="G7"/>
    </sheetView>
  </sheetViews>
  <sheetFormatPr defaultColWidth="0" defaultRowHeight="15" zeroHeight="1"/>
  <cols>
    <col min="1" max="1" width="2.7109375" style="46" customWidth="1"/>
    <col min="2" max="2" width="6.7109375" style="398" customWidth="1"/>
    <col min="3" max="3" width="11.8515625" style="398" customWidth="1"/>
    <col min="4" max="4" width="35.140625" style="398" bestFit="1" customWidth="1"/>
    <col min="5" max="5" width="29.7109375" style="398" customWidth="1"/>
    <col min="6" max="6" width="28.7109375" style="398" bestFit="1" customWidth="1"/>
    <col min="7" max="7" width="22.00390625" style="398" customWidth="1"/>
    <col min="8" max="8" width="20.140625" style="398" customWidth="1"/>
    <col min="9" max="9" width="19.140625" style="398" customWidth="1"/>
    <col min="10" max="10" width="17.7109375" style="398" customWidth="1"/>
    <col min="11" max="11" width="17.7109375" style="46" customWidth="1"/>
    <col min="12" max="12" width="17.7109375" style="46" hidden="1" customWidth="1"/>
    <col min="13" max="14" width="22.421875" style="46" hidden="1" customWidth="1"/>
    <col min="15" max="15" width="21.00390625" style="46" hidden="1" customWidth="1"/>
    <col min="16" max="16" width="21.28125" style="46" hidden="1" customWidth="1"/>
    <col min="17" max="17" width="21.140625" style="46" hidden="1" customWidth="1"/>
    <col min="18" max="21" width="22.421875" style="46" hidden="1" customWidth="1"/>
    <col min="22" max="22" width="19.00390625" style="46" hidden="1" customWidth="1"/>
    <col min="23" max="16384" width="9.140625" style="46" hidden="1" customWidth="1"/>
  </cols>
  <sheetData>
    <row r="1" spans="1:22" ht="15">
      <c r="A1" s="284" t="s">
        <v>372</v>
      </c>
      <c r="B1" s="26"/>
      <c r="C1" s="26"/>
      <c r="D1" s="26"/>
      <c r="E1" s="49"/>
      <c r="F1" s="49"/>
      <c r="G1" s="49"/>
      <c r="H1" s="49"/>
      <c r="I1" s="49"/>
      <c r="J1" s="49"/>
      <c r="K1" s="49"/>
      <c r="L1" s="49"/>
      <c r="M1" s="49"/>
      <c r="N1" s="49"/>
      <c r="O1" s="49"/>
      <c r="P1" s="49"/>
      <c r="Q1" s="49"/>
      <c r="R1" s="49"/>
      <c r="S1" s="49"/>
      <c r="T1" s="49"/>
      <c r="U1" s="49"/>
      <c r="V1" s="49"/>
    </row>
    <row r="2" s="160" customFormat="1" ht="18">
      <c r="B2" s="285" t="str">
        <f>'1. Information'!B2</f>
        <v>Version 7/1/2018</v>
      </c>
    </row>
    <row r="3" spans="1:19" ht="18">
      <c r="A3" s="49"/>
      <c r="B3" s="235" t="str">
        <f>'1. Information'!B3</f>
        <v>Annual Mental Health Services Act Revenue and Expenditure Report</v>
      </c>
      <c r="C3" s="49"/>
      <c r="D3" s="1"/>
      <c r="E3" s="1"/>
      <c r="F3" s="1"/>
      <c r="G3" s="1"/>
      <c r="H3" s="1"/>
      <c r="I3" s="1"/>
      <c r="J3" s="49"/>
      <c r="K3" s="49"/>
      <c r="L3" s="49"/>
      <c r="M3" s="49"/>
      <c r="N3" s="49"/>
      <c r="O3" s="49"/>
      <c r="P3" s="49"/>
      <c r="Q3" s="49"/>
      <c r="R3" s="49"/>
      <c r="S3" s="49"/>
    </row>
    <row r="4" spans="1:19" ht="18">
      <c r="A4" s="49"/>
      <c r="B4" s="235" t="str">
        <f>'1. Information'!B4</f>
        <v>Fiscal Year 2017-18</v>
      </c>
      <c r="C4" s="49"/>
      <c r="D4" s="1"/>
      <c r="E4" s="1"/>
      <c r="F4" s="1"/>
      <c r="G4" s="1"/>
      <c r="H4" s="1"/>
      <c r="I4" s="1"/>
      <c r="J4" s="49"/>
      <c r="K4" s="49"/>
      <c r="L4" s="49"/>
      <c r="M4" s="49"/>
      <c r="N4" s="49"/>
      <c r="O4" s="49"/>
      <c r="P4" s="49"/>
      <c r="Q4" s="49"/>
      <c r="R4" s="49"/>
      <c r="S4" s="49"/>
    </row>
    <row r="5" spans="1:19" ht="18">
      <c r="A5" s="49"/>
      <c r="B5" s="220" t="s">
        <v>138</v>
      </c>
      <c r="C5" s="49"/>
      <c r="D5" s="15"/>
      <c r="E5" s="15"/>
      <c r="F5" s="15"/>
      <c r="G5" s="15"/>
      <c r="H5" s="15"/>
      <c r="I5" s="15"/>
      <c r="J5" s="49"/>
      <c r="K5" s="49"/>
      <c r="L5" s="49"/>
      <c r="M5" s="49"/>
      <c r="N5" s="49"/>
      <c r="O5" s="49"/>
      <c r="P5" s="49"/>
      <c r="Q5" s="49"/>
      <c r="R5" s="49"/>
      <c r="S5" s="49"/>
    </row>
    <row r="6" spans="1:19" ht="15.75">
      <c r="A6" s="49"/>
      <c r="B6" s="49"/>
      <c r="C6" s="49"/>
      <c r="D6" s="45"/>
      <c r="E6" s="45"/>
      <c r="F6" s="45"/>
      <c r="G6" s="45"/>
      <c r="H6" s="45"/>
      <c r="I6" s="49"/>
      <c r="J6" s="49"/>
      <c r="K6" s="49"/>
      <c r="L6" s="49"/>
      <c r="M6" s="49"/>
      <c r="N6" s="49"/>
      <c r="O6" s="49"/>
      <c r="P6" s="49"/>
      <c r="Q6" s="49"/>
      <c r="R6" s="49"/>
      <c r="S6" s="49"/>
    </row>
    <row r="7" spans="1:19" ht="15.75">
      <c r="A7" s="49"/>
      <c r="B7" s="49"/>
      <c r="C7" s="246" t="s">
        <v>1</v>
      </c>
      <c r="D7" s="286" t="str">
        <f>IF(ISBLANK('1. Information'!D8),"",'1. Information'!D8)</f>
        <v>San Francisco</v>
      </c>
      <c r="E7" s="46"/>
      <c r="F7" s="248" t="s">
        <v>2</v>
      </c>
      <c r="G7" s="389">
        <f>IF(ISBLANK('1. Information'!D7),"",'1. Information'!D7)</f>
        <v>43465</v>
      </c>
      <c r="H7" s="46"/>
      <c r="I7" s="49"/>
      <c r="J7" s="49"/>
      <c r="K7" s="49"/>
      <c r="L7" s="179"/>
      <c r="M7" s="179"/>
      <c r="N7" s="179"/>
      <c r="O7" s="179"/>
      <c r="P7" s="179"/>
      <c r="Q7" s="179"/>
      <c r="R7" s="179"/>
      <c r="S7" s="179"/>
    </row>
    <row r="8" spans="1:19" ht="15.75">
      <c r="A8" s="49"/>
      <c r="B8" s="49"/>
      <c r="C8" s="3"/>
      <c r="D8" s="3"/>
      <c r="E8" s="12"/>
      <c r="F8" s="3"/>
      <c r="G8" s="36"/>
      <c r="H8" s="50"/>
      <c r="I8" s="49"/>
      <c r="J8" s="49"/>
      <c r="K8" s="49"/>
      <c r="L8" s="179"/>
      <c r="M8" s="179"/>
      <c r="N8" s="179"/>
      <c r="O8" s="179"/>
      <c r="P8" s="179"/>
      <c r="Q8" s="179"/>
      <c r="R8" s="179"/>
      <c r="S8" s="179"/>
    </row>
    <row r="9" spans="1:19" ht="18.75" thickBot="1">
      <c r="A9" s="49"/>
      <c r="B9" s="288" t="s">
        <v>260</v>
      </c>
      <c r="C9" s="20"/>
      <c r="D9" s="20"/>
      <c r="E9" s="29"/>
      <c r="F9" s="20"/>
      <c r="G9" s="37"/>
      <c r="H9" s="54"/>
      <c r="I9" s="52"/>
      <c r="J9" s="52"/>
      <c r="K9" s="52"/>
      <c r="L9" s="179"/>
      <c r="M9" s="179"/>
      <c r="N9" s="179"/>
      <c r="O9" s="179"/>
      <c r="P9" s="179"/>
      <c r="Q9" s="179"/>
      <c r="R9" s="179"/>
      <c r="S9" s="179"/>
    </row>
    <row r="10" spans="1:18" ht="16.5" thickTop="1">
      <c r="A10" s="49"/>
      <c r="B10" s="3"/>
      <c r="C10" s="3"/>
      <c r="D10" s="3"/>
      <c r="E10" s="12"/>
      <c r="F10" s="3"/>
      <c r="G10" s="36"/>
      <c r="H10" s="50"/>
      <c r="I10" s="49"/>
      <c r="J10" s="49"/>
      <c r="K10" s="49"/>
      <c r="L10" s="179"/>
      <c r="M10" s="179"/>
      <c r="N10" s="179"/>
      <c r="O10" s="179"/>
      <c r="P10" s="179"/>
      <c r="Q10" s="179"/>
      <c r="R10" s="179"/>
    </row>
    <row r="11" spans="1:16" ht="15.75">
      <c r="A11" s="49"/>
      <c r="B11" s="49"/>
      <c r="C11" s="3"/>
      <c r="D11" s="3"/>
      <c r="E11" s="175"/>
      <c r="F11" s="289" t="s">
        <v>27</v>
      </c>
      <c r="G11" s="299" t="s">
        <v>29</v>
      </c>
      <c r="H11" s="289" t="s">
        <v>32</v>
      </c>
      <c r="I11" s="359" t="s">
        <v>246</v>
      </c>
      <c r="J11" s="289" t="s">
        <v>247</v>
      </c>
      <c r="K11" s="289" t="s">
        <v>248</v>
      </c>
      <c r="L11" s="179"/>
      <c r="M11" s="179"/>
      <c r="N11" s="179"/>
      <c r="O11" s="49"/>
      <c r="P11" s="49"/>
    </row>
    <row r="12" spans="1:16" ht="15.75">
      <c r="A12" s="49"/>
      <c r="B12" s="49"/>
      <c r="C12" s="49"/>
      <c r="D12" s="3"/>
      <c r="E12" s="12"/>
      <c r="F12" s="304" t="s">
        <v>214</v>
      </c>
      <c r="G12" s="465" t="s">
        <v>213</v>
      </c>
      <c r="H12" s="466"/>
      <c r="I12" s="466"/>
      <c r="J12" s="467"/>
      <c r="K12" s="390"/>
      <c r="L12" s="179"/>
      <c r="M12" s="179"/>
      <c r="N12" s="179"/>
      <c r="O12" s="49"/>
      <c r="P12" s="49"/>
    </row>
    <row r="13" spans="1:15" ht="47.25">
      <c r="A13" s="49"/>
      <c r="B13" s="49"/>
      <c r="C13" s="5"/>
      <c r="D13" s="5"/>
      <c r="E13" s="5"/>
      <c r="F13" s="292" t="s">
        <v>300</v>
      </c>
      <c r="G13" s="293" t="s">
        <v>5</v>
      </c>
      <c r="H13" s="293" t="s">
        <v>6</v>
      </c>
      <c r="I13" s="293" t="s">
        <v>31</v>
      </c>
      <c r="J13" s="293" t="s">
        <v>15</v>
      </c>
      <c r="K13" s="322" t="s">
        <v>278</v>
      </c>
      <c r="L13" s="179"/>
      <c r="M13" s="179"/>
      <c r="N13" s="49"/>
      <c r="O13" s="49"/>
    </row>
    <row r="14" spans="1:15" ht="15.75">
      <c r="A14" s="49"/>
      <c r="B14" s="340">
        <v>1</v>
      </c>
      <c r="C14" s="445" t="s">
        <v>16</v>
      </c>
      <c r="D14" s="445"/>
      <c r="E14" s="441"/>
      <c r="F14" s="167"/>
      <c r="G14" s="67"/>
      <c r="H14" s="67"/>
      <c r="I14" s="67"/>
      <c r="J14" s="67"/>
      <c r="K14" s="296">
        <f>SUM(F14:J14)</f>
        <v>0</v>
      </c>
      <c r="L14" s="179"/>
      <c r="M14" s="179"/>
      <c r="N14" s="49"/>
      <c r="O14" s="49"/>
    </row>
    <row r="15" spans="1:15" ht="15.75">
      <c r="A15" s="49"/>
      <c r="B15" s="340">
        <v>2</v>
      </c>
      <c r="C15" s="445" t="s">
        <v>17</v>
      </c>
      <c r="D15" s="445"/>
      <c r="E15" s="441"/>
      <c r="F15" s="167">
        <v>99353.45999999999</v>
      </c>
      <c r="G15" s="67"/>
      <c r="H15" s="67"/>
      <c r="I15" s="67"/>
      <c r="J15" s="67"/>
      <c r="K15" s="296">
        <f>SUM(F15:J15)</f>
        <v>99353.45999999999</v>
      </c>
      <c r="L15" s="179"/>
      <c r="M15" s="179"/>
      <c r="N15" s="49"/>
      <c r="O15" s="49"/>
    </row>
    <row r="16" spans="1:15" ht="15.75">
      <c r="A16" s="49"/>
      <c r="B16" s="340">
        <v>3</v>
      </c>
      <c r="C16" s="445" t="s">
        <v>238</v>
      </c>
      <c r="D16" s="445"/>
      <c r="E16" s="441"/>
      <c r="F16" s="167">
        <v>75779.25</v>
      </c>
      <c r="G16" s="185"/>
      <c r="H16" s="185"/>
      <c r="I16" s="185"/>
      <c r="J16" s="185"/>
      <c r="K16" s="296">
        <f>SUM(F16:J16)</f>
        <v>75779.25</v>
      </c>
      <c r="L16" s="179"/>
      <c r="M16" s="179"/>
      <c r="N16" s="49"/>
      <c r="O16" s="49"/>
    </row>
    <row r="17" spans="1:15" ht="15.75">
      <c r="A17" s="49"/>
      <c r="B17" s="340">
        <v>4</v>
      </c>
      <c r="C17" s="445" t="s">
        <v>221</v>
      </c>
      <c r="D17" s="445"/>
      <c r="E17" s="441"/>
      <c r="F17" s="188"/>
      <c r="G17" s="325"/>
      <c r="H17" s="325"/>
      <c r="I17" s="325"/>
      <c r="J17" s="325"/>
      <c r="K17" s="296">
        <f>SUM(F17:J17)</f>
        <v>0</v>
      </c>
      <c r="L17" s="179"/>
      <c r="M17" s="179"/>
      <c r="N17" s="49"/>
      <c r="O17" s="49"/>
    </row>
    <row r="18" spans="1:15" ht="15.75">
      <c r="A18" s="49"/>
      <c r="B18" s="340">
        <v>5</v>
      </c>
      <c r="C18" s="445" t="s">
        <v>222</v>
      </c>
      <c r="D18" s="445"/>
      <c r="E18" s="441"/>
      <c r="F18" s="188"/>
      <c r="G18" s="325"/>
      <c r="H18" s="325"/>
      <c r="I18" s="325"/>
      <c r="J18" s="325"/>
      <c r="K18" s="296">
        <f>SUM(F18:J18)</f>
        <v>0</v>
      </c>
      <c r="L18" s="179"/>
      <c r="M18" s="179"/>
      <c r="N18" s="49"/>
      <c r="O18" s="49"/>
    </row>
    <row r="19" spans="1:15" ht="15.75">
      <c r="A19" s="49"/>
      <c r="B19" s="340">
        <v>6</v>
      </c>
      <c r="C19" s="441" t="s">
        <v>174</v>
      </c>
      <c r="D19" s="442"/>
      <c r="E19" s="443"/>
      <c r="F19" s="372">
        <f>SUM(E28:E32)</f>
        <v>2012889.3599999996</v>
      </c>
      <c r="G19" s="391">
        <f>SUM(F28:F32)</f>
        <v>0</v>
      </c>
      <c r="H19" s="372">
        <f>SUM(G28:G32)</f>
        <v>79396</v>
      </c>
      <c r="I19" s="372">
        <f>SUM(H28:H32)</f>
        <v>0</v>
      </c>
      <c r="J19" s="372">
        <f>SUM(I28:I32)</f>
        <v>375957</v>
      </c>
      <c r="K19" s="298">
        <f>SUM(F19:J19)</f>
        <v>2468242.3599999994</v>
      </c>
      <c r="L19" s="179"/>
      <c r="M19" s="179"/>
      <c r="N19" s="49"/>
      <c r="O19" s="49"/>
    </row>
    <row r="20" spans="1:15" ht="30.75" customHeight="1">
      <c r="A20" s="49"/>
      <c r="B20" s="340">
        <v>7</v>
      </c>
      <c r="C20" s="460" t="s">
        <v>220</v>
      </c>
      <c r="D20" s="460"/>
      <c r="E20" s="460"/>
      <c r="F20" s="327">
        <f>SUM(F14:F16,F18:F19)</f>
        <v>2188022.07</v>
      </c>
      <c r="G20" s="300">
        <f>SUM(G14:G16,G18:G19)</f>
        <v>0</v>
      </c>
      <c r="H20" s="279">
        <f>SUM(H14:H16,H18:H19)</f>
        <v>79396</v>
      </c>
      <c r="I20" s="279">
        <f>SUM(I14:I16,I18:I19)</f>
        <v>0</v>
      </c>
      <c r="J20" s="279">
        <f>SUM(J14:J16,J18:J19)</f>
        <v>375957</v>
      </c>
      <c r="K20" s="327">
        <f>SUM(K14:K16,K18:K19)</f>
        <v>2643375.0699999994</v>
      </c>
      <c r="L20" s="179"/>
      <c r="M20" s="179"/>
      <c r="N20" s="49"/>
      <c r="O20" s="49"/>
    </row>
    <row r="21" spans="1:22" ht="15">
      <c r="A21" s="49"/>
      <c r="B21" s="49"/>
      <c r="C21" s="49"/>
      <c r="D21" s="49"/>
      <c r="E21" s="49"/>
      <c r="F21" s="49"/>
      <c r="G21" s="49"/>
      <c r="H21" s="49"/>
      <c r="I21" s="49"/>
      <c r="J21" s="49"/>
      <c r="K21" s="49"/>
      <c r="L21" s="49"/>
      <c r="M21" s="49"/>
      <c r="N21" s="49"/>
      <c r="O21" s="49"/>
      <c r="P21" s="49"/>
      <c r="Q21" s="49"/>
      <c r="R21" s="49"/>
      <c r="S21" s="49"/>
      <c r="T21" s="49"/>
      <c r="U21" s="49"/>
      <c r="V21" s="49"/>
    </row>
    <row r="22" spans="1:22" ht="15.75">
      <c r="A22" s="49"/>
      <c r="B22" s="49"/>
      <c r="C22" s="23"/>
      <c r="D22" s="49"/>
      <c r="E22" s="49"/>
      <c r="F22" s="49"/>
      <c r="G22" s="49"/>
      <c r="H22" s="49"/>
      <c r="I22" s="49"/>
      <c r="J22" s="49"/>
      <c r="K22" s="49"/>
      <c r="L22" s="49"/>
      <c r="M22" s="49"/>
      <c r="N22" s="49"/>
      <c r="O22" s="49"/>
      <c r="P22" s="49"/>
      <c r="Q22" s="49"/>
      <c r="R22" s="49"/>
      <c r="S22" s="49"/>
      <c r="T22" s="49"/>
      <c r="U22" s="49"/>
      <c r="V22" s="49"/>
    </row>
    <row r="23" spans="1:19" ht="18.75" thickBot="1">
      <c r="A23" s="49"/>
      <c r="B23" s="303" t="s">
        <v>261</v>
      </c>
      <c r="C23" s="22"/>
      <c r="D23" s="52"/>
      <c r="E23" s="52"/>
      <c r="F23" s="52"/>
      <c r="G23" s="52"/>
      <c r="H23" s="52"/>
      <c r="I23" s="52"/>
      <c r="J23" s="52"/>
      <c r="K23" s="179"/>
      <c r="L23" s="179"/>
      <c r="M23" s="179"/>
      <c r="N23" s="179"/>
      <c r="O23" s="179"/>
      <c r="P23" s="179"/>
      <c r="Q23" s="179"/>
      <c r="R23" s="179"/>
      <c r="S23" s="179"/>
    </row>
    <row r="24" spans="1:18" ht="16.5" thickTop="1">
      <c r="A24" s="49"/>
      <c r="B24" s="23"/>
      <c r="C24" s="23"/>
      <c r="D24" s="49"/>
      <c r="E24" s="49"/>
      <c r="F24" s="49"/>
      <c r="G24" s="49"/>
      <c r="H24" s="49"/>
      <c r="I24" s="49"/>
      <c r="J24" s="49"/>
      <c r="K24" s="179"/>
      <c r="L24" s="179"/>
      <c r="M24" s="179"/>
      <c r="N24" s="179"/>
      <c r="O24" s="179"/>
      <c r="P24" s="179"/>
      <c r="Q24" s="179"/>
      <c r="R24" s="179"/>
    </row>
    <row r="25" spans="1:18" ht="15.75">
      <c r="A25" s="49"/>
      <c r="B25" s="23"/>
      <c r="C25" s="340" t="s">
        <v>27</v>
      </c>
      <c r="D25" s="289" t="s">
        <v>29</v>
      </c>
      <c r="E25" s="289" t="s">
        <v>32</v>
      </c>
      <c r="F25" s="392" t="s">
        <v>246</v>
      </c>
      <c r="G25" s="289" t="s">
        <v>247</v>
      </c>
      <c r="H25" s="289" t="s">
        <v>248</v>
      </c>
      <c r="I25" s="289" t="s">
        <v>257</v>
      </c>
      <c r="J25" s="289" t="s">
        <v>249</v>
      </c>
      <c r="K25" s="179"/>
      <c r="L25" s="179"/>
      <c r="M25" s="179"/>
      <c r="N25" s="179"/>
      <c r="O25" s="179"/>
      <c r="P25" s="179"/>
      <c r="Q25" s="179"/>
      <c r="R25" s="179"/>
    </row>
    <row r="26" spans="1:18" ht="15.75">
      <c r="A26" s="49"/>
      <c r="B26" s="13"/>
      <c r="C26" s="393"/>
      <c r="D26" s="394" t="s">
        <v>212</v>
      </c>
      <c r="E26" s="394" t="s">
        <v>28</v>
      </c>
      <c r="F26" s="468" t="s">
        <v>30</v>
      </c>
      <c r="G26" s="468"/>
      <c r="H26" s="468"/>
      <c r="I26" s="468"/>
      <c r="J26" s="390"/>
      <c r="K26" s="179"/>
      <c r="L26" s="179"/>
      <c r="M26" s="179"/>
      <c r="N26" s="179"/>
      <c r="O26" s="179"/>
      <c r="P26" s="179"/>
      <c r="Q26" s="179"/>
      <c r="R26" s="179"/>
    </row>
    <row r="27" spans="1:18" ht="47.25">
      <c r="A27" s="49"/>
      <c r="B27" s="331" t="s">
        <v>134</v>
      </c>
      <c r="C27" s="334" t="s">
        <v>11</v>
      </c>
      <c r="D27" s="334" t="s">
        <v>21</v>
      </c>
      <c r="E27" s="292" t="s">
        <v>300</v>
      </c>
      <c r="F27" s="395" t="s">
        <v>5</v>
      </c>
      <c r="G27" s="308" t="s">
        <v>6</v>
      </c>
      <c r="H27" s="308" t="s">
        <v>31</v>
      </c>
      <c r="I27" s="308" t="s">
        <v>15</v>
      </c>
      <c r="J27" s="336" t="s">
        <v>278</v>
      </c>
      <c r="K27" s="179"/>
      <c r="L27" s="179"/>
      <c r="M27" s="179"/>
      <c r="N27" s="179"/>
      <c r="O27" s="179"/>
      <c r="P27" s="179"/>
      <c r="Q27" s="179"/>
      <c r="R27" s="179"/>
    </row>
    <row r="28" spans="1:18" ht="15.75">
      <c r="A28" s="68"/>
      <c r="B28" s="396">
        <v>1</v>
      </c>
      <c r="C28" s="341">
        <f>IF(J28&lt;&gt;0,VLOOKUP($D$7,Info_County_Code,2,FALSE),"")</f>
      </c>
      <c r="D28" s="397" t="s">
        <v>105</v>
      </c>
      <c r="E28" s="56"/>
      <c r="F28" s="57"/>
      <c r="G28" s="56"/>
      <c r="H28" s="56"/>
      <c r="I28" s="173"/>
      <c r="J28" s="325">
        <f>SUM(E28:I28)</f>
        <v>0</v>
      </c>
      <c r="K28" s="179"/>
      <c r="L28" s="179"/>
      <c r="M28" s="179"/>
      <c r="N28" s="179"/>
      <c r="O28" s="179"/>
      <c r="P28" s="179"/>
      <c r="Q28" s="179"/>
      <c r="R28" s="179"/>
    </row>
    <row r="29" spans="1:18" ht="15.75">
      <c r="A29" s="49"/>
      <c r="B29" s="340">
        <v>2</v>
      </c>
      <c r="C29" s="341">
        <f>IF(J29&lt;&gt;0,VLOOKUP($D$7,Info_County_Code,2,FALSE),"")</f>
        <v>38</v>
      </c>
      <c r="D29" s="397" t="s">
        <v>106</v>
      </c>
      <c r="E29" s="55">
        <v>800828.5799999997</v>
      </c>
      <c r="F29" s="215">
        <v>0</v>
      </c>
      <c r="G29" s="167">
        <v>79396</v>
      </c>
      <c r="H29" s="167">
        <v>0</v>
      </c>
      <c r="I29" s="216">
        <v>375957</v>
      </c>
      <c r="J29" s="325">
        <f>SUM(E29:I29)</f>
        <v>1256181.5799999996</v>
      </c>
      <c r="K29" s="179"/>
      <c r="L29" s="179"/>
      <c r="M29" s="179"/>
      <c r="N29" s="179"/>
      <c r="O29" s="179"/>
      <c r="P29" s="179"/>
      <c r="Q29" s="179"/>
      <c r="R29" s="179"/>
    </row>
    <row r="30" spans="1:18" ht="15.75">
      <c r="A30" s="49"/>
      <c r="B30" s="340">
        <v>3</v>
      </c>
      <c r="C30" s="341">
        <f>IF(J30&lt;&gt;0,VLOOKUP($D$7,Info_County_Code,2,FALSE),"")</f>
        <v>38</v>
      </c>
      <c r="D30" s="397" t="s">
        <v>107</v>
      </c>
      <c r="E30" s="55">
        <v>741928.5099999999</v>
      </c>
      <c r="F30" s="215">
        <v>0</v>
      </c>
      <c r="G30" s="167">
        <v>0</v>
      </c>
      <c r="H30" s="167">
        <v>0</v>
      </c>
      <c r="I30" s="216">
        <v>0</v>
      </c>
      <c r="J30" s="325">
        <f>SUM(E30:I30)</f>
        <v>741928.5099999999</v>
      </c>
      <c r="K30" s="179"/>
      <c r="L30" s="179"/>
      <c r="M30" s="179"/>
      <c r="N30" s="179"/>
      <c r="O30" s="179"/>
      <c r="P30" s="179"/>
      <c r="Q30" s="179"/>
      <c r="R30" s="179"/>
    </row>
    <row r="31" spans="1:18" ht="15.75">
      <c r="A31" s="49"/>
      <c r="B31" s="396">
        <v>4</v>
      </c>
      <c r="C31" s="341">
        <f>IF(J31&lt;&gt;0,VLOOKUP($D$7,Info_County_Code,2,FALSE),"")</f>
        <v>38</v>
      </c>
      <c r="D31" s="397" t="s">
        <v>108</v>
      </c>
      <c r="E31" s="55">
        <v>470132.2700000001</v>
      </c>
      <c r="F31" s="215">
        <v>0</v>
      </c>
      <c r="G31" s="167">
        <v>0</v>
      </c>
      <c r="H31" s="167">
        <v>0</v>
      </c>
      <c r="I31" s="216">
        <v>0</v>
      </c>
      <c r="J31" s="325">
        <f>SUM(E31:I31)</f>
        <v>470132.2700000001</v>
      </c>
      <c r="K31" s="179"/>
      <c r="L31" s="179"/>
      <c r="M31" s="179"/>
      <c r="N31" s="179"/>
      <c r="O31" s="179"/>
      <c r="P31" s="179"/>
      <c r="Q31" s="179"/>
      <c r="R31" s="179"/>
    </row>
    <row r="32" spans="1:18" ht="15.75">
      <c r="A32" s="49"/>
      <c r="B32" s="340">
        <v>5</v>
      </c>
      <c r="C32" s="341">
        <f>IF(J32&lt;&gt;0,VLOOKUP($D$7,Info_County_Code,2,FALSE),"")</f>
      </c>
      <c r="D32" s="397" t="s">
        <v>109</v>
      </c>
      <c r="E32" s="55"/>
      <c r="F32" s="57"/>
      <c r="G32" s="55"/>
      <c r="H32" s="55"/>
      <c r="I32" s="174"/>
      <c r="J32" s="325">
        <f>SUM(E32:I32)</f>
        <v>0</v>
      </c>
      <c r="K32" s="179"/>
      <c r="L32" s="179"/>
      <c r="M32" s="179"/>
      <c r="N32" s="179"/>
      <c r="O32" s="179"/>
      <c r="P32" s="179"/>
      <c r="Q32" s="179"/>
      <c r="R32" s="179"/>
    </row>
    <row r="33" spans="13:22" ht="15.75" hidden="1">
      <c r="M33" s="179"/>
      <c r="N33" s="179"/>
      <c r="O33" s="179"/>
      <c r="P33" s="179"/>
      <c r="Q33" s="179"/>
      <c r="R33" s="179"/>
      <c r="S33" s="179"/>
      <c r="T33" s="179"/>
      <c r="U33" s="179"/>
      <c r="V33" s="179"/>
    </row>
    <row r="34" ht="15" hidden="1"/>
    <row r="35" ht="15" hidden="1"/>
    <row r="36" ht="15" hidden="1"/>
    <row r="37" ht="15" hidden="1"/>
    <row r="38" ht="15" hidden="1"/>
    <row r="39" ht="15" hidden="1"/>
    <row r="40" ht="15" hidden="1"/>
    <row r="41" ht="15" hidden="1"/>
    <row r="42" ht="15" hidden="1"/>
    <row r="43" ht="15" hidden="1"/>
    <row r="44" ht="15" hidden="1"/>
    <row r="45" ht="15" hidden="1"/>
  </sheetData>
  <sheetProtection sheet="1" objects="1" scenarios="1" formatColumns="0" formatRows="0"/>
  <mergeCells count="9">
    <mergeCell ref="G12:J12"/>
    <mergeCell ref="F26:I26"/>
    <mergeCell ref="C14:E14"/>
    <mergeCell ref="C17:E17"/>
    <mergeCell ref="C18:E18"/>
    <mergeCell ref="C15:E15"/>
    <mergeCell ref="C16:E16"/>
    <mergeCell ref="C20:E20"/>
    <mergeCell ref="C19:E19"/>
  </mergeCells>
  <printOptions/>
  <pageMargins left="0.25" right="0.25" top="0.75" bottom="0.75" header="0.3" footer="0.3"/>
  <pageSetup fitToHeight="0" fitToWidth="0" horizontalDpi="600" verticalDpi="600" orientation="landscape" paperSize="5" scale="61" r:id="rId1"/>
  <headerFooter>
    <oddFooter>&amp;C&amp;"Arial,Regular"&amp;16Page &amp;P of &amp;N</oddFooter>
  </headerFooter>
  <colBreaks count="1" manualBreakCount="1">
    <brk id="21" min="5" max="32" man="1"/>
  </colBreaks>
</worksheet>
</file>

<file path=xl/worksheets/sheet9.xml><?xml version="1.0" encoding="utf-8"?>
<worksheet xmlns="http://schemas.openxmlformats.org/spreadsheetml/2006/main" xmlns:r="http://schemas.openxmlformats.org/officeDocument/2006/relationships">
  <sheetPr codeName="Sheet9"/>
  <dimension ref="A1:W47"/>
  <sheetViews>
    <sheetView showGridLines="0" zoomScale="70" zoomScaleNormal="70" zoomScaleSheetLayoutView="40" zoomScalePageLayoutView="0" workbookViewId="0" topLeftCell="A1">
      <selection activeCell="D7" sqref="D7"/>
    </sheetView>
  </sheetViews>
  <sheetFormatPr defaultColWidth="0" defaultRowHeight="15" zeroHeight="1"/>
  <cols>
    <col min="1" max="1" width="2.7109375" style="49" customWidth="1"/>
    <col min="2" max="2" width="6.7109375" style="315" customWidth="1"/>
    <col min="3" max="3" width="10.140625" style="315" bestFit="1" customWidth="1"/>
    <col min="4" max="5" width="50.7109375" style="315" customWidth="1"/>
    <col min="6" max="6" width="37.140625" style="315" bestFit="1" customWidth="1"/>
    <col min="7" max="7" width="20.140625" style="315" customWidth="1"/>
    <col min="8" max="8" width="21.57421875" style="315" customWidth="1"/>
    <col min="9" max="9" width="20.28125" style="315" customWidth="1"/>
    <col min="10" max="12" width="17.7109375" style="315" customWidth="1"/>
    <col min="13" max="13" width="17.57421875" style="315" hidden="1" customWidth="1"/>
    <col min="14" max="14" width="18.28125" style="214" hidden="1" customWidth="1"/>
    <col min="15" max="15" width="18.7109375" style="214" hidden="1" customWidth="1"/>
    <col min="16" max="17" width="19.00390625" style="214" hidden="1" customWidth="1"/>
    <col min="18" max="19" width="18.421875" style="214" hidden="1" customWidth="1"/>
    <col min="20" max="21" width="18.28125" style="214" hidden="1" customWidth="1"/>
    <col min="22" max="22" width="18.140625" style="214" hidden="1" customWidth="1"/>
    <col min="23" max="23" width="18.421875" style="214" hidden="1" customWidth="1"/>
    <col min="24" max="24" width="16.57421875" style="315" hidden="1" customWidth="1"/>
    <col min="25" max="26" width="22.140625" style="315" hidden="1" customWidth="1"/>
    <col min="27" max="16384" width="9.140625" style="315" hidden="1" customWidth="1"/>
  </cols>
  <sheetData>
    <row r="1" spans="1:23" s="49" customFormat="1" ht="15.75">
      <c r="A1" s="284" t="s">
        <v>373</v>
      </c>
      <c r="B1" s="462"/>
      <c r="C1" s="462"/>
      <c r="D1" s="462"/>
      <c r="N1" s="179"/>
      <c r="O1" s="179"/>
      <c r="P1" s="179"/>
      <c r="Q1" s="179"/>
      <c r="R1" s="179"/>
      <c r="S1" s="179"/>
      <c r="T1" s="179"/>
      <c r="U1" s="179"/>
      <c r="V1" s="179"/>
      <c r="W1" s="179"/>
    </row>
    <row r="2" s="160" customFormat="1" ht="18">
      <c r="B2" s="285" t="str">
        <f>'1. Information'!B2</f>
        <v>Version 7/1/2018</v>
      </c>
    </row>
    <row r="3" spans="2:23" s="49" customFormat="1" ht="18">
      <c r="B3" s="235" t="str">
        <f>'1. Information'!B3</f>
        <v>Annual Mental Health Services Act Revenue and Expenditure Report</v>
      </c>
      <c r="C3" s="1"/>
      <c r="D3" s="1"/>
      <c r="E3" s="1"/>
      <c r="F3" s="1"/>
      <c r="G3" s="1"/>
      <c r="H3" s="1"/>
      <c r="N3" s="179"/>
      <c r="O3" s="179"/>
      <c r="P3" s="179"/>
      <c r="Q3" s="179"/>
      <c r="R3" s="179"/>
      <c r="S3" s="179"/>
      <c r="T3" s="179"/>
      <c r="U3" s="179"/>
      <c r="V3" s="179"/>
      <c r="W3" s="179"/>
    </row>
    <row r="4" spans="2:23" s="49" customFormat="1" ht="18">
      <c r="B4" s="235" t="str">
        <f>'1. Information'!B4</f>
        <v>Fiscal Year 2017-18</v>
      </c>
      <c r="C4" s="1"/>
      <c r="D4" s="1"/>
      <c r="E4" s="1"/>
      <c r="F4" s="1"/>
      <c r="G4" s="1"/>
      <c r="H4" s="1"/>
      <c r="N4" s="179"/>
      <c r="O4" s="179"/>
      <c r="P4" s="179"/>
      <c r="Q4" s="179"/>
      <c r="R4" s="179"/>
      <c r="S4" s="179"/>
      <c r="T4" s="179"/>
      <c r="U4" s="179"/>
      <c r="V4" s="179"/>
      <c r="W4" s="179"/>
    </row>
    <row r="5" spans="2:23" s="49" customFormat="1" ht="18">
      <c r="B5" s="235" t="s">
        <v>139</v>
      </c>
      <c r="C5" s="1"/>
      <c r="D5" s="1"/>
      <c r="E5" s="1"/>
      <c r="F5" s="1"/>
      <c r="G5" s="1"/>
      <c r="H5" s="1"/>
      <c r="N5" s="179"/>
      <c r="O5" s="179"/>
      <c r="P5" s="179"/>
      <c r="Q5" s="179"/>
      <c r="R5" s="179"/>
      <c r="S5" s="179"/>
      <c r="T5" s="179"/>
      <c r="U5" s="179"/>
      <c r="V5" s="179"/>
      <c r="W5" s="179"/>
    </row>
    <row r="6" spans="4:23" s="49" customFormat="1" ht="15.75">
      <c r="D6" s="28"/>
      <c r="E6" s="28"/>
      <c r="F6" s="28"/>
      <c r="G6" s="28"/>
      <c r="H6" s="28"/>
      <c r="N6" s="179"/>
      <c r="O6" s="179"/>
      <c r="P6" s="179"/>
      <c r="Q6" s="179"/>
      <c r="R6" s="179"/>
      <c r="S6" s="179"/>
      <c r="T6" s="179"/>
      <c r="U6" s="179"/>
      <c r="V6" s="179"/>
      <c r="W6" s="179"/>
    </row>
    <row r="7" spans="2:23" s="49" customFormat="1" ht="15.75">
      <c r="B7" s="217" t="s">
        <v>1</v>
      </c>
      <c r="C7" s="399"/>
      <c r="D7" s="400" t="str">
        <f>IF(ISBLANK('1. Information'!D8),"",'1. Information'!D8)</f>
        <v>San Francisco</v>
      </c>
      <c r="E7" s="12"/>
      <c r="F7" s="281" t="s">
        <v>2</v>
      </c>
      <c r="G7" s="317">
        <f>IF(ISBLANK('1. Information'!D7),"",'1. Information'!D7)</f>
        <v>43465</v>
      </c>
      <c r="N7" s="179"/>
      <c r="O7" s="179"/>
      <c r="P7" s="179"/>
      <c r="Q7" s="179"/>
      <c r="R7" s="179"/>
      <c r="S7" s="179"/>
      <c r="T7" s="179"/>
      <c r="U7" s="179"/>
      <c r="V7" s="179"/>
      <c r="W7" s="179"/>
    </row>
    <row r="8" spans="3:23" s="49" customFormat="1" ht="15.75">
      <c r="C8" s="3"/>
      <c r="E8" s="3"/>
      <c r="F8" s="12"/>
      <c r="G8" s="3"/>
      <c r="H8" s="51"/>
      <c r="M8" s="179"/>
      <c r="N8" s="179"/>
      <c r="O8" s="179"/>
      <c r="P8" s="179"/>
      <c r="Q8" s="179"/>
      <c r="R8" s="179"/>
      <c r="S8" s="179"/>
      <c r="T8" s="179"/>
      <c r="U8" s="179"/>
      <c r="V8" s="179"/>
      <c r="W8" s="179"/>
    </row>
    <row r="9" spans="2:22" s="49" customFormat="1" ht="18.75" thickBot="1">
      <c r="B9" s="288" t="s">
        <v>260</v>
      </c>
      <c r="C9" s="20"/>
      <c r="D9" s="52"/>
      <c r="E9" s="20"/>
      <c r="F9" s="29"/>
      <c r="G9" s="20"/>
      <c r="H9" s="53"/>
      <c r="I9" s="52"/>
      <c r="J9" s="52"/>
      <c r="K9" s="52"/>
      <c r="L9" s="179"/>
      <c r="M9" s="179"/>
      <c r="N9" s="179"/>
      <c r="O9" s="179"/>
      <c r="P9" s="179"/>
      <c r="Q9" s="179"/>
      <c r="R9" s="179"/>
      <c r="S9" s="179"/>
      <c r="T9" s="179"/>
      <c r="U9" s="179"/>
      <c r="V9" s="179"/>
    </row>
    <row r="10" spans="2:21" s="49" customFormat="1" ht="16.5" thickTop="1">
      <c r="B10" s="3"/>
      <c r="C10" s="3"/>
      <c r="E10" s="3"/>
      <c r="F10" s="12"/>
      <c r="G10" s="3"/>
      <c r="H10" s="51"/>
      <c r="L10" s="179"/>
      <c r="M10" s="179"/>
      <c r="N10" s="179"/>
      <c r="O10" s="179"/>
      <c r="P10" s="179"/>
      <c r="Q10" s="179"/>
      <c r="R10" s="179"/>
      <c r="S10" s="179"/>
      <c r="T10" s="179"/>
      <c r="U10" s="179"/>
    </row>
    <row r="11" spans="3:20" s="49" customFormat="1" ht="15.75">
      <c r="C11" s="3"/>
      <c r="E11" s="3"/>
      <c r="F11" s="289" t="s">
        <v>27</v>
      </c>
      <c r="G11" s="254" t="s">
        <v>29</v>
      </c>
      <c r="H11" s="319" t="s">
        <v>32</v>
      </c>
      <c r="I11" s="289" t="s">
        <v>246</v>
      </c>
      <c r="J11" s="289" t="s">
        <v>247</v>
      </c>
      <c r="K11" s="289" t="s">
        <v>248</v>
      </c>
      <c r="L11" s="179"/>
      <c r="M11" s="179"/>
      <c r="N11" s="179"/>
      <c r="O11" s="179"/>
      <c r="P11" s="179"/>
      <c r="Q11" s="179"/>
      <c r="R11" s="179"/>
      <c r="S11" s="179"/>
      <c r="T11" s="179"/>
    </row>
    <row r="12" spans="5:20" s="49" customFormat="1" ht="15.75">
      <c r="E12" s="3"/>
      <c r="F12" s="375" t="s">
        <v>28</v>
      </c>
      <c r="G12" s="447" t="s">
        <v>213</v>
      </c>
      <c r="H12" s="447"/>
      <c r="I12" s="447"/>
      <c r="J12" s="447"/>
      <c r="K12" s="390"/>
      <c r="L12" s="179"/>
      <c r="M12" s="179"/>
      <c r="N12" s="179"/>
      <c r="O12" s="179"/>
      <c r="P12" s="179"/>
      <c r="Q12" s="179"/>
      <c r="R12" s="179"/>
      <c r="S12" s="179"/>
      <c r="T12" s="179"/>
    </row>
    <row r="13" spans="4:20" s="49" customFormat="1" ht="47.25">
      <c r="D13" s="3"/>
      <c r="E13" s="12"/>
      <c r="F13" s="292" t="s">
        <v>300</v>
      </c>
      <c r="G13" s="293" t="s">
        <v>5</v>
      </c>
      <c r="H13" s="293" t="s">
        <v>6</v>
      </c>
      <c r="I13" s="293" t="s">
        <v>31</v>
      </c>
      <c r="J13" s="293" t="s">
        <v>15</v>
      </c>
      <c r="K13" s="336" t="s">
        <v>278</v>
      </c>
      <c r="L13" s="179"/>
      <c r="M13" s="179"/>
      <c r="N13" s="179"/>
      <c r="O13" s="179"/>
      <c r="P13" s="179"/>
      <c r="Q13" s="179"/>
      <c r="R13" s="179"/>
      <c r="S13" s="179"/>
      <c r="T13" s="179"/>
    </row>
    <row r="14" spans="2:20" s="49" customFormat="1" ht="15.75">
      <c r="B14" s="340">
        <v>1</v>
      </c>
      <c r="C14" s="445" t="s">
        <v>189</v>
      </c>
      <c r="D14" s="445"/>
      <c r="E14" s="441"/>
      <c r="F14" s="67"/>
      <c r="G14" s="67"/>
      <c r="H14" s="67"/>
      <c r="I14" s="67"/>
      <c r="J14" s="67"/>
      <c r="K14" s="368">
        <f>SUM(F14:J14)</f>
        <v>0</v>
      </c>
      <c r="L14" s="179"/>
      <c r="M14" s="179"/>
      <c r="N14" s="179"/>
      <c r="O14" s="179"/>
      <c r="P14" s="179"/>
      <c r="Q14" s="179"/>
      <c r="R14" s="179"/>
      <c r="S14" s="179"/>
      <c r="T14" s="179"/>
    </row>
    <row r="15" spans="2:20" s="49" customFormat="1" ht="15.75">
      <c r="B15" s="340">
        <v>2</v>
      </c>
      <c r="C15" s="445" t="s">
        <v>188</v>
      </c>
      <c r="D15" s="445"/>
      <c r="E15" s="441"/>
      <c r="F15" s="67"/>
      <c r="G15" s="67"/>
      <c r="H15" s="67"/>
      <c r="I15" s="67"/>
      <c r="J15" s="67"/>
      <c r="K15" s="368">
        <f aca="true" t="shared" si="0" ref="K15:K20">SUM(F15:J15)</f>
        <v>0</v>
      </c>
      <c r="L15" s="179"/>
      <c r="M15" s="179"/>
      <c r="N15" s="179"/>
      <c r="O15" s="179"/>
      <c r="P15" s="179"/>
      <c r="Q15" s="179"/>
      <c r="R15" s="179"/>
      <c r="S15" s="179"/>
      <c r="T15" s="179"/>
    </row>
    <row r="16" spans="2:20" s="49" customFormat="1" ht="15.75">
      <c r="B16" s="340">
        <v>3</v>
      </c>
      <c r="C16" s="445" t="s">
        <v>123</v>
      </c>
      <c r="D16" s="445"/>
      <c r="E16" s="441"/>
      <c r="F16" s="67"/>
      <c r="G16" s="67"/>
      <c r="H16" s="67"/>
      <c r="I16" s="67"/>
      <c r="J16" s="67"/>
      <c r="K16" s="368">
        <f t="shared" si="0"/>
        <v>0</v>
      </c>
      <c r="L16" s="179"/>
      <c r="M16" s="179"/>
      <c r="N16" s="179"/>
      <c r="O16" s="179"/>
      <c r="P16" s="179"/>
      <c r="Q16" s="179"/>
      <c r="R16" s="179"/>
      <c r="S16" s="179"/>
      <c r="T16" s="179"/>
    </row>
    <row r="17" spans="2:20" s="49" customFormat="1" ht="15.75">
      <c r="B17" s="340">
        <v>4</v>
      </c>
      <c r="C17" s="445" t="s">
        <v>122</v>
      </c>
      <c r="D17" s="445"/>
      <c r="E17" s="441"/>
      <c r="F17" s="67"/>
      <c r="G17" s="67"/>
      <c r="H17" s="67"/>
      <c r="I17" s="67"/>
      <c r="J17" s="67"/>
      <c r="K17" s="368">
        <f t="shared" si="0"/>
        <v>0</v>
      </c>
      <c r="L17" s="179"/>
      <c r="M17" s="179"/>
      <c r="N17" s="179"/>
      <c r="O17" s="179"/>
      <c r="P17" s="179"/>
      <c r="Q17" s="179"/>
      <c r="R17" s="179"/>
      <c r="S17" s="179"/>
      <c r="T17" s="179"/>
    </row>
    <row r="18" spans="2:20" s="49" customFormat="1" ht="15.75">
      <c r="B18" s="340">
        <v>5</v>
      </c>
      <c r="C18" s="445" t="s">
        <v>239</v>
      </c>
      <c r="D18" s="445"/>
      <c r="E18" s="441"/>
      <c r="F18" s="67"/>
      <c r="G18" s="67"/>
      <c r="H18" s="67"/>
      <c r="I18" s="67"/>
      <c r="J18" s="67"/>
      <c r="K18" s="368">
        <f t="shared" si="0"/>
        <v>0</v>
      </c>
      <c r="L18" s="179"/>
      <c r="M18" s="179"/>
      <c r="N18" s="179"/>
      <c r="O18" s="179"/>
      <c r="P18" s="179"/>
      <c r="Q18" s="179"/>
      <c r="R18" s="179"/>
      <c r="S18" s="179"/>
      <c r="T18" s="179"/>
    </row>
    <row r="19" spans="2:20" s="49" customFormat="1" ht="15.75">
      <c r="B19" s="340">
        <v>6</v>
      </c>
      <c r="C19" s="445" t="s">
        <v>240</v>
      </c>
      <c r="D19" s="445"/>
      <c r="E19" s="441"/>
      <c r="F19" s="67">
        <v>136327.72</v>
      </c>
      <c r="G19" s="67"/>
      <c r="H19" s="67"/>
      <c r="I19" s="67"/>
      <c r="J19" s="185"/>
      <c r="K19" s="368">
        <f t="shared" si="0"/>
        <v>136327.72</v>
      </c>
      <c r="L19" s="179"/>
      <c r="M19" s="179"/>
      <c r="N19" s="179"/>
      <c r="O19" s="179"/>
      <c r="P19" s="179"/>
      <c r="Q19" s="179"/>
      <c r="R19" s="179"/>
      <c r="S19" s="179"/>
      <c r="T19" s="179"/>
    </row>
    <row r="20" spans="2:20" s="49" customFormat="1" ht="15.75">
      <c r="B20" s="340">
        <v>7</v>
      </c>
      <c r="C20" s="445" t="s">
        <v>175</v>
      </c>
      <c r="D20" s="445"/>
      <c r="E20" s="445"/>
      <c r="F20" s="391">
        <f>SUM(G28:G47)</f>
        <v>1381213.614</v>
      </c>
      <c r="G20" s="391">
        <f>SUM(H28:H47)</f>
        <v>0</v>
      </c>
      <c r="H20" s="372">
        <f>SUM(I28:I47)</f>
        <v>0</v>
      </c>
      <c r="I20" s="372">
        <f>SUM(J28:J47)</f>
        <v>0</v>
      </c>
      <c r="J20" s="325">
        <f>SUM(K28:K47)</f>
        <v>0</v>
      </c>
      <c r="K20" s="368">
        <f t="shared" si="0"/>
        <v>1381213.614</v>
      </c>
      <c r="L20" s="179"/>
      <c r="M20" s="179"/>
      <c r="N20" s="179"/>
      <c r="O20" s="179"/>
      <c r="P20" s="179"/>
      <c r="Q20" s="179"/>
      <c r="R20" s="179"/>
      <c r="S20" s="179"/>
      <c r="T20" s="179"/>
    </row>
    <row r="21" spans="2:20" s="49" customFormat="1" ht="30.75" customHeight="1">
      <c r="B21" s="340">
        <v>8</v>
      </c>
      <c r="C21" s="469" t="s">
        <v>20</v>
      </c>
      <c r="D21" s="469"/>
      <c r="E21" s="469"/>
      <c r="F21" s="300">
        <f>SUM(F14:F20)</f>
        <v>1517541.334</v>
      </c>
      <c r="G21" s="300">
        <f>SUM(G14:G20)</f>
        <v>0</v>
      </c>
      <c r="H21" s="279">
        <f>SUM(H14:H20)</f>
        <v>0</v>
      </c>
      <c r="I21" s="279">
        <f>SUM(I14:I20)</f>
        <v>0</v>
      </c>
      <c r="J21" s="301">
        <f>SUM(J14:J20)</f>
        <v>0</v>
      </c>
      <c r="K21" s="279">
        <f>SUM(K14:K20)</f>
        <v>1517541.334</v>
      </c>
      <c r="L21" s="179"/>
      <c r="M21" s="179"/>
      <c r="N21" s="179"/>
      <c r="O21" s="179"/>
      <c r="P21" s="179"/>
      <c r="Q21" s="179"/>
      <c r="R21" s="179"/>
      <c r="S21" s="179"/>
      <c r="T21" s="179"/>
    </row>
    <row r="22" spans="14:23" s="46" customFormat="1" ht="15.75">
      <c r="N22" s="179"/>
      <c r="O22" s="179"/>
      <c r="P22" s="179"/>
      <c r="Q22" s="179"/>
      <c r="R22" s="179"/>
      <c r="S22" s="179"/>
      <c r="T22" s="179"/>
      <c r="U22" s="179"/>
      <c r="V22" s="179"/>
      <c r="W22" s="179"/>
    </row>
    <row r="23" spans="2:22" s="49" customFormat="1" ht="18.75" thickBot="1">
      <c r="B23" s="401" t="s">
        <v>261</v>
      </c>
      <c r="C23" s="52"/>
      <c r="D23" s="38"/>
      <c r="E23" s="38"/>
      <c r="F23" s="38"/>
      <c r="G23" s="38"/>
      <c r="H23" s="54"/>
      <c r="I23" s="52"/>
      <c r="J23" s="52"/>
      <c r="K23" s="52"/>
      <c r="L23" s="52"/>
      <c r="M23" s="179"/>
      <c r="N23" s="179"/>
      <c r="O23" s="179"/>
      <c r="P23" s="179"/>
      <c r="Q23" s="179"/>
      <c r="R23" s="179"/>
      <c r="S23" s="179"/>
      <c r="T23" s="179"/>
      <c r="U23" s="179"/>
      <c r="V23" s="179"/>
    </row>
    <row r="24" spans="3:22" s="49" customFormat="1" ht="16.5" thickTop="1">
      <c r="C24" s="5"/>
      <c r="D24" s="5"/>
      <c r="E24" s="5"/>
      <c r="F24" s="5"/>
      <c r="G24" s="50"/>
      <c r="M24" s="179"/>
      <c r="N24" s="179"/>
      <c r="O24" s="179"/>
      <c r="P24" s="179"/>
      <c r="Q24" s="179"/>
      <c r="R24" s="179"/>
      <c r="S24" s="179"/>
      <c r="T24" s="179"/>
      <c r="U24" s="179"/>
      <c r="V24" s="179"/>
    </row>
    <row r="25" spans="3:20" s="49" customFormat="1" ht="15.75">
      <c r="C25" s="254" t="s">
        <v>27</v>
      </c>
      <c r="D25" s="254" t="s">
        <v>29</v>
      </c>
      <c r="E25" s="254" t="s">
        <v>32</v>
      </c>
      <c r="F25" s="254" t="s">
        <v>246</v>
      </c>
      <c r="G25" s="289" t="s">
        <v>247</v>
      </c>
      <c r="H25" s="340" t="s">
        <v>248</v>
      </c>
      <c r="I25" s="340" t="s">
        <v>257</v>
      </c>
      <c r="J25" s="340" t="s">
        <v>249</v>
      </c>
      <c r="K25" s="340" t="s">
        <v>250</v>
      </c>
      <c r="L25" s="289" t="s">
        <v>251</v>
      </c>
      <c r="M25" s="179"/>
      <c r="N25" s="179"/>
      <c r="O25" s="179"/>
      <c r="P25" s="179"/>
      <c r="Q25" s="179"/>
      <c r="R25" s="179"/>
      <c r="S25" s="179"/>
      <c r="T25" s="179"/>
    </row>
    <row r="26" spans="2:20" s="49" customFormat="1" ht="15" customHeight="1">
      <c r="B26" s="13"/>
      <c r="C26" s="402"/>
      <c r="D26" s="468" t="s">
        <v>224</v>
      </c>
      <c r="E26" s="468"/>
      <c r="F26" s="468"/>
      <c r="G26" s="304" t="s">
        <v>214</v>
      </c>
      <c r="H26" s="468" t="s">
        <v>213</v>
      </c>
      <c r="I26" s="468"/>
      <c r="J26" s="468"/>
      <c r="K26" s="468"/>
      <c r="L26" s="390"/>
      <c r="M26" s="179"/>
      <c r="N26" s="179"/>
      <c r="O26" s="179"/>
      <c r="P26" s="179"/>
      <c r="Q26" s="179"/>
      <c r="R26" s="179"/>
      <c r="S26" s="179"/>
      <c r="T26" s="179"/>
    </row>
    <row r="27" spans="2:23" ht="69" customHeight="1">
      <c r="B27" s="334" t="s">
        <v>134</v>
      </c>
      <c r="C27" s="334" t="s">
        <v>11</v>
      </c>
      <c r="D27" s="333" t="s">
        <v>12</v>
      </c>
      <c r="E27" s="333" t="s">
        <v>18</v>
      </c>
      <c r="F27" s="333" t="s">
        <v>19</v>
      </c>
      <c r="G27" s="292" t="s">
        <v>287</v>
      </c>
      <c r="H27" s="395" t="s">
        <v>5</v>
      </c>
      <c r="I27" s="308" t="s">
        <v>6</v>
      </c>
      <c r="J27" s="308" t="s">
        <v>31</v>
      </c>
      <c r="K27" s="308" t="s">
        <v>15</v>
      </c>
      <c r="L27" s="336" t="s">
        <v>278</v>
      </c>
      <c r="M27" s="214"/>
      <c r="U27" s="315"/>
      <c r="V27" s="315"/>
      <c r="W27" s="315"/>
    </row>
    <row r="28" spans="2:23" ht="15.75">
      <c r="B28" s="340">
        <v>1</v>
      </c>
      <c r="C28" s="341">
        <f aca="true" t="shared" si="1" ref="C28:C47">IF(L28&lt;&gt;0,VLOOKUP($D$7,Info_County_Code,2,FALSE),"")</f>
        <v>38</v>
      </c>
      <c r="D28" s="73" t="s">
        <v>356</v>
      </c>
      <c r="E28" s="73"/>
      <c r="F28" s="58" t="s">
        <v>177</v>
      </c>
      <c r="G28" s="56">
        <v>122624.4</v>
      </c>
      <c r="H28" s="215">
        <v>0</v>
      </c>
      <c r="I28" s="167">
        <v>0</v>
      </c>
      <c r="J28" s="167">
        <v>0</v>
      </c>
      <c r="K28" s="216">
        <v>0</v>
      </c>
      <c r="L28" s="403">
        <f>SUM(G28:K28)</f>
        <v>122624.4</v>
      </c>
      <c r="M28" s="214"/>
      <c r="U28" s="315"/>
      <c r="V28" s="315"/>
      <c r="W28" s="315"/>
    </row>
    <row r="29" spans="2:23" ht="15.75">
      <c r="B29" s="340">
        <v>2</v>
      </c>
      <c r="C29" s="341">
        <f t="shared" si="1"/>
        <v>38</v>
      </c>
      <c r="D29" s="202" t="s">
        <v>357</v>
      </c>
      <c r="E29" s="202"/>
      <c r="F29" s="58" t="s">
        <v>177</v>
      </c>
      <c r="G29" s="56">
        <v>1099281.58</v>
      </c>
      <c r="H29" s="215">
        <v>0</v>
      </c>
      <c r="I29" s="167">
        <v>0</v>
      </c>
      <c r="J29" s="167">
        <v>0</v>
      </c>
      <c r="K29" s="216">
        <v>0</v>
      </c>
      <c r="L29" s="403">
        <f aca="true" t="shared" si="2" ref="L29:L47">SUM(G29:K29)</f>
        <v>1099281.58</v>
      </c>
      <c r="M29" s="214"/>
      <c r="U29" s="315"/>
      <c r="V29" s="315"/>
      <c r="W29" s="315"/>
    </row>
    <row r="30" spans="2:23" ht="15.75">
      <c r="B30" s="340">
        <v>3</v>
      </c>
      <c r="C30" s="341">
        <f t="shared" si="1"/>
        <v>38</v>
      </c>
      <c r="D30" s="202" t="s">
        <v>358</v>
      </c>
      <c r="E30" s="202"/>
      <c r="F30" s="58" t="s">
        <v>177</v>
      </c>
      <c r="G30" s="56">
        <v>159307.634</v>
      </c>
      <c r="H30" s="215">
        <v>0</v>
      </c>
      <c r="I30" s="167">
        <v>0</v>
      </c>
      <c r="J30" s="167">
        <v>0</v>
      </c>
      <c r="K30" s="216">
        <v>0</v>
      </c>
      <c r="L30" s="403">
        <f t="shared" si="2"/>
        <v>159307.634</v>
      </c>
      <c r="M30" s="214"/>
      <c r="U30" s="315"/>
      <c r="V30" s="315"/>
      <c r="W30" s="315"/>
    </row>
    <row r="31" spans="2:23" ht="15.75">
      <c r="B31" s="340">
        <v>4</v>
      </c>
      <c r="C31" s="341">
        <f t="shared" si="1"/>
      </c>
      <c r="D31" s="201"/>
      <c r="E31" s="202"/>
      <c r="F31" s="58"/>
      <c r="G31" s="56"/>
      <c r="H31" s="59"/>
      <c r="I31" s="57"/>
      <c r="J31" s="55"/>
      <c r="K31" s="174"/>
      <c r="L31" s="403">
        <f t="shared" si="2"/>
        <v>0</v>
      </c>
      <c r="M31" s="214"/>
      <c r="U31" s="315"/>
      <c r="V31" s="315"/>
      <c r="W31" s="315"/>
    </row>
    <row r="32" spans="2:23" ht="15.75">
      <c r="B32" s="340">
        <v>5</v>
      </c>
      <c r="C32" s="341">
        <f t="shared" si="1"/>
      </c>
      <c r="D32" s="202"/>
      <c r="E32" s="202"/>
      <c r="F32" s="58"/>
      <c r="G32" s="56"/>
      <c r="H32" s="59"/>
      <c r="I32" s="57"/>
      <c r="J32" s="55"/>
      <c r="K32" s="174"/>
      <c r="L32" s="403">
        <f t="shared" si="2"/>
        <v>0</v>
      </c>
      <c r="M32" s="214"/>
      <c r="U32" s="315"/>
      <c r="V32" s="315"/>
      <c r="W32" s="315"/>
    </row>
    <row r="33" spans="2:23" ht="15.75">
      <c r="B33" s="340">
        <v>6</v>
      </c>
      <c r="C33" s="341">
        <f t="shared" si="1"/>
      </c>
      <c r="D33" s="202"/>
      <c r="E33" s="202"/>
      <c r="F33" s="58"/>
      <c r="G33" s="56"/>
      <c r="H33" s="59"/>
      <c r="I33" s="57"/>
      <c r="J33" s="55"/>
      <c r="K33" s="174"/>
      <c r="L33" s="403">
        <f t="shared" si="2"/>
        <v>0</v>
      </c>
      <c r="M33" s="214"/>
      <c r="U33" s="315"/>
      <c r="V33" s="315"/>
      <c r="W33" s="315"/>
    </row>
    <row r="34" spans="2:23" ht="15.75">
      <c r="B34" s="340">
        <v>7</v>
      </c>
      <c r="C34" s="341">
        <f t="shared" si="1"/>
      </c>
      <c r="D34" s="202"/>
      <c r="E34" s="202"/>
      <c r="F34" s="58"/>
      <c r="G34" s="56"/>
      <c r="H34" s="59"/>
      <c r="I34" s="57"/>
      <c r="J34" s="55"/>
      <c r="K34" s="174"/>
      <c r="L34" s="403">
        <f t="shared" si="2"/>
        <v>0</v>
      </c>
      <c r="M34" s="214"/>
      <c r="U34" s="315"/>
      <c r="V34" s="315"/>
      <c r="W34" s="315"/>
    </row>
    <row r="35" spans="2:23" ht="15.75">
      <c r="B35" s="340">
        <v>8</v>
      </c>
      <c r="C35" s="341">
        <f t="shared" si="1"/>
      </c>
      <c r="D35" s="73"/>
      <c r="E35" s="73"/>
      <c r="F35" s="58"/>
      <c r="G35" s="56"/>
      <c r="H35" s="59"/>
      <c r="I35" s="57"/>
      <c r="J35" s="55"/>
      <c r="K35" s="174"/>
      <c r="L35" s="403">
        <f t="shared" si="2"/>
        <v>0</v>
      </c>
      <c r="M35" s="214"/>
      <c r="U35" s="315"/>
      <c r="V35" s="315"/>
      <c r="W35" s="315"/>
    </row>
    <row r="36" spans="2:23" ht="15.75">
      <c r="B36" s="340">
        <v>9</v>
      </c>
      <c r="C36" s="341">
        <f t="shared" si="1"/>
      </c>
      <c r="D36" s="73"/>
      <c r="E36" s="73"/>
      <c r="F36" s="58"/>
      <c r="G36" s="56"/>
      <c r="H36" s="59"/>
      <c r="I36" s="57"/>
      <c r="J36" s="55"/>
      <c r="K36" s="174"/>
      <c r="L36" s="403">
        <f t="shared" si="2"/>
        <v>0</v>
      </c>
      <c r="M36" s="214"/>
      <c r="U36" s="315"/>
      <c r="V36" s="315"/>
      <c r="W36" s="315"/>
    </row>
    <row r="37" spans="2:23" ht="15.75">
      <c r="B37" s="340">
        <v>10</v>
      </c>
      <c r="C37" s="341">
        <f t="shared" si="1"/>
      </c>
      <c r="D37" s="73"/>
      <c r="E37" s="73"/>
      <c r="F37" s="58"/>
      <c r="G37" s="56"/>
      <c r="H37" s="59"/>
      <c r="I37" s="57"/>
      <c r="J37" s="55"/>
      <c r="K37" s="174"/>
      <c r="L37" s="403">
        <f t="shared" si="2"/>
        <v>0</v>
      </c>
      <c r="M37" s="214"/>
      <c r="U37" s="315"/>
      <c r="V37" s="315"/>
      <c r="W37" s="315"/>
    </row>
    <row r="38" spans="2:23" ht="15.75">
      <c r="B38" s="340">
        <v>11</v>
      </c>
      <c r="C38" s="341">
        <f t="shared" si="1"/>
      </c>
      <c r="D38" s="73"/>
      <c r="E38" s="73"/>
      <c r="F38" s="58"/>
      <c r="G38" s="56"/>
      <c r="H38" s="59"/>
      <c r="I38" s="57"/>
      <c r="J38" s="55"/>
      <c r="K38" s="174"/>
      <c r="L38" s="403">
        <f t="shared" si="2"/>
        <v>0</v>
      </c>
      <c r="M38" s="214"/>
      <c r="U38" s="315"/>
      <c r="V38" s="315"/>
      <c r="W38" s="315"/>
    </row>
    <row r="39" spans="2:23" ht="15.75">
      <c r="B39" s="340">
        <v>12</v>
      </c>
      <c r="C39" s="341">
        <f t="shared" si="1"/>
      </c>
      <c r="D39" s="73"/>
      <c r="E39" s="73"/>
      <c r="F39" s="58"/>
      <c r="G39" s="56"/>
      <c r="H39" s="59"/>
      <c r="I39" s="57"/>
      <c r="J39" s="55"/>
      <c r="K39" s="174"/>
      <c r="L39" s="403">
        <f t="shared" si="2"/>
        <v>0</v>
      </c>
      <c r="M39" s="214"/>
      <c r="U39" s="315"/>
      <c r="V39" s="315"/>
      <c r="W39" s="315"/>
    </row>
    <row r="40" spans="2:23" ht="15.75">
      <c r="B40" s="340">
        <v>13</v>
      </c>
      <c r="C40" s="341">
        <f t="shared" si="1"/>
      </c>
      <c r="D40" s="73"/>
      <c r="E40" s="73"/>
      <c r="F40" s="58"/>
      <c r="G40" s="56"/>
      <c r="H40" s="59"/>
      <c r="I40" s="57"/>
      <c r="J40" s="55"/>
      <c r="K40" s="174"/>
      <c r="L40" s="403">
        <f t="shared" si="2"/>
        <v>0</v>
      </c>
      <c r="M40" s="214"/>
      <c r="U40" s="315"/>
      <c r="V40" s="315"/>
      <c r="W40" s="315"/>
    </row>
    <row r="41" spans="2:23" ht="15.75">
      <c r="B41" s="340">
        <v>14</v>
      </c>
      <c r="C41" s="341">
        <f t="shared" si="1"/>
      </c>
      <c r="D41" s="73"/>
      <c r="E41" s="73"/>
      <c r="F41" s="58"/>
      <c r="G41" s="56"/>
      <c r="H41" s="59"/>
      <c r="I41" s="57"/>
      <c r="J41" s="55"/>
      <c r="K41" s="174"/>
      <c r="L41" s="403">
        <f t="shared" si="2"/>
        <v>0</v>
      </c>
      <c r="M41" s="214"/>
      <c r="U41" s="315"/>
      <c r="V41" s="315"/>
      <c r="W41" s="315"/>
    </row>
    <row r="42" spans="2:23" ht="15.75">
      <c r="B42" s="340">
        <v>15</v>
      </c>
      <c r="C42" s="341">
        <f t="shared" si="1"/>
      </c>
      <c r="D42" s="73"/>
      <c r="E42" s="73"/>
      <c r="F42" s="58"/>
      <c r="G42" s="56"/>
      <c r="H42" s="59"/>
      <c r="I42" s="57"/>
      <c r="J42" s="55"/>
      <c r="K42" s="174"/>
      <c r="L42" s="403">
        <f t="shared" si="2"/>
        <v>0</v>
      </c>
      <c r="M42" s="214"/>
      <c r="U42" s="315"/>
      <c r="V42" s="315"/>
      <c r="W42" s="315"/>
    </row>
    <row r="43" spans="2:23" ht="15.75">
      <c r="B43" s="340">
        <v>16</v>
      </c>
      <c r="C43" s="341">
        <f t="shared" si="1"/>
      </c>
      <c r="D43" s="73"/>
      <c r="E43" s="73"/>
      <c r="F43" s="58"/>
      <c r="G43" s="56"/>
      <c r="H43" s="59"/>
      <c r="I43" s="57"/>
      <c r="J43" s="55"/>
      <c r="K43" s="174"/>
      <c r="L43" s="403">
        <f t="shared" si="2"/>
        <v>0</v>
      </c>
      <c r="M43" s="214"/>
      <c r="U43" s="315"/>
      <c r="V43" s="315"/>
      <c r="W43" s="315"/>
    </row>
    <row r="44" spans="2:23" ht="15.75">
      <c r="B44" s="340">
        <v>17</v>
      </c>
      <c r="C44" s="341">
        <f t="shared" si="1"/>
      </c>
      <c r="D44" s="73"/>
      <c r="E44" s="73"/>
      <c r="F44" s="58"/>
      <c r="G44" s="56"/>
      <c r="H44" s="59"/>
      <c r="I44" s="57"/>
      <c r="J44" s="55"/>
      <c r="K44" s="174"/>
      <c r="L44" s="403">
        <f t="shared" si="2"/>
        <v>0</v>
      </c>
      <c r="M44" s="214"/>
      <c r="U44" s="315"/>
      <c r="V44" s="315"/>
      <c r="W44" s="315"/>
    </row>
    <row r="45" spans="2:23" ht="15.75">
      <c r="B45" s="340">
        <v>18</v>
      </c>
      <c r="C45" s="341">
        <f t="shared" si="1"/>
      </c>
      <c r="D45" s="73"/>
      <c r="E45" s="73"/>
      <c r="F45" s="58"/>
      <c r="G45" s="56"/>
      <c r="H45" s="59"/>
      <c r="I45" s="57"/>
      <c r="J45" s="55"/>
      <c r="K45" s="174"/>
      <c r="L45" s="403">
        <f t="shared" si="2"/>
        <v>0</v>
      </c>
      <c r="M45" s="214"/>
      <c r="U45" s="315"/>
      <c r="V45" s="315"/>
      <c r="W45" s="315"/>
    </row>
    <row r="46" spans="2:23" ht="15.75">
      <c r="B46" s="340">
        <v>19</v>
      </c>
      <c r="C46" s="341">
        <f t="shared" si="1"/>
      </c>
      <c r="D46" s="73"/>
      <c r="E46" s="73"/>
      <c r="F46" s="58"/>
      <c r="G46" s="56"/>
      <c r="H46" s="59"/>
      <c r="I46" s="57"/>
      <c r="J46" s="55"/>
      <c r="K46" s="174"/>
      <c r="L46" s="403">
        <f t="shared" si="2"/>
        <v>0</v>
      </c>
      <c r="M46" s="214"/>
      <c r="U46" s="315"/>
      <c r="V46" s="315"/>
      <c r="W46" s="315"/>
    </row>
    <row r="47" spans="2:23" ht="15.75">
      <c r="B47" s="340">
        <v>20</v>
      </c>
      <c r="C47" s="341">
        <f t="shared" si="1"/>
      </c>
      <c r="D47" s="73"/>
      <c r="E47" s="73"/>
      <c r="F47" s="58"/>
      <c r="G47" s="56"/>
      <c r="H47" s="59"/>
      <c r="I47" s="57"/>
      <c r="J47" s="55"/>
      <c r="K47" s="174"/>
      <c r="L47" s="403">
        <f t="shared" si="2"/>
        <v>0</v>
      </c>
      <c r="M47" s="214"/>
      <c r="U47" s="315"/>
      <c r="V47" s="315"/>
      <c r="W47" s="315"/>
    </row>
    <row r="48" ht="15.75" hidden="1"/>
    <row r="49" ht="15.75" hidden="1"/>
    <row r="50" ht="15.75" hidden="1"/>
    <row r="51" ht="15.75" hidden="1"/>
    <row r="52" ht="15.75" hidden="1"/>
    <row r="53" ht="15.75" hidden="1"/>
    <row r="54" ht="15.75" hidden="1"/>
    <row r="55" ht="15.75" hidden="1"/>
  </sheetData>
  <sheetProtection sheet="1" objects="1" scenarios="1" formatColumns="0" formatRows="0"/>
  <mergeCells count="12">
    <mergeCell ref="H26:K26"/>
    <mergeCell ref="G12:J12"/>
    <mergeCell ref="B1:D1"/>
    <mergeCell ref="C14:E14"/>
    <mergeCell ref="C16:E16"/>
    <mergeCell ref="C17:E17"/>
    <mergeCell ref="C18:E18"/>
    <mergeCell ref="C21:E21"/>
    <mergeCell ref="C20:E20"/>
    <mergeCell ref="C15:E15"/>
    <mergeCell ref="C19:E19"/>
    <mergeCell ref="D26:F26"/>
  </mergeCells>
  <dataValidations count="1">
    <dataValidation type="list" allowBlank="1" showInputMessage="1" showErrorMessage="1" sqref="F28:F47">
      <formula1>CFTN_Project_Type</formula1>
    </dataValidation>
  </dataValidations>
  <printOptions/>
  <pageMargins left="0.25" right="0.25" top="0.48291666666666666" bottom="0.75" header="0.3" footer="0.3"/>
  <pageSetup fitToHeight="0" fitToWidth="0" horizontalDpi="600" verticalDpi="600" orientation="landscape" paperSize="5" scale="63" r:id="rId1"/>
  <headerFooter>
    <oddFooter>&amp;C&amp;"Arial,Regular"&amp;16Page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1</DocSecurity>
  <Template/>
  <Manager/>
  <Company>DHCS &amp; CDPH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SanFrancisco-FY17-18</dc:title>
  <dc:subject/>
  <dc:creator>Donna Ures</dc:creator>
  <cp:keywords>MHSA, RER</cp:keywords>
  <dc:description/>
  <cp:lastModifiedBy>Saelee, Katie (CSD)@DHCS</cp:lastModifiedBy>
  <cp:lastPrinted>2018-07-27T17:17:03Z</cp:lastPrinted>
  <dcterms:created xsi:type="dcterms:W3CDTF">2017-07-05T19:48:18Z</dcterms:created>
  <dcterms:modified xsi:type="dcterms:W3CDTF">2020-02-07T17:15:07Z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DHCSDOC-1797567310-2276</vt:lpwstr>
  </property>
  <property fmtid="{D5CDD505-2E9C-101B-9397-08002B2CF9AE}" pid="3" name="_dlc_DocIdItemGuid">
    <vt:lpwstr>a304e2c8-cde5-4718-a09e-2f34a960b1d5</vt:lpwstr>
  </property>
  <property fmtid="{D5CDD505-2E9C-101B-9397-08002B2CF9AE}" pid="4" name="_dlc_DocIdUrl">
    <vt:lpwstr>https://dhcscagovauthoring/_layouts/15/DocIdRedir.aspx?ID=DHCSDOC-1797567310-2276, DHCSDOC-1797567310-2276</vt:lpwstr>
  </property>
  <property fmtid="{D5CDD505-2E9C-101B-9397-08002B2CF9AE}" pid="5" name="TAGender">
    <vt:lpwstr/>
  </property>
  <property fmtid="{D5CDD505-2E9C-101B-9397-08002B2CF9AE}" pid="6" name="TAGEthnicity">
    <vt:lpwstr/>
  </property>
  <property fmtid="{D5CDD505-2E9C-101B-9397-08002B2CF9AE}" pid="7" name="Remediated">
    <vt:lpwstr>1</vt:lpwstr>
  </property>
  <property fmtid="{D5CDD505-2E9C-101B-9397-08002B2CF9AE}" pid="8" name="Abstract">
    <vt:lpwstr>San Francisco FY 17-18 MHSA RER</vt:lpwstr>
  </property>
  <property fmtid="{D5CDD505-2E9C-101B-9397-08002B2CF9AE}" pid="9" name="PublishingContactName">
    <vt:lpwstr>Katie Saelee</vt:lpwstr>
  </property>
  <property fmtid="{D5CDD505-2E9C-101B-9397-08002B2CF9AE}" pid="10" name="Language">
    <vt:lpwstr>English</vt:lpwstr>
  </property>
  <property fmtid="{D5CDD505-2E9C-101B-9397-08002B2CF9AE}" pid="11" name="TAGBusPart">
    <vt:lpwstr/>
  </property>
  <property fmtid="{D5CDD505-2E9C-101B-9397-08002B2CF9AE}" pid="12" name="Topics">
    <vt:lpwstr/>
  </property>
  <property fmtid="{D5CDD505-2E9C-101B-9397-08002B2CF9AE}" pid="13" name="Reading Level">
    <vt:lpwstr/>
  </property>
  <property fmtid="{D5CDD505-2E9C-101B-9397-08002B2CF9AE}" pid="14" name="TAGAge">
    <vt:lpwstr/>
  </property>
  <property fmtid="{D5CDD505-2E9C-101B-9397-08002B2CF9AE}" pid="15" name="Organization">
    <vt:lpwstr>103</vt:lpwstr>
  </property>
  <property fmtid="{D5CDD505-2E9C-101B-9397-08002B2CF9AE}" pid="16" name="Division">
    <vt:lpwstr>11;#Community Services|c23dee46-a4de-4c29-8bbc-79830d9e7d7c</vt:lpwstr>
  </property>
  <property fmtid="{D5CDD505-2E9C-101B-9397-08002B2CF9AE}" pid="17" name="o68eaf9243684232b2418c37bbb152dc">
    <vt:lpwstr>Community Services|c23dee46-a4de-4c29-8bbc-79830d9e7d7c</vt:lpwstr>
  </property>
  <property fmtid="{D5CDD505-2E9C-101B-9397-08002B2CF9AE}" pid="18" name="TaxCatchAll">
    <vt:lpwstr>11;#Community Services|c23dee46-a4de-4c29-8bbc-79830d9e7d7c</vt:lpwstr>
  </property>
</Properties>
</file>