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76" windowWidth="28920" windowHeight="15660" tabRatio="584" activeTab="1"/>
  </bookViews>
  <sheets>
    <sheet name="DHCS Only" sheetId="1" state="hidden" r:id="rId1"/>
    <sheet name="1. Information" sheetId="2" r:id="rId2"/>
    <sheet name="Instructions 1. Information" sheetId="3" state="hidden" r:id="rId3"/>
    <sheet name="2. Component Summary" sheetId="4" r:id="rId4"/>
    <sheet name="Instructions 2. Component Summa" sheetId="5" state="hidden" r:id="rId5"/>
    <sheet name="3. CSS" sheetId="6" r:id="rId6"/>
    <sheet name="Instructions 3. CSS" sheetId="7" state="hidden" r:id="rId7"/>
    <sheet name="4. PEI" sheetId="8" r:id="rId8"/>
    <sheet name="Instructions 4. PEI" sheetId="9" state="hidden" r:id="rId9"/>
    <sheet name="5. INN" sheetId="10" r:id="rId10"/>
    <sheet name="Instructions 5. INN" sheetId="11" state="hidden" r:id="rId11"/>
    <sheet name="6. WET" sheetId="12" r:id="rId12"/>
    <sheet name="Instructions 6. WET" sheetId="13" state="hidden" r:id="rId13"/>
    <sheet name="7. CFTN" sheetId="14" r:id="rId14"/>
    <sheet name="Instructions 7. CFTN" sheetId="15" state="hidden" r:id="rId15"/>
    <sheet name="8. Adjustment (MHSA)" sheetId="16" r:id="rId16"/>
    <sheet name="Instructions 8. Adjust (MHSA)" sheetId="17" state="hidden" r:id="rId17"/>
    <sheet name="9. Adjustment (FFP)" sheetId="18" r:id="rId18"/>
    <sheet name="Instructions 9. Adjust (FFP)" sheetId="19" state="hidden" r:id="rId19"/>
    <sheet name="10. Comments" sheetId="20" r:id="rId20"/>
    <sheet name="Instructions 10. Comments" sheetId="21" state="hidden"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CSS'!$1:$41</definedName>
    <definedName name="_xlnm.Print_Area" localSheetId="7">'4. PEI'!$A$1:$Q$42</definedName>
    <definedName name="_xlnm.Print_Area" localSheetId="9">'5. INN'!$A$1:$Q$56</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<sst xmlns="http://schemas.openxmlformats.org/spreadsheetml/2006/main" count="1463" uniqueCount="807">
  <si>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</si>
  <si>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</si>
  <si>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</si>
  <si>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</si>
  <si>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</si>
  <si>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</si>
  <si>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</si>
  <si>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</si>
  <si>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</si>
  <si>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</si>
  <si>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</si>
  <si>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</si>
  <si>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</si>
  <si>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</si>
  <si>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</si>
  <si>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</si>
  <si>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</si>
  <si>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</si>
  <si>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</si>
  <si>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</si>
  <si>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</si>
  <si>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</si>
  <si>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</si>
  <si>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</si>
  <si>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</si>
  <si>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</si>
  <si>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</si>
  <si>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</si>
  <si>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</si>
  <si>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</si>
  <si>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</si>
  <si>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</si>
  <si>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</si>
  <si>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</si>
  <si>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</si>
  <si>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</si>
  <si>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</si>
  <si>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</si>
  <si>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</si>
  <si>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</si>
  <si>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</si>
  <si>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</si>
  <si>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</si>
  <si>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</si>
  <si>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</si>
  <si>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</si>
  <si>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</si>
  <si>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</si>
  <si>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</si>
  <si>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</si>
  <si>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</si>
  <si>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</si>
  <si>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</si>
  <si>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</si>
  <si>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</si>
  <si>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</si>
  <si>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</si>
  <si>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</si>
  <si>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</si>
  <si>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</si>
  <si>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</si>
  <si>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</si>
  <si>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</si>
  <si>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</si>
  <si>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</si>
  <si>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</si>
  <si>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</si>
  <si>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</si>
  <si>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</si>
  <si>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</si>
  <si>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</si>
  <si>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</si>
  <si>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</si>
  <si>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</si>
  <si>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</si>
  <si>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</si>
  <si>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</si>
  <si>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</si>
  <si>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</si>
  <si>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</si>
  <si>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</si>
  <si>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</si>
  <si>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</si>
  <si>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</si>
  <si>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</si>
  <si>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</si>
  <si>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</si>
  <si>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</si>
  <si>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</si>
  <si>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</si>
  <si>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</si>
  <si>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</si>
  <si>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</si>
  <si>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</si>
  <si>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</si>
  <si>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</si>
  <si>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</si>
  <si>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</si>
  <si>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</si>
  <si>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</si>
  <si>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</si>
  <si>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</si>
  <si>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</si>
  <si>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</si>
  <si>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</si>
  <si>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</si>
  <si>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</si>
  <si>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</si>
  <si>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</si>
  <si>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</si>
  <si>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</si>
  <si>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</si>
  <si>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</si>
  <si>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</si>
  <si>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</si>
  <si>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</si>
  <si>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</si>
  <si>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</si>
  <si>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</si>
  <si>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</si>
  <si>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</si>
  <si>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</si>
  <si>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</si>
  <si>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</si>
  <si>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</si>
  <si>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</si>
  <si>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</si>
  <si>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</si>
  <si>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</si>
  <si>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</si>
  <si>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</si>
  <si>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</si>
  <si>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</si>
  <si>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</si>
  <si>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</si>
  <si>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</si>
  <si>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</si>
  <si>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</si>
  <si>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</si>
  <si>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</si>
  <si>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</si>
  <si>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</si>
  <si>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</si>
  <si>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</si>
  <si>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</si>
  <si>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</si>
  <si>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</si>
  <si>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</si>
  <si>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</si>
  <si>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</si>
  <si>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</si>
  <si>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</si>
  <si>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</si>
  <si>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</si>
  <si>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</si>
  <si>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</si>
  <si>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</si>
  <si>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</si>
  <si>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</si>
  <si>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</si>
  <si>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</si>
  <si>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</si>
  <si>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</si>
  <si>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</si>
  <si>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</si>
  <si>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</si>
  <si>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</si>
  <si>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</si>
  <si>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</si>
  <si>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</si>
  <si>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</si>
  <si>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</si>
  <si>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</si>
  <si>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</si>
  <si>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</si>
  <si>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</si>
  <si>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</si>
  <si>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</si>
  <si>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</si>
  <si>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</si>
  <si>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</si>
  <si>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</si>
  <si>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</si>
  <si>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</si>
  <si>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</si>
  <si>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</si>
  <si>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</si>
  <si>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</si>
  <si>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</si>
  <si>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</si>
  <si>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</si>
  <si>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</si>
  <si>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</si>
  <si>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</si>
  <si>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</si>
  <si>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</si>
  <si>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</si>
  <si>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</si>
  <si>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</si>
  <si>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</si>
  <si>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</si>
  <si>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</si>
  <si>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</si>
  <si>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</si>
  <si>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</si>
  <si>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</si>
  <si>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</si>
  <si>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</si>
  <si>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</si>
  <si>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</si>
  <si>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</si>
  <si>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</si>
  <si>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</si>
  <si>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</si>
  <si>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</si>
  <si>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</si>
  <si>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</si>
  <si>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</si>
  <si>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</si>
  <si>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</si>
  <si>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</si>
  <si>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</si>
  <si>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</si>
  <si>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</si>
  <si>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</si>
  <si>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</si>
  <si>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</si>
  <si>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</si>
  <si>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</si>
  <si>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</si>
  <si>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</si>
  <si>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</si>
  <si>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</si>
  <si>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</si>
  <si>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</si>
  <si>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</si>
  <si>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</si>
  <si>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</si>
  <si>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</si>
  <si>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</si>
  <si>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</si>
  <si>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</si>
  <si>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</si>
  <si>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</si>
  <si>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</si>
  <si>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</si>
  <si>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</si>
  <si>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</si>
  <si>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</si>
  <si>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</si>
  <si>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</si>
  <si>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</si>
  <si>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</si>
  <si>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</si>
  <si>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</si>
  <si>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</si>
  <si>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</si>
  <si>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</si>
  <si>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</si>
  <si>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</si>
  <si>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</si>
  <si>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</si>
  <si>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</si>
  <si>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</si>
  <si>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</si>
  <si>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</si>
  <si>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</si>
  <si>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</si>
  <si>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</si>
  <si>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</si>
  <si>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</si>
  <si>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</si>
  <si>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</si>
  <si>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</si>
  <si>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</si>
  <si>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</si>
  <si>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</si>
  <si>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</si>
  <si>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</si>
  <si>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</si>
  <si>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</si>
  <si>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</si>
  <si>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</si>
  <si>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</si>
  <si>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</si>
  <si>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</si>
  <si>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</si>
  <si>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</si>
  <si>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</si>
  <si>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</si>
  <si>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</si>
  <si>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</si>
  <si>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</si>
  <si>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</si>
  <si>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</si>
  <si>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</si>
  <si>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</si>
  <si>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</si>
  <si>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</si>
  <si>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</si>
  <si>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</si>
  <si>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</si>
  <si>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</si>
  <si>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</si>
  <si>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</si>
  <si>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</si>
  <si>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</si>
  <si>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</si>
  <si>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</si>
  <si>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</si>
  <si>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</si>
  <si>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</si>
  <si>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</si>
  <si>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</si>
  <si>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</si>
  <si>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</si>
  <si>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</si>
  <si>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</si>
  <si>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</si>
  <si>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</si>
  <si>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</si>
  <si>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</si>
  <si>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</si>
  <si>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</si>
  <si>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</si>
  <si>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</si>
  <si>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</si>
  <si>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</si>
  <si>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</si>
  <si>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</si>
  <si>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</si>
  <si>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</si>
  <si>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</si>
  <si>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</si>
  <si>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</si>
  <si>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</si>
  <si>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</si>
  <si>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</si>
  <si>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</si>
  <si>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</si>
  <si>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</si>
  <si>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</si>
  <si>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</si>
  <si>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</si>
  <si>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</si>
  <si>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</si>
  <si>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</si>
  <si>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</si>
  <si>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</si>
  <si>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</si>
  <si>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</si>
  <si>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</si>
  <si>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</si>
  <si>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</si>
  <si>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</si>
  <si>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</si>
  <si>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</si>
  <si>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</si>
  <si>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</si>
  <si>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</si>
  <si>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</si>
  <si>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</si>
  <si>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</si>
  <si>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</si>
  <si>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</si>
  <si>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</si>
  <si>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</si>
  <si>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</si>
  <si>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</si>
  <si>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</si>
  <si>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</si>
  <si>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</si>
  <si>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</si>
  <si>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</si>
  <si>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</si>
  <si>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</si>
  <si>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</si>
  <si>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</si>
  <si>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</si>
  <si>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</si>
  <si>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</si>
  <si>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</si>
  <si>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</si>
  <si>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</si>
  <si>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</si>
  <si>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</si>
  <si>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</si>
  <si>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</si>
  <si>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</si>
  <si>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</si>
  <si>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</si>
  <si>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</si>
  <si>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</si>
  <si>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</si>
  <si>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</si>
  <si>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</si>
  <si>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</si>
  <si>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</si>
  <si>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</si>
  <si>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</si>
  <si>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</si>
  <si>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</si>
  <si>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</si>
  <si>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</si>
  <si>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</si>
  <si>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</si>
  <si>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</si>
  <si>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</si>
  <si>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</si>
  <si>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</si>
  <si>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</si>
  <si>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</si>
  <si>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</si>
  <si>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</si>
  <si>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</si>
  <si>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</si>
  <si>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</si>
  <si>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</si>
  <si>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</si>
  <si>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</si>
  <si>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</si>
  <si>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</si>
  <si>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</si>
  <si>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</si>
  <si>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</si>
  <si>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</si>
  <si>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</si>
  <si>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</si>
  <si>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</si>
  <si>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</si>
  <si>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</si>
  <si>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</si>
  <si>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</si>
  <si>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</si>
  <si>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</si>
  <si>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</si>
  <si>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</si>
  <si>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</si>
  <si>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</si>
  <si>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</si>
  <si>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</si>
  <si>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</si>
  <si>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</si>
  <si>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</si>
  <si>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</si>
  <si>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</si>
  <si>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</si>
  <si>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</si>
  <si>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</si>
  <si>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</si>
  <si>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</si>
  <si>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</si>
  <si>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</si>
  <si>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</si>
  <si>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</si>
  <si>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</si>
  <si>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</si>
  <si>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</si>
  <si>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</si>
  <si>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</si>
  <si>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</si>
  <si>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</si>
  <si>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</si>
  <si>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</si>
  <si>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</si>
  <si>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</si>
  <si>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</si>
  <si>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</si>
  <si>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</si>
  <si>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</si>
  <si>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</si>
  <si>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</si>
  <si>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</si>
  <si>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</si>
  <si>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</si>
  <si>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</si>
  <si>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</si>
  <si>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</si>
  <si>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</si>
  <si>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</si>
  <si>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</si>
  <si>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</si>
  <si>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</si>
  <si>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</si>
  <si>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</si>
  <si>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</si>
  <si>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</si>
  <si>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</si>
  <si>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</si>
  <si>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</si>
  <si>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</si>
  <si>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</si>
  <si>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</si>
  <si>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</si>
  <si>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</si>
  <si>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</si>
  <si>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</si>
  <si>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</si>
  <si>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</si>
  <si>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</si>
  <si>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</si>
  <si>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</si>
  <si>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</si>
  <si>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</si>
  <si>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</si>
  <si>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</si>
  <si>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</si>
  <si>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</si>
  <si>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</si>
  <si>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</si>
  <si>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</si>
  <si>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</si>
  <si>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</si>
  <si>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</si>
  <si>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</si>
  <si>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</si>
  <si>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</si>
  <si>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</si>
  <si>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</si>
  <si>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</si>
  <si>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</si>
  <si>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</si>
  <si>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</si>
  <si>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</si>
  <si>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</si>
  <si>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</si>
  <si>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</si>
  <si>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</si>
  <si>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</si>
  <si>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</si>
  <si>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</si>
  <si>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</si>
  <si>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</si>
  <si>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</si>
  <si>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</si>
  <si>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</si>
  <si>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</si>
  <si>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</si>
  <si>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</si>
  <si>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</si>
  <si>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</si>
  <si>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</si>
  <si>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</si>
  <si>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</si>
  <si>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</si>
  <si>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</si>
  <si>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</si>
  <si>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</si>
  <si>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</si>
  <si>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</si>
  <si>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</si>
  <si>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</si>
  <si>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</si>
  <si>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</si>
  <si>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</si>
  <si>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</si>
  <si>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</si>
  <si>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</si>
  <si>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</si>
  <si>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</si>
  <si>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</si>
  <si>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</si>
  <si>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</si>
  <si>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</si>
  <si>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</si>
  <si>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</si>
  <si>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</si>
  <si>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</si>
  <si>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</si>
  <si>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</si>
  <si>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</si>
  <si>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</si>
  <si>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</si>
  <si>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</si>
  <si>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</si>
  <si>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</si>
  <si>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</si>
  <si>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</si>
  <si>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</si>
  <si>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</si>
  <si>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</si>
  <si>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</si>
  <si>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</si>
  <si>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</si>
  <si>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</si>
  <si>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</si>
  <si>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</si>
  <si>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</si>
  <si>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</si>
  <si>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</si>
  <si>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</si>
  <si>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</si>
  <si>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</si>
  <si>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</si>
  <si>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</si>
  <si>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</si>
  <si>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</si>
  <si>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</si>
  <si>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</si>
  <si>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</si>
  <si>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</si>
  <si>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</si>
  <si>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</si>
  <si>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</si>
  <si>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</si>
  <si>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</si>
  <si>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</si>
  <si>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</si>
  <si>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</si>
  <si>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</si>
  <si>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</si>
  <si>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</si>
  <si>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</si>
  <si>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</si>
  <si>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</si>
  <si>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</si>
  <si>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</si>
  <si>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</si>
  <si>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</si>
  <si>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</si>
  <si>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</si>
  <si>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</si>
  <si>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</si>
  <si>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</si>
  <si>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</si>
  <si>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</si>
  <si>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</si>
  <si>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</si>
  <si>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</si>
  <si>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</si>
  <si>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</si>
  <si>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</si>
  <si>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</si>
  <si>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</si>
  <si>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</si>
  <si>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</si>
  <si>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</si>
  <si>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</si>
  <si>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</si>
  <si>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</si>
  <si>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</si>
  <si>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</si>
  <si>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</si>
  <si>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</si>
  <si>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</si>
  <si>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</si>
  <si>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</si>
  <si>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</si>
  <si>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</si>
  <si>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</si>
  <si>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</si>
  <si>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</si>
  <si>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</si>
  <si>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</si>
  <si>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</si>
  <si>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</si>
  <si>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</si>
  <si>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</si>
  <si>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</si>
  <si>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</si>
  <si>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</si>
  <si>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</si>
  <si>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</si>
  <si>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</si>
  <si>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</si>
  <si>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</si>
  <si>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</si>
  <si>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</si>
  <si>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</si>
  <si>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</si>
  <si>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</si>
  <si>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</si>
  <si>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</si>
  <si>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</si>
  <si>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</si>
  <si>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</si>
  <si>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</si>
  <si>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</si>
  <si>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</si>
  <si>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</si>
  <si>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</si>
  <si>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</si>
  <si>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</si>
  <si>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</si>
  <si>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</si>
  <si>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</si>
  <si>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</si>
  <si>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</si>
  <si>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</si>
  <si>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</si>
  <si>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</si>
  <si>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</si>
  <si>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</si>
  <si>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</si>
  <si>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</si>
  <si>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</si>
  <si>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</si>
  <si>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</si>
  <si>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</si>
  <si>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</si>
  <si>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</si>
  <si>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</si>
  <si>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</si>
  <si>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</si>
  <si>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</si>
  <si>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</si>
  <si>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</si>
  <si>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</si>
  <si>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</si>
  <si>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</si>
  <si>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</si>
  <si>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</si>
  <si>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</si>
  <si>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</si>
  <si>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</si>
  <si>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</si>
  <si>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</si>
  <si>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</si>
  <si>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</si>
  <si>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</si>
  <si>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</si>
  <si>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</si>
  <si>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</si>
  <si>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</si>
  <si>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</si>
  <si>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</si>
  <si>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</si>
  <si>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</si>
  <si>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</si>
  <si>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</si>
  <si>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</si>
  <si>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</si>
  <si>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</si>
  <si>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</si>
  <si>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</si>
  <si>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</si>
  <si>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</si>
  <si>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</si>
  <si>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</si>
  <si>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</si>
  <si>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</si>
  <si>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</si>
  <si>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</si>
  <si>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</si>
  <si>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</si>
  <si>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</si>
  <si>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</si>
  <si>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</si>
  <si>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</si>
  <si>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</si>
  <si>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</si>
  <si>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</si>
  <si>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</si>
  <si>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</si>
  <si>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</si>
  <si>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</si>
  <si>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</si>
  <si>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</si>
  <si>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</si>
  <si>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</si>
  <si>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</si>
  <si>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</si>
  <si>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</si>
  <si>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</si>
  <si>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</si>
  <si>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</si>
  <si>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</si>
  <si>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</si>
  <si>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</si>
  <si>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</si>
  <si>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</si>
  <si>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</si>
  <si>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</si>
  <si>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</si>
  <si>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</si>
  <si>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</si>
  <si>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</si>
  <si>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</si>
  <si>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</si>
  <si>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</si>
  <si>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</si>
  <si>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</si>
  <si>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2018-19</t>
  </si>
  <si>
    <t>50 Douglas Dr, Suite 320-D</t>
  </si>
  <si>
    <t>Martinez</t>
  </si>
  <si>
    <t>Assisted Outpatient Treatment</t>
  </si>
  <si>
    <t>Crisis Residential Center</t>
  </si>
  <si>
    <t>Children Service</t>
  </si>
  <si>
    <t>Transitional Age Youth</t>
  </si>
  <si>
    <t>Adult Services</t>
  </si>
  <si>
    <t>Housing Services</t>
  </si>
  <si>
    <t>System Development</t>
  </si>
  <si>
    <t>Outreach for Increasing Recognition of Early Signs of Mental Illness</t>
  </si>
  <si>
    <t>Access and Linkage to Treatment</t>
  </si>
  <si>
    <t>Improving Timely Access to Mental Health Services for Underserved Populations</t>
  </si>
  <si>
    <t>Stigma and Discrimination Reduction</t>
  </si>
  <si>
    <t>Electronic Mental Health Records System</t>
  </si>
  <si>
    <t>Coaching to Wellness</t>
  </si>
  <si>
    <t>Partners in Aging</t>
  </si>
  <si>
    <t>CBSST</t>
  </si>
  <si>
    <t>CORE</t>
  </si>
  <si>
    <t>Accountant III</t>
  </si>
  <si>
    <t>Miu Tam</t>
  </si>
  <si>
    <t>925-957-5531</t>
  </si>
  <si>
    <t>mtam@cchealth.org</t>
  </si>
  <si>
    <t>Overcoming Transportation Barriers</t>
  </si>
  <si>
    <t>LBGTQ- Youth</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</si>
</sst>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thin">
        <color rgb="FF0000FF"/>
      </left>
      <right style="thin">
        <color rgb="FF0000FF"/>
      </right>
      <top style="thin">
        <color rgb="FF0000FF"/>
      </top>
      <bottom/>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23">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9" fontId="63" fillId="0" borderId="10" xfId="63" applyFont="1" applyBorder="1" applyAlignment="1" applyProtection="1">
      <alignment/>
      <protection locked="0"/>
    </xf>
    <xf numFmtId="164" fontId="63" fillId="0" borderId="43" xfId="0" applyNumberFormat="1" applyFont="1" applyBorder="1" applyAlignment="1" applyProtection="1">
      <alignment/>
      <protection locked="0"/>
    </xf>
    <xf numFmtId="14" fontId="63" fillId="0" borderId="10" xfId="0" applyNumberFormat="1" applyFont="1" applyBorder="1" applyAlignment="1" applyProtection="1">
      <alignment/>
      <protection locked="0"/>
    </xf>
    <xf numFmtId="43" fontId="63" fillId="0" borderId="0" xfId="0" applyNumberFormat="1" applyFont="1" applyAlignment="1" applyProtection="1">
      <alignment/>
      <protection locked="0"/>
    </xf>
    <xf numFmtId="0" fontId="61" fillId="33" borderId="44"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edule-C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Q128"/>
  <sheetViews>
    <sheetView showGridLines="0" zoomScale="80" zoomScaleNormal="80" zoomScaleSheetLayoutView="40" zoomScalePageLayoutView="0" workbookViewId="0" topLeftCell="A1">
      <selection activeCell="A1" sqref="A1:Q56"/>
    </sheetView>
  </sheetViews>
  <sheetFormatPr defaultColWidth="9.140625" defaultRowHeight="15" zeroHeight="1"/>
  <cols>
    <col min="1" max="1" width="2.7109375" style="27" customWidth="1"/>
    <col min="2" max="2" width="6.7109375" style="28" customWidth="1"/>
    <col min="3" max="3" width="9.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2018-19</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Contra Costa</v>
      </c>
      <c r="G9" s="226" t="s">
        <v>1</v>
      </c>
      <c r="H9" s="264">
        <f>IF(ISBLANK('1. Information'!D9),"",'1. Information'!D9)</f>
        <v>43819</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v>47118.62</v>
      </c>
      <c r="G15" s="136"/>
      <c r="H15" s="136"/>
      <c r="I15" s="136"/>
      <c r="J15" s="136"/>
      <c r="K15" s="246">
        <f>SUM(F15:J15)</f>
        <v>47118.62</v>
      </c>
      <c r="L15" s="175"/>
      <c r="M15" s="175"/>
      <c r="N15" s="175"/>
      <c r="O15" s="27"/>
      <c r="P15" s="27"/>
    </row>
    <row r="16" spans="2:16" ht="15.75">
      <c r="B16" s="300">
        <v>2</v>
      </c>
      <c r="C16" s="308" t="s">
        <v>143</v>
      </c>
      <c r="D16" s="242"/>
      <c r="E16" s="243"/>
      <c r="F16" s="136">
        <v>559102.1</v>
      </c>
      <c r="G16" s="136"/>
      <c r="H16" s="136"/>
      <c r="I16" s="136"/>
      <c r="J16" s="136"/>
      <c r="K16" s="246">
        <f>SUM(F16:J16)</f>
        <v>559102.1</v>
      </c>
      <c r="L16" s="175"/>
      <c r="M16" s="175"/>
      <c r="N16" s="175"/>
      <c r="O16" s="27"/>
      <c r="P16" s="27"/>
    </row>
    <row r="17" spans="2:16" ht="15.75">
      <c r="B17" s="300">
        <v>3</v>
      </c>
      <c r="C17" s="309" t="s">
        <v>238</v>
      </c>
      <c r="D17" s="245"/>
      <c r="E17" s="243"/>
      <c r="F17" s="136"/>
      <c r="G17" s="310"/>
      <c r="H17" s="310"/>
      <c r="I17" s="310"/>
      <c r="J17" s="310"/>
      <c r="K17" s="246">
        <f>F17</f>
        <v>0</v>
      </c>
      <c r="L17" s="175"/>
      <c r="M17" s="175"/>
      <c r="N17" s="175"/>
      <c r="O17" s="27"/>
      <c r="P17" s="27"/>
    </row>
    <row r="18" spans="2:16" ht="15.75">
      <c r="B18" s="300">
        <v>4</v>
      </c>
      <c r="C18" s="309" t="s">
        <v>293</v>
      </c>
      <c r="D18" s="245"/>
      <c r="E18" s="243"/>
      <c r="F18" s="136"/>
      <c r="G18" s="310"/>
      <c r="H18" s="310"/>
      <c r="I18" s="310"/>
      <c r="J18" s="310"/>
      <c r="K18" s="246">
        <f>F18</f>
        <v>0</v>
      </c>
      <c r="L18" s="175"/>
      <c r="M18" s="175"/>
      <c r="N18" s="175"/>
      <c r="O18" s="27"/>
      <c r="P18" s="27"/>
    </row>
    <row r="19" spans="2:16" ht="15.75">
      <c r="B19" s="300">
        <v>5</v>
      </c>
      <c r="C19" s="308" t="s">
        <v>144</v>
      </c>
      <c r="D19" s="242"/>
      <c r="E19" s="243"/>
      <c r="F19" s="311">
        <f>SUMIF($K$29:$K$128,"Project Administration",L$29:L$128)</f>
        <v>0</v>
      </c>
      <c r="G19" s="312">
        <f>SUMIF($K$29:$K$128,"Project Administration",M$29:M$128)</f>
        <v>0</v>
      </c>
      <c r="H19" s="311">
        <f>SUMIF($K$29:$K$128,"Project Administration",N$29:N$128)</f>
        <v>0</v>
      </c>
      <c r="I19" s="311">
        <f>SUMIF($K$29:$K$128,"Project Administration",O$29:O$128)</f>
        <v>0</v>
      </c>
      <c r="J19" s="311">
        <f>SUMIF($K$29:$K$128,"Project Administration",P$29:P$128)</f>
        <v>0</v>
      </c>
      <c r="K19" s="246">
        <f>SUM(F19:J19)</f>
        <v>0</v>
      </c>
      <c r="L19" s="175"/>
      <c r="M19" s="175"/>
      <c r="N19" s="175"/>
      <c r="O19" s="27"/>
      <c r="P19" s="27"/>
    </row>
    <row r="20" spans="2:16" ht="15.75">
      <c r="B20" s="300">
        <v>6</v>
      </c>
      <c r="C20" s="308" t="s">
        <v>145</v>
      </c>
      <c r="D20" s="242"/>
      <c r="E20" s="243"/>
      <c r="F20" s="310">
        <f>SUMIF($K$29:$K$128,"Project Evaluation",L$29:L$128)</f>
        <v>125214.30000000002</v>
      </c>
      <c r="G20" s="313">
        <f>SUMIF($K$29:$K$128,"Project Evaluation",M$29:M$128)</f>
        <v>0</v>
      </c>
      <c r="H20" s="310">
        <f>SUMIF($K$29:$K$128,"Project Evaluation",N$29:N$128)</f>
        <v>0</v>
      </c>
      <c r="I20" s="310">
        <f>SUMIF($K$29:$K$128,"Project Evaluation",O$29:O$128)</f>
        <v>0</v>
      </c>
      <c r="J20" s="310">
        <f>SUMIF($K$29:$K$128,"Project Evaluation",P$29:P$128)</f>
        <v>0</v>
      </c>
      <c r="K20" s="246">
        <f>SUM(F20:J20)</f>
        <v>125214.30000000002</v>
      </c>
      <c r="L20" s="175"/>
      <c r="M20" s="175"/>
      <c r="N20" s="175"/>
      <c r="O20" s="27"/>
      <c r="P20" s="27"/>
    </row>
    <row r="21" spans="2:16" ht="15.75">
      <c r="B21" s="300">
        <v>7</v>
      </c>
      <c r="C21" s="308" t="s">
        <v>196</v>
      </c>
      <c r="D21" s="242"/>
      <c r="E21" s="243"/>
      <c r="F21" s="310">
        <f>SUMIF($K$29:$K$128,"Project Direct",L$29:L$128)</f>
        <v>1631677.15</v>
      </c>
      <c r="G21" s="313">
        <f>SUMIF($K$29:$K$128,"Project Direct",M$29:M$128)</f>
        <v>0</v>
      </c>
      <c r="H21" s="310">
        <f>SUMIF($K$29:$K$128,"Project Direct",N$29:N$128)</f>
        <v>0</v>
      </c>
      <c r="I21" s="310">
        <f>SUMIF($K$29:$K$128,"Project Direct",O$29:O$128)</f>
        <v>0</v>
      </c>
      <c r="J21" s="310">
        <f>SUMIF($K$29:$K$128,"Project Direct",P$29:P$128)</f>
        <v>0</v>
      </c>
      <c r="K21" s="246">
        <f>SUM(F21:J21)</f>
        <v>1631677.15</v>
      </c>
      <c r="L21" s="175"/>
      <c r="M21" s="175"/>
      <c r="N21" s="175"/>
      <c r="O21" s="27"/>
      <c r="P21" s="27"/>
    </row>
    <row r="22" spans="2:16" ht="15.75">
      <c r="B22" s="300">
        <v>8</v>
      </c>
      <c r="C22" s="308" t="s">
        <v>146</v>
      </c>
      <c r="D22" s="314"/>
      <c r="F22" s="315">
        <f>SUM(F19:F21)</f>
        <v>1756891.45</v>
      </c>
      <c r="G22" s="316">
        <f>SUM(G19:G21)</f>
        <v>0</v>
      </c>
      <c r="H22" s="315">
        <f>SUM(H19:H21)</f>
        <v>0</v>
      </c>
      <c r="I22" s="315">
        <f>SUM(I19:I21)</f>
        <v>0</v>
      </c>
      <c r="J22" s="315">
        <f>SUM(J19:J21)</f>
        <v>0</v>
      </c>
      <c r="K22" s="246">
        <f>SUM(F22:J22)</f>
        <v>1756891.45</v>
      </c>
      <c r="L22" s="175"/>
      <c r="M22" s="175"/>
      <c r="N22" s="175"/>
      <c r="O22" s="27"/>
      <c r="P22" s="27"/>
    </row>
    <row r="23" spans="2:16" ht="30.75" customHeight="1">
      <c r="B23" s="300">
        <v>9</v>
      </c>
      <c r="C23" s="317" t="s">
        <v>239</v>
      </c>
      <c r="D23" s="318"/>
      <c r="E23" s="319"/>
      <c r="F23" s="320">
        <f>SUM(F15:F16,F18:F21)</f>
        <v>2363112.17</v>
      </c>
      <c r="G23" s="320">
        <f>SUM(G15:G16,G19:G21)</f>
        <v>0</v>
      </c>
      <c r="H23" s="320">
        <f>SUM(H15:H16,H19:H21)</f>
        <v>0</v>
      </c>
      <c r="I23" s="320">
        <f>SUM(I15:I16,I19:I21)</f>
        <v>0</v>
      </c>
      <c r="J23" s="320">
        <f>SUM(J15:J16,J19:J21)</f>
        <v>0</v>
      </c>
      <c r="K23" s="279">
        <f>SUM(F23:J23)</f>
        <v>2363112.17</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15">
      <c r="B29" s="276">
        <v>10</v>
      </c>
      <c r="C29" s="293" t="s">
        <v>23</v>
      </c>
      <c r="D29" s="325">
        <f>IF(Q32&lt;&gt;0,VLOOKUP($E$9,Info_County_Code,2,FALSE),"")</f>
        <v>7</v>
      </c>
      <c r="E29" s="134" t="s">
        <v>797</v>
      </c>
      <c r="F29" s="38"/>
      <c r="G29" s="417">
        <v>40575</v>
      </c>
      <c r="H29" s="417">
        <v>42339</v>
      </c>
      <c r="I29" s="30">
        <v>1113760</v>
      </c>
      <c r="J29" s="30"/>
      <c r="K29" s="326" t="s">
        <v>140</v>
      </c>
      <c r="L29" s="32"/>
      <c r="M29" s="32"/>
      <c r="N29" s="30"/>
      <c r="O29" s="30"/>
      <c r="P29" s="34"/>
      <c r="Q29" s="246">
        <f>SUM(L29:P29)</f>
        <v>0</v>
      </c>
    </row>
    <row r="30" spans="2:17" ht="15">
      <c r="B30" s="276">
        <v>10</v>
      </c>
      <c r="C30" s="218" t="s">
        <v>25</v>
      </c>
      <c r="D30" s="327">
        <f aca="true" t="shared" si="0" ref="D30:J31">IF(ISBLANK(D29),"",D29)</f>
        <v>7</v>
      </c>
      <c r="E30" s="328" t="str">
        <f t="shared" si="0"/>
        <v>Coaching to Wellness</v>
      </c>
      <c r="F30" s="329">
        <f t="shared" si="0"/>
      </c>
      <c r="G30" s="329">
        <f t="shared" si="0"/>
        <v>40575</v>
      </c>
      <c r="H30" s="329">
        <f t="shared" si="0"/>
        <v>42339</v>
      </c>
      <c r="I30" s="330">
        <f t="shared" si="0"/>
        <v>1113760</v>
      </c>
      <c r="J30" s="330">
        <f t="shared" si="0"/>
      </c>
      <c r="K30" s="275" t="s">
        <v>141</v>
      </c>
      <c r="L30" s="32"/>
      <c r="M30" s="32"/>
      <c r="N30" s="30"/>
      <c r="O30" s="30"/>
      <c r="P30" s="34"/>
      <c r="Q30" s="246">
        <f aca="true" t="shared" si="1" ref="Q30:Q60">SUM(L30:P30)</f>
        <v>0</v>
      </c>
    </row>
    <row r="31" spans="2:17" ht="15">
      <c r="B31" s="276">
        <v>10</v>
      </c>
      <c r="C31" s="218" t="s">
        <v>27</v>
      </c>
      <c r="D31" s="327">
        <f aca="true" t="shared" si="2" ref="D31:I31">IF(ISBLANK(D29),"",D29)</f>
        <v>7</v>
      </c>
      <c r="E31" s="331" t="str">
        <f t="shared" si="2"/>
        <v>Coaching to Wellness</v>
      </c>
      <c r="F31" s="332">
        <f t="shared" si="2"/>
      </c>
      <c r="G31" s="332">
        <f t="shared" si="2"/>
        <v>40575</v>
      </c>
      <c r="H31" s="332">
        <f t="shared" si="2"/>
        <v>42339</v>
      </c>
      <c r="I31" s="275">
        <f t="shared" si="2"/>
        <v>1113760</v>
      </c>
      <c r="J31" s="275">
        <f t="shared" si="0"/>
      </c>
      <c r="K31" s="275" t="s">
        <v>197</v>
      </c>
      <c r="L31" s="418">
        <v>527653.62</v>
      </c>
      <c r="M31" s="32"/>
      <c r="N31" s="30"/>
      <c r="O31" s="30"/>
      <c r="P31" s="34"/>
      <c r="Q31" s="246">
        <f t="shared" si="1"/>
        <v>527653.62</v>
      </c>
    </row>
    <row r="32" spans="2:17" ht="15.75">
      <c r="B32" s="333">
        <v>10</v>
      </c>
      <c r="C32" s="333" t="s">
        <v>202</v>
      </c>
      <c r="D32" s="334">
        <f aca="true" t="shared" si="3" ref="D32:J32">IF(ISBLANK(D29),"",D29)</f>
        <v>7</v>
      </c>
      <c r="E32" s="335" t="str">
        <f t="shared" si="3"/>
        <v>Coaching to Wellness</v>
      </c>
      <c r="F32" s="336">
        <f t="shared" si="3"/>
      </c>
      <c r="G32" s="336">
        <f t="shared" si="3"/>
        <v>40575</v>
      </c>
      <c r="H32" s="336">
        <f t="shared" si="3"/>
        <v>42339</v>
      </c>
      <c r="I32" s="337">
        <f t="shared" si="3"/>
        <v>1113760</v>
      </c>
      <c r="J32" s="337">
        <f t="shared" si="3"/>
      </c>
      <c r="K32" s="279" t="s">
        <v>217</v>
      </c>
      <c r="L32" s="338">
        <f>SUM(L29:L31)</f>
        <v>527653.62</v>
      </c>
      <c r="M32" s="338">
        <f>SUM(M29:M31)</f>
        <v>0</v>
      </c>
      <c r="N32" s="339">
        <f>SUM(N29:N31)</f>
        <v>0</v>
      </c>
      <c r="O32" s="339">
        <f>SUM(O29:O31)</f>
        <v>0</v>
      </c>
      <c r="P32" s="340">
        <f>SUM(P29:P31)</f>
        <v>0</v>
      </c>
      <c r="Q32" s="279">
        <f t="shared" si="1"/>
        <v>527653.62</v>
      </c>
    </row>
    <row r="33" spans="2:17" ht="15">
      <c r="B33" s="276">
        <v>11</v>
      </c>
      <c r="C33" s="293" t="s">
        <v>23</v>
      </c>
      <c r="D33" s="325">
        <f>IF(Q36&lt;&gt;0,VLOOKUP($E$9,Info_County_Code,2,FALSE),"")</f>
        <v>7</v>
      </c>
      <c r="E33" s="134" t="s">
        <v>798</v>
      </c>
      <c r="F33" s="38"/>
      <c r="G33" s="417">
        <v>42186</v>
      </c>
      <c r="H33" s="417">
        <v>42614</v>
      </c>
      <c r="I33" s="30">
        <v>1250000</v>
      </c>
      <c r="J33" s="30"/>
      <c r="K33" s="326" t="str">
        <f>IF(NOT(ISBLANK(E33)),$K$29,"")</f>
        <v>Project Administration</v>
      </c>
      <c r="L33" s="32"/>
      <c r="M33" s="32"/>
      <c r="N33" s="30"/>
      <c r="O33" s="30"/>
      <c r="P33" s="34"/>
      <c r="Q33" s="246">
        <f>SUM(L33:P33)</f>
        <v>0</v>
      </c>
    </row>
    <row r="34" spans="2:17" ht="15">
      <c r="B34" s="276">
        <v>11</v>
      </c>
      <c r="C34" s="218" t="s">
        <v>25</v>
      </c>
      <c r="D34" s="327">
        <f aca="true" t="shared" si="4" ref="D34:J34">IF(ISBLANK(D33),"",D33)</f>
        <v>7</v>
      </c>
      <c r="E34" s="328" t="str">
        <f t="shared" si="4"/>
        <v>Partners in Aging</v>
      </c>
      <c r="F34" s="329">
        <f t="shared" si="4"/>
      </c>
      <c r="G34" s="329">
        <f t="shared" si="4"/>
        <v>42186</v>
      </c>
      <c r="H34" s="329">
        <f t="shared" si="4"/>
        <v>42614</v>
      </c>
      <c r="I34" s="330">
        <f t="shared" si="4"/>
        <v>1250000</v>
      </c>
      <c r="J34" s="330">
        <f t="shared" si="4"/>
      </c>
      <c r="K34" s="275" t="str">
        <f>IF(NOT(ISBLANK(E33)),$K$30,"")</f>
        <v>Project Evaluation</v>
      </c>
      <c r="L34" s="32">
        <v>31795.82</v>
      </c>
      <c r="M34" s="32"/>
      <c r="N34" s="30"/>
      <c r="O34" s="30"/>
      <c r="P34" s="34"/>
      <c r="Q34" s="246">
        <f>SUM(L34:P34)</f>
        <v>31795.82</v>
      </c>
    </row>
    <row r="35" spans="2:17" ht="15">
      <c r="B35" s="276">
        <v>11</v>
      </c>
      <c r="C35" s="218" t="s">
        <v>27</v>
      </c>
      <c r="D35" s="327">
        <f aca="true" t="shared" si="5" ref="D35:J35">IF(ISBLANK(D33),"",D33)</f>
        <v>7</v>
      </c>
      <c r="E35" s="331" t="str">
        <f t="shared" si="5"/>
        <v>Partners in Aging</v>
      </c>
      <c r="F35" s="332">
        <f t="shared" si="5"/>
      </c>
      <c r="G35" s="332">
        <f t="shared" si="5"/>
        <v>42186</v>
      </c>
      <c r="H35" s="332">
        <f t="shared" si="5"/>
        <v>42614</v>
      </c>
      <c r="I35" s="275">
        <f t="shared" si="5"/>
        <v>1250000</v>
      </c>
      <c r="J35" s="275">
        <f t="shared" si="5"/>
      </c>
      <c r="K35" s="275" t="str">
        <f>IF(NOT(ISBLANK(E33)),$K$31,"")</f>
        <v>Project Direct</v>
      </c>
      <c r="L35" s="32">
        <v>208078.63</v>
      </c>
      <c r="M35" s="32"/>
      <c r="N35" s="30"/>
      <c r="O35" s="30"/>
      <c r="P35" s="34"/>
      <c r="Q35" s="246">
        <f>SUM(L35:P35)</f>
        <v>208078.63</v>
      </c>
    </row>
    <row r="36" spans="2:17" ht="15.75">
      <c r="B36" s="333">
        <v>11</v>
      </c>
      <c r="C36" s="333" t="s">
        <v>202</v>
      </c>
      <c r="D36" s="334">
        <f aca="true" t="shared" si="6" ref="D36:J36">IF(ISBLANK(D33),"",D33)</f>
        <v>7</v>
      </c>
      <c r="E36" s="335" t="str">
        <f t="shared" si="6"/>
        <v>Partners in Aging</v>
      </c>
      <c r="F36" s="336">
        <f t="shared" si="6"/>
      </c>
      <c r="G36" s="336">
        <f t="shared" si="6"/>
        <v>42186</v>
      </c>
      <c r="H36" s="336">
        <f t="shared" si="6"/>
        <v>42614</v>
      </c>
      <c r="I36" s="337">
        <f t="shared" si="6"/>
        <v>1250000</v>
      </c>
      <c r="J36" s="337">
        <f t="shared" si="6"/>
      </c>
      <c r="K36" s="279" t="str">
        <f>IF(NOT(ISBLANK(E33)),$K$32,"")</f>
        <v>Project Subtotal</v>
      </c>
      <c r="L36" s="338">
        <f>SUM(L33:L35)</f>
        <v>239874.45</v>
      </c>
      <c r="M36" s="338">
        <f>SUM(M33:M35)</f>
        <v>0</v>
      </c>
      <c r="N36" s="339">
        <f>SUM(N33:N35)</f>
        <v>0</v>
      </c>
      <c r="O36" s="339">
        <f>SUM(O33:O35)</f>
        <v>0</v>
      </c>
      <c r="P36" s="340">
        <f>SUM(P33:P35)</f>
        <v>0</v>
      </c>
      <c r="Q36" s="279">
        <f>SUM(L36:P36)</f>
        <v>239874.45</v>
      </c>
    </row>
    <row r="37" spans="2:17" ht="15">
      <c r="B37" s="276">
        <v>12</v>
      </c>
      <c r="C37" s="293" t="s">
        <v>23</v>
      </c>
      <c r="D37" s="325">
        <f>IF(Q40&lt;&gt;0,VLOOKUP($E$9,Info_County_Code,2,FALSE),"")</f>
        <v>7</v>
      </c>
      <c r="E37" s="134" t="s">
        <v>799</v>
      </c>
      <c r="F37" s="38"/>
      <c r="G37" s="417">
        <v>42948</v>
      </c>
      <c r="H37" s="417">
        <v>43405</v>
      </c>
      <c r="I37" s="30">
        <v>2080733</v>
      </c>
      <c r="J37" s="30"/>
      <c r="K37" s="326" t="str">
        <f>IF(NOT(ISBLANK(E37)),$K$29,"")</f>
        <v>Project Administration</v>
      </c>
      <c r="L37" s="32"/>
      <c r="M37" s="32"/>
      <c r="N37" s="30"/>
      <c r="O37" s="30"/>
      <c r="P37" s="34"/>
      <c r="Q37" s="246">
        <f t="shared" si="1"/>
        <v>0</v>
      </c>
    </row>
    <row r="38" spans="2:17" ht="15">
      <c r="B38" s="276">
        <v>12</v>
      </c>
      <c r="C38" s="218" t="s">
        <v>25</v>
      </c>
      <c r="D38" s="327">
        <f aca="true" t="shared" si="7" ref="D38:J38">IF(ISBLANK(D37),"",D37)</f>
        <v>7</v>
      </c>
      <c r="E38" s="328" t="str">
        <f t="shared" si="7"/>
        <v>CBSST</v>
      </c>
      <c r="F38" s="329">
        <f t="shared" si="7"/>
      </c>
      <c r="G38" s="329">
        <f t="shared" si="7"/>
        <v>42948</v>
      </c>
      <c r="H38" s="329">
        <f t="shared" si="7"/>
        <v>43405</v>
      </c>
      <c r="I38" s="330">
        <f t="shared" si="7"/>
        <v>2080733</v>
      </c>
      <c r="J38" s="330">
        <f t="shared" si="7"/>
      </c>
      <c r="K38" s="275" t="str">
        <f>IF(NOT(ISBLANK(E37)),$K$30,"")</f>
        <v>Project Evaluation</v>
      </c>
      <c r="L38" s="32">
        <v>28806.98</v>
      </c>
      <c r="M38" s="32"/>
      <c r="N38" s="30"/>
      <c r="O38" s="30"/>
      <c r="P38" s="34"/>
      <c r="Q38" s="246">
        <f t="shared" si="1"/>
        <v>28806.98</v>
      </c>
    </row>
    <row r="39" spans="2:17" ht="15">
      <c r="B39" s="276">
        <v>12</v>
      </c>
      <c r="C39" s="218" t="s">
        <v>27</v>
      </c>
      <c r="D39" s="327">
        <f aca="true" t="shared" si="8" ref="D39:J39">IF(ISBLANK(D37),"",D37)</f>
        <v>7</v>
      </c>
      <c r="E39" s="331" t="str">
        <f t="shared" si="8"/>
        <v>CBSST</v>
      </c>
      <c r="F39" s="332">
        <f t="shared" si="8"/>
      </c>
      <c r="G39" s="332">
        <f t="shared" si="8"/>
        <v>42948</v>
      </c>
      <c r="H39" s="332">
        <f t="shared" si="8"/>
        <v>43405</v>
      </c>
      <c r="I39" s="275">
        <f t="shared" si="8"/>
        <v>2080733</v>
      </c>
      <c r="J39" s="275">
        <f t="shared" si="8"/>
      </c>
      <c r="K39" s="275" t="str">
        <f>IF(NOT(ISBLANK(E37)),$K$31,"")</f>
        <v>Project Direct</v>
      </c>
      <c r="L39" s="32">
        <v>259515.37</v>
      </c>
      <c r="M39" s="32"/>
      <c r="N39" s="30"/>
      <c r="O39" s="30"/>
      <c r="P39" s="34"/>
      <c r="Q39" s="246">
        <f t="shared" si="1"/>
        <v>259515.37</v>
      </c>
    </row>
    <row r="40" spans="2:17" ht="15.75">
      <c r="B40" s="333">
        <v>12</v>
      </c>
      <c r="C40" s="333" t="s">
        <v>202</v>
      </c>
      <c r="D40" s="334">
        <f aca="true" t="shared" si="9" ref="D40:J40">IF(ISBLANK(D37),"",D37)</f>
        <v>7</v>
      </c>
      <c r="E40" s="335" t="str">
        <f t="shared" si="9"/>
        <v>CBSST</v>
      </c>
      <c r="F40" s="336">
        <f t="shared" si="9"/>
      </c>
      <c r="G40" s="336">
        <f t="shared" si="9"/>
        <v>42948</v>
      </c>
      <c r="H40" s="336">
        <f t="shared" si="9"/>
        <v>43405</v>
      </c>
      <c r="I40" s="337">
        <f t="shared" si="9"/>
        <v>2080733</v>
      </c>
      <c r="J40" s="337">
        <f t="shared" si="9"/>
      </c>
      <c r="K40" s="279" t="str">
        <f>IF(NOT(ISBLANK(E37)),$K$32,"")</f>
        <v>Project Subtotal</v>
      </c>
      <c r="L40" s="338">
        <f>SUM(L37:L39)</f>
        <v>288322.35</v>
      </c>
      <c r="M40" s="338">
        <f>SUM(M37:M39)</f>
        <v>0</v>
      </c>
      <c r="N40" s="339">
        <f>SUM(N37:N39)</f>
        <v>0</v>
      </c>
      <c r="O40" s="339">
        <f>SUM(O37:O39)</f>
        <v>0</v>
      </c>
      <c r="P40" s="340">
        <f>SUM(P37:P39)</f>
        <v>0</v>
      </c>
      <c r="Q40" s="279">
        <f t="shared" si="1"/>
        <v>288322.35</v>
      </c>
    </row>
    <row r="41" spans="2:17" ht="15">
      <c r="B41" s="276">
        <v>13</v>
      </c>
      <c r="C41" s="293" t="s">
        <v>23</v>
      </c>
      <c r="D41" s="325">
        <f>IF(Q44&lt;&gt;0,VLOOKUP($E$9,Info_County_Code,2,FALSE),"")</f>
        <v>7</v>
      </c>
      <c r="E41" s="134" t="s">
        <v>800</v>
      </c>
      <c r="F41" s="38"/>
      <c r="G41" s="417">
        <v>42948</v>
      </c>
      <c r="H41" s="417">
        <v>43405</v>
      </c>
      <c r="I41" s="30">
        <v>614467</v>
      </c>
      <c r="J41" s="30"/>
      <c r="K41" s="326" t="str">
        <f>IF(NOT(ISBLANK(E41)),$K$29,"")</f>
        <v>Project Administration</v>
      </c>
      <c r="L41" s="32"/>
      <c r="M41" s="32"/>
      <c r="N41" s="30"/>
      <c r="O41" s="30"/>
      <c r="P41" s="34"/>
      <c r="Q41" s="246">
        <f t="shared" si="1"/>
        <v>0</v>
      </c>
    </row>
    <row r="42" spans="2:17" ht="15">
      <c r="B42" s="276">
        <v>13</v>
      </c>
      <c r="C42" s="218" t="s">
        <v>25</v>
      </c>
      <c r="D42" s="327">
        <f aca="true" t="shared" si="10" ref="D42:J42">IF(ISBLANK(D41),"",D41)</f>
        <v>7</v>
      </c>
      <c r="E42" s="328" t="str">
        <f>IF(ISBLANK(E41),"",E41)</f>
        <v>CORE</v>
      </c>
      <c r="F42" s="329">
        <f>IF(ISBLANK(F41),"",F41)</f>
      </c>
      <c r="G42" s="329">
        <f>IF(ISBLANK(G41),"",G41)</f>
        <v>42948</v>
      </c>
      <c r="H42" s="329">
        <f>IF(ISBLANK(H41),"",H41)</f>
        <v>43405</v>
      </c>
      <c r="I42" s="330">
        <f t="shared" si="10"/>
        <v>614467</v>
      </c>
      <c r="J42" s="330">
        <f t="shared" si="10"/>
      </c>
      <c r="K42" s="275" t="str">
        <f>IF(NOT(ISBLANK(E41)),$K$30,"")</f>
        <v>Project Evaluation</v>
      </c>
      <c r="L42" s="32">
        <v>23203.18</v>
      </c>
      <c r="M42" s="32"/>
      <c r="N42" s="30"/>
      <c r="O42" s="30"/>
      <c r="P42" s="34"/>
      <c r="Q42" s="246">
        <f t="shared" si="1"/>
        <v>23203.18</v>
      </c>
    </row>
    <row r="43" spans="2:17" ht="15">
      <c r="B43" s="276">
        <v>13</v>
      </c>
      <c r="C43" s="218" t="s">
        <v>27</v>
      </c>
      <c r="D43" s="327">
        <f aca="true" t="shared" si="11" ref="D43:J43">IF(ISBLANK(D41),"",D41)</f>
        <v>7</v>
      </c>
      <c r="E43" s="331" t="str">
        <f>IF(ISBLANK(E41),"",E41)</f>
        <v>CORE</v>
      </c>
      <c r="F43" s="332">
        <f>IF(ISBLANK(F41),"",F41)</f>
      </c>
      <c r="G43" s="332">
        <f>IF(ISBLANK(G41),"",G41)</f>
        <v>42948</v>
      </c>
      <c r="H43" s="332">
        <f>IF(ISBLANK(H41),"",H41)</f>
        <v>43405</v>
      </c>
      <c r="I43" s="275">
        <f t="shared" si="11"/>
        <v>614467</v>
      </c>
      <c r="J43" s="275">
        <f t="shared" si="11"/>
      </c>
      <c r="K43" s="275" t="str">
        <f>IF(NOT(ISBLANK(E41)),$K$31,"")</f>
        <v>Project Direct</v>
      </c>
      <c r="L43" s="32">
        <v>236007.46</v>
      </c>
      <c r="M43" s="32"/>
      <c r="N43" s="30"/>
      <c r="O43" s="30"/>
      <c r="P43" s="34"/>
      <c r="Q43" s="246">
        <f t="shared" si="1"/>
        <v>236007.46</v>
      </c>
    </row>
    <row r="44" spans="2:17" ht="15.75">
      <c r="B44" s="333">
        <v>13</v>
      </c>
      <c r="C44" s="333" t="s">
        <v>202</v>
      </c>
      <c r="D44" s="334">
        <f aca="true" t="shared" si="12" ref="D44:J44">IF(ISBLANK(D41),"",D41)</f>
        <v>7</v>
      </c>
      <c r="E44" s="335" t="str">
        <f>IF(ISBLANK(E41),"",E41)</f>
        <v>CORE</v>
      </c>
      <c r="F44" s="336">
        <f>IF(ISBLANK(F41),"",F41)</f>
      </c>
      <c r="G44" s="336">
        <f>IF(ISBLANK(G41),"",G41)</f>
        <v>42948</v>
      </c>
      <c r="H44" s="336">
        <f>IF(ISBLANK(H41),"",H41)</f>
        <v>43405</v>
      </c>
      <c r="I44" s="337">
        <f t="shared" si="12"/>
        <v>614467</v>
      </c>
      <c r="J44" s="337">
        <f t="shared" si="12"/>
      </c>
      <c r="K44" s="279" t="str">
        <f>IF(NOT(ISBLANK(E41)),$K$32,"")</f>
        <v>Project Subtotal</v>
      </c>
      <c r="L44" s="338">
        <f>SUM(L41:L43)</f>
        <v>259210.63999999998</v>
      </c>
      <c r="M44" s="338">
        <f>SUM(M41:M43)</f>
        <v>0</v>
      </c>
      <c r="N44" s="339">
        <f>SUM(N41:N43)</f>
        <v>0</v>
      </c>
      <c r="O44" s="339">
        <f>SUM(O41:O43)</f>
        <v>0</v>
      </c>
      <c r="P44" s="340">
        <f>SUM(P41:P43)</f>
        <v>0</v>
      </c>
      <c r="Q44" s="279">
        <f t="shared" si="1"/>
        <v>259210.63999999998</v>
      </c>
    </row>
    <row r="45" spans="2:17" ht="15">
      <c r="B45" s="276">
        <v>14</v>
      </c>
      <c r="C45" s="293" t="s">
        <v>23</v>
      </c>
      <c r="D45" s="325">
        <f>IF(Q48&lt;&gt;0,VLOOKUP($E$9,Info_County_Code,2,FALSE),"")</f>
        <v>7</v>
      </c>
      <c r="E45" s="134" t="s">
        <v>805</v>
      </c>
      <c r="F45" s="38"/>
      <c r="G45" s="417">
        <v>42309</v>
      </c>
      <c r="H45" s="417">
        <v>42614</v>
      </c>
      <c r="I45" s="30">
        <v>1180860</v>
      </c>
      <c r="J45" s="30"/>
      <c r="K45" s="326" t="str">
        <f>IF(NOT(ISBLANK(E45)),$K$29,"")</f>
        <v>Project Administration</v>
      </c>
      <c r="L45" s="32"/>
      <c r="M45" s="32"/>
      <c r="N45" s="30"/>
      <c r="O45" s="30"/>
      <c r="P45" s="34"/>
      <c r="Q45" s="246">
        <f t="shared" si="1"/>
        <v>0</v>
      </c>
    </row>
    <row r="46" spans="2:17" ht="15">
      <c r="B46" s="276">
        <v>14</v>
      </c>
      <c r="C46" s="218" t="s">
        <v>25</v>
      </c>
      <c r="D46" s="327">
        <f aca="true" t="shared" si="13" ref="D46:J46">IF(ISBLANK(D45),"",D45)</f>
        <v>7</v>
      </c>
      <c r="E46" s="328" t="str">
        <f>IF(ISBLANK(E45),"",E45)</f>
        <v>Overcoming Transportation Barriers</v>
      </c>
      <c r="F46" s="329">
        <f>IF(ISBLANK(F45),"",F45)</f>
      </c>
      <c r="G46" s="329">
        <f>IF(ISBLANK(G45),"",G45)</f>
        <v>42309</v>
      </c>
      <c r="H46" s="329">
        <f>IF(ISBLANK(H45),"",H45)</f>
        <v>42614</v>
      </c>
      <c r="I46" s="330">
        <f t="shared" si="13"/>
        <v>1180860</v>
      </c>
      <c r="J46" s="330">
        <f t="shared" si="13"/>
      </c>
      <c r="K46" s="275" t="str">
        <f>IF(NOT(ISBLANK(E45)),$K$30,"")</f>
        <v>Project Evaluation</v>
      </c>
      <c r="L46" s="32">
        <v>41408.32</v>
      </c>
      <c r="M46" s="32"/>
      <c r="N46" s="30"/>
      <c r="O46" s="30"/>
      <c r="P46" s="34"/>
      <c r="Q46" s="246">
        <f t="shared" si="1"/>
        <v>41408.32</v>
      </c>
    </row>
    <row r="47" spans="2:17" ht="15">
      <c r="B47" s="276">
        <v>14</v>
      </c>
      <c r="C47" s="218" t="s">
        <v>27</v>
      </c>
      <c r="D47" s="327">
        <f aca="true" t="shared" si="14" ref="D47:J47">IF(ISBLANK(D45),"",D45)</f>
        <v>7</v>
      </c>
      <c r="E47" s="331" t="str">
        <f>IF(ISBLANK(E45),"",E45)</f>
        <v>Overcoming Transportation Barriers</v>
      </c>
      <c r="F47" s="332">
        <f>IF(ISBLANK(F45),"",F45)</f>
      </c>
      <c r="G47" s="332">
        <f>IF(ISBLANK(G45),"",G45)</f>
        <v>42309</v>
      </c>
      <c r="H47" s="332">
        <f>IF(ISBLANK(H45),"",H45)</f>
        <v>42614</v>
      </c>
      <c r="I47" s="275">
        <f t="shared" si="14"/>
        <v>1180860</v>
      </c>
      <c r="J47" s="275">
        <f t="shared" si="14"/>
      </c>
      <c r="K47" s="275" t="str">
        <f>IF(NOT(ISBLANK(E45)),$K$31,"")</f>
        <v>Project Direct</v>
      </c>
      <c r="L47" s="32">
        <v>162458.38</v>
      </c>
      <c r="M47" s="32"/>
      <c r="N47" s="30"/>
      <c r="O47" s="30"/>
      <c r="P47" s="34"/>
      <c r="Q47" s="246">
        <f t="shared" si="1"/>
        <v>162458.38</v>
      </c>
    </row>
    <row r="48" spans="2:17" ht="15.75">
      <c r="B48" s="333">
        <v>14</v>
      </c>
      <c r="C48" s="333" t="s">
        <v>202</v>
      </c>
      <c r="D48" s="334">
        <f aca="true" t="shared" si="15" ref="D48:J48">IF(ISBLANK(D45),"",D45)</f>
        <v>7</v>
      </c>
      <c r="E48" s="335" t="str">
        <f>IF(ISBLANK(E45),"",E45)</f>
        <v>Overcoming Transportation Barriers</v>
      </c>
      <c r="F48" s="336">
        <f>IF(ISBLANK(F45),"",F45)</f>
      </c>
      <c r="G48" s="336">
        <f>IF(ISBLANK(G45),"",G45)</f>
        <v>42309</v>
      </c>
      <c r="H48" s="336">
        <f>IF(ISBLANK(H45),"",H45)</f>
        <v>42614</v>
      </c>
      <c r="I48" s="337">
        <f t="shared" si="15"/>
        <v>1180860</v>
      </c>
      <c r="J48" s="337">
        <f t="shared" si="15"/>
      </c>
      <c r="K48" s="279" t="str">
        <f>IF(NOT(ISBLANK(E45)),$K$32,"")</f>
        <v>Project Subtotal</v>
      </c>
      <c r="L48" s="338">
        <f>SUM(L45:L47)</f>
        <v>203866.7</v>
      </c>
      <c r="M48" s="338">
        <f>SUM(M45:M47)</f>
        <v>0</v>
      </c>
      <c r="N48" s="339">
        <f>SUM(N45:N47)</f>
        <v>0</v>
      </c>
      <c r="O48" s="339">
        <f>SUM(O45:O47)</f>
        <v>0</v>
      </c>
      <c r="P48" s="340">
        <f>SUM(P45:P47)</f>
        <v>0</v>
      </c>
      <c r="Q48" s="279">
        <f t="shared" si="1"/>
        <v>203866.7</v>
      </c>
    </row>
    <row r="49" spans="2:17" ht="15">
      <c r="B49" s="276">
        <v>15</v>
      </c>
      <c r="C49" s="293" t="s">
        <v>23</v>
      </c>
      <c r="D49" s="325">
        <f>IF(Q52&lt;&gt;0,VLOOKUP($E$9,Info_County_Code,2,FALSE),"")</f>
        <v>7</v>
      </c>
      <c r="E49" s="134" t="s">
        <v>806</v>
      </c>
      <c r="F49" s="38"/>
      <c r="G49" s="417">
        <v>40756</v>
      </c>
      <c r="H49" s="417">
        <v>41456</v>
      </c>
      <c r="I49" s="30">
        <v>2100935</v>
      </c>
      <c r="J49" s="30"/>
      <c r="K49" s="326" t="str">
        <f>IF(NOT(ISBLANK(E49)),$K$29,"")</f>
        <v>Project Administration</v>
      </c>
      <c r="L49" s="32"/>
      <c r="M49" s="32"/>
      <c r="N49" s="30"/>
      <c r="O49" s="30"/>
      <c r="P49" s="34"/>
      <c r="Q49" s="246">
        <f t="shared" si="1"/>
        <v>0</v>
      </c>
    </row>
    <row r="50" spans="2:17" ht="15">
      <c r="B50" s="276">
        <v>15</v>
      </c>
      <c r="C50" s="218" t="s">
        <v>25</v>
      </c>
      <c r="D50" s="327">
        <f aca="true" t="shared" si="16" ref="D50:J50">IF(ISBLANK(D49),"",D49)</f>
        <v>7</v>
      </c>
      <c r="E50" s="328" t="str">
        <f t="shared" si="16"/>
        <v>LBGTQ- Youth</v>
      </c>
      <c r="F50" s="329">
        <f t="shared" si="16"/>
      </c>
      <c r="G50" s="329">
        <f t="shared" si="16"/>
        <v>40756</v>
      </c>
      <c r="H50" s="329">
        <f t="shared" si="16"/>
        <v>41456</v>
      </c>
      <c r="I50" s="330">
        <f t="shared" si="16"/>
        <v>2100935</v>
      </c>
      <c r="J50" s="330">
        <f t="shared" si="16"/>
      </c>
      <c r="K50" s="275" t="str">
        <f>IF(NOT(ISBLANK(E49)),$K$30,"")</f>
        <v>Project Evaluation</v>
      </c>
      <c r="L50" s="32"/>
      <c r="M50" s="32"/>
      <c r="N50" s="30"/>
      <c r="O50" s="30"/>
      <c r="P50" s="34"/>
      <c r="Q50" s="246">
        <f t="shared" si="1"/>
        <v>0</v>
      </c>
    </row>
    <row r="51" spans="2:17" ht="15">
      <c r="B51" s="276">
        <v>15</v>
      </c>
      <c r="C51" s="218" t="s">
        <v>27</v>
      </c>
      <c r="D51" s="327">
        <f aca="true" t="shared" si="17" ref="D51:J51">IF(ISBLANK(D49),"",D49)</f>
        <v>7</v>
      </c>
      <c r="E51" s="331" t="str">
        <f t="shared" si="17"/>
        <v>LBGTQ- Youth</v>
      </c>
      <c r="F51" s="332">
        <f t="shared" si="17"/>
      </c>
      <c r="G51" s="332">
        <f t="shared" si="17"/>
        <v>40756</v>
      </c>
      <c r="H51" s="332">
        <f t="shared" si="17"/>
        <v>41456</v>
      </c>
      <c r="I51" s="275">
        <f t="shared" si="17"/>
        <v>2100935</v>
      </c>
      <c r="J51" s="275">
        <f t="shared" si="17"/>
      </c>
      <c r="K51" s="275" t="str">
        <f>IF(NOT(ISBLANK(E49)),$K$31,"")</f>
        <v>Project Direct</v>
      </c>
      <c r="L51" s="32">
        <v>237963.69</v>
      </c>
      <c r="M51" s="32"/>
      <c r="N51" s="30"/>
      <c r="O51" s="30"/>
      <c r="P51" s="34"/>
      <c r="Q51" s="246">
        <f t="shared" si="1"/>
        <v>237963.69</v>
      </c>
    </row>
    <row r="52" spans="2:17" ht="15.75">
      <c r="B52" s="333">
        <v>15</v>
      </c>
      <c r="C52" s="333" t="s">
        <v>202</v>
      </c>
      <c r="D52" s="334">
        <f aca="true" t="shared" si="18" ref="D52:J52">IF(ISBLANK(D49),"",D49)</f>
        <v>7</v>
      </c>
      <c r="E52" s="335" t="str">
        <f t="shared" si="18"/>
        <v>LBGTQ- Youth</v>
      </c>
      <c r="F52" s="336">
        <f t="shared" si="18"/>
      </c>
      <c r="G52" s="336">
        <f t="shared" si="18"/>
        <v>40756</v>
      </c>
      <c r="H52" s="336">
        <f t="shared" si="18"/>
        <v>41456</v>
      </c>
      <c r="I52" s="337">
        <f t="shared" si="18"/>
        <v>2100935</v>
      </c>
      <c r="J52" s="337">
        <f t="shared" si="18"/>
      </c>
      <c r="K52" s="279" t="str">
        <f>IF(NOT(ISBLANK(E49)),$K$32,"")</f>
        <v>Project Subtotal</v>
      </c>
      <c r="L52" s="338">
        <f>SUM(L49:L51)</f>
        <v>237963.69</v>
      </c>
      <c r="M52" s="338">
        <f>SUM(M49:M51)</f>
        <v>0</v>
      </c>
      <c r="N52" s="339">
        <f>SUM(N49:N51)</f>
        <v>0</v>
      </c>
      <c r="O52" s="339">
        <f>SUM(O49:O51)</f>
        <v>0</v>
      </c>
      <c r="P52" s="340">
        <f>SUM(P49:P51)</f>
        <v>0</v>
      </c>
      <c r="Q52" s="279">
        <f t="shared" si="1"/>
        <v>237963.69</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1" horizontalDpi="600" verticalDpi="600" orientation="landscape" paperSize="5" scale="49" r:id="rId1"/>
  <headerFooter>
    <oddFooter>&amp;C&amp;"Arial,Regular"&amp;16Page &amp;P of &amp;N</oddFooter>
  </headerFooter>
  <rowBreaks count="3" manualBreakCount="3">
    <brk id="24" max="16" man="1"/>
    <brk id="52" max="16"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
      <selection activeCell="A20" sqref="A20"/>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1">
      <selection activeCell="A1" sqref="A1:K65536"/>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2018-19</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Contra Costa</v>
      </c>
      <c r="F9" s="226" t="s">
        <v>1</v>
      </c>
      <c r="G9" s="346">
        <f>IF(ISBLANK('1. Information'!D9),"",'1. Information'!D9)</f>
        <v>43819</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c r="G15" s="136"/>
      <c r="H15" s="136"/>
      <c r="I15" s="136"/>
      <c r="J15" s="136"/>
      <c r="K15" s="241">
        <f>SUM(F15:J15)</f>
        <v>0</v>
      </c>
      <c r="L15" s="175"/>
      <c r="M15" s="175"/>
      <c r="N15" s="27"/>
      <c r="O15" s="27"/>
    </row>
    <row r="16" spans="1:15" ht="15.75">
      <c r="A16" s="27"/>
      <c r="B16" s="300">
        <v>2</v>
      </c>
      <c r="C16" s="163" t="s">
        <v>14</v>
      </c>
      <c r="D16" s="242"/>
      <c r="E16" s="350"/>
      <c r="F16" s="136"/>
      <c r="G16" s="136"/>
      <c r="H16" s="136"/>
      <c r="I16" s="136"/>
      <c r="J16" s="136"/>
      <c r="K16" s="241">
        <f aca="true" t="shared" si="0" ref="K16:K21">SUM(F16:J16)</f>
        <v>0</v>
      </c>
      <c r="L16" s="175"/>
      <c r="M16" s="175"/>
      <c r="N16" s="27"/>
      <c r="O16" s="27"/>
    </row>
    <row r="17" spans="1:15" ht="15.75">
      <c r="A17" s="27"/>
      <c r="B17" s="300">
        <v>3</v>
      </c>
      <c r="C17" s="163" t="s">
        <v>198</v>
      </c>
      <c r="D17" s="242"/>
      <c r="E17" s="350"/>
      <c r="F17" s="126">
        <v>234353.92</v>
      </c>
      <c r="G17" s="136"/>
      <c r="H17" s="136"/>
      <c r="I17" s="136"/>
      <c r="J17" s="136"/>
      <c r="K17" s="241">
        <f t="shared" si="0"/>
        <v>234353.92</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2186891.4</v>
      </c>
      <c r="G20" s="351">
        <f>SUM(F28:F32)</f>
        <v>0</v>
      </c>
      <c r="H20" s="330">
        <f>SUM(G28:G32)</f>
        <v>0</v>
      </c>
      <c r="I20" s="330">
        <f>SUM(H28:H32)</f>
        <v>0</v>
      </c>
      <c r="J20" s="330">
        <f>SUM(I28:I32)</f>
        <v>0</v>
      </c>
      <c r="K20" s="246">
        <f t="shared" si="0"/>
        <v>2186891.4</v>
      </c>
      <c r="L20" s="175"/>
      <c r="M20" s="175"/>
      <c r="N20" s="27"/>
      <c r="O20" s="27"/>
    </row>
    <row r="21" spans="1:15" ht="30.75" customHeight="1">
      <c r="A21" s="27"/>
      <c r="B21" s="300">
        <v>7</v>
      </c>
      <c r="C21" s="277" t="s">
        <v>188</v>
      </c>
      <c r="D21" s="277"/>
      <c r="E21" s="277"/>
      <c r="F21" s="279">
        <f>SUM(F15:F17,F19:F20)</f>
        <v>2421245.32</v>
      </c>
      <c r="G21" s="251">
        <f>SUM(G15:G17,G20)</f>
        <v>0</v>
      </c>
      <c r="H21" s="250">
        <f>SUM(H15:H17,H20)</f>
        <v>0</v>
      </c>
      <c r="I21" s="250">
        <f>SUM(I15:I17,I20)</f>
        <v>0</v>
      </c>
      <c r="J21" s="250">
        <f>SUM(J15:J17,J20)</f>
        <v>0</v>
      </c>
      <c r="K21" s="279">
        <f t="shared" si="0"/>
        <v>2421245.32</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v>7</v>
      </c>
      <c r="D28" s="355" t="s">
        <v>98</v>
      </c>
      <c r="E28" s="126">
        <v>385480.24</v>
      </c>
      <c r="F28" s="32"/>
      <c r="G28" s="31"/>
      <c r="H28" s="31"/>
      <c r="I28" s="128"/>
      <c r="J28" s="275">
        <f>SUM(E28:I28)</f>
        <v>385480.24</v>
      </c>
      <c r="K28" s="175"/>
      <c r="L28" s="175"/>
      <c r="M28" s="175"/>
      <c r="N28" s="175"/>
      <c r="O28" s="175"/>
      <c r="P28" s="175"/>
      <c r="Q28" s="175"/>
      <c r="R28" s="175"/>
    </row>
    <row r="29" spans="1:18" ht="15.75">
      <c r="A29" s="27"/>
      <c r="B29" s="300">
        <v>9</v>
      </c>
      <c r="C29" s="301">
        <f>IF(J29&lt;&gt;0,VLOOKUP($D$9,Info_County_Code,2,FALSE),"")</f>
        <v>7</v>
      </c>
      <c r="D29" s="355" t="s">
        <v>99</v>
      </c>
      <c r="E29" s="126">
        <v>803838.14</v>
      </c>
      <c r="F29" s="32"/>
      <c r="G29" s="31"/>
      <c r="H29" s="31"/>
      <c r="I29" s="128"/>
      <c r="J29" s="275">
        <f>SUM(E29:I29)</f>
        <v>803838.14</v>
      </c>
      <c r="K29" s="175"/>
      <c r="L29" s="175"/>
      <c r="M29" s="175"/>
      <c r="N29" s="175"/>
      <c r="O29" s="175"/>
      <c r="P29" s="175"/>
      <c r="Q29" s="175"/>
      <c r="R29" s="175"/>
    </row>
    <row r="30" spans="1:18" ht="15.75">
      <c r="A30" s="27"/>
      <c r="B30" s="300">
        <v>10</v>
      </c>
      <c r="C30" s="301">
        <f>IF(J30&lt;&gt;0,VLOOKUP($D$9,Info_County_Code,2,FALSE),"")</f>
        <v>7</v>
      </c>
      <c r="D30" s="219" t="s">
        <v>295</v>
      </c>
      <c r="E30" s="126">
        <v>329843.59</v>
      </c>
      <c r="F30" s="32"/>
      <c r="G30" s="31"/>
      <c r="H30" s="31"/>
      <c r="I30" s="128"/>
      <c r="J30" s="275">
        <f>SUM(E30:I30)</f>
        <v>329843.59</v>
      </c>
      <c r="K30" s="175"/>
      <c r="L30" s="175"/>
      <c r="M30" s="175"/>
      <c r="N30" s="175"/>
      <c r="O30" s="175"/>
      <c r="P30" s="175"/>
      <c r="Q30" s="175"/>
      <c r="R30" s="175"/>
    </row>
    <row r="31" spans="1:18" ht="15.75">
      <c r="A31" s="27"/>
      <c r="B31" s="354">
        <v>11</v>
      </c>
      <c r="C31" s="301">
        <f>IF(J31&lt;&gt;0,VLOOKUP($D$9,Info_County_Code,2,FALSE),"")</f>
        <v>7</v>
      </c>
      <c r="D31" s="355" t="s">
        <v>101</v>
      </c>
      <c r="E31" s="126">
        <v>369281.59</v>
      </c>
      <c r="F31" s="32"/>
      <c r="G31" s="31"/>
      <c r="H31" s="31"/>
      <c r="I31" s="128"/>
      <c r="J31" s="275">
        <f>SUM(E31:I31)</f>
        <v>369281.59</v>
      </c>
      <c r="K31" s="175"/>
      <c r="L31" s="175"/>
      <c r="M31" s="175"/>
      <c r="N31" s="175"/>
      <c r="O31" s="175"/>
      <c r="P31" s="175"/>
      <c r="Q31" s="175"/>
      <c r="R31" s="175"/>
    </row>
    <row r="32" spans="1:18" ht="15.75">
      <c r="A32" s="27"/>
      <c r="B32" s="300">
        <v>12</v>
      </c>
      <c r="C32" s="301">
        <f>IF(J32&lt;&gt;0,VLOOKUP($D$9,Info_County_Code,2,FALSE),"")</f>
        <v>7</v>
      </c>
      <c r="D32" s="355" t="s">
        <v>102</v>
      </c>
      <c r="E32" s="126">
        <v>298447.84</v>
      </c>
      <c r="F32" s="32"/>
      <c r="G32" s="31"/>
      <c r="H32" s="31"/>
      <c r="I32" s="128"/>
      <c r="J32" s="275">
        <f>SUM(E32:I32)</f>
        <v>298447.84</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78"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1">
      <selection activeCell="F36" sqref="F36"/>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421875" style="27" customWidth="1"/>
    <col min="9" max="9" width="20.28125" style="27" customWidth="1"/>
    <col min="10" max="12" width="17.7109375" style="27" customWidth="1"/>
    <col min="13" max="13" width="1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2018-19</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Contra Costa</v>
      </c>
      <c r="E9" s="8"/>
      <c r="F9" s="162" t="s">
        <v>1</v>
      </c>
      <c r="G9" s="264">
        <f>IF(ISBLANK('1. Information'!D9),"",'1. Information'!D9)</f>
        <v>43819</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c r="G15" s="136"/>
      <c r="H15" s="136"/>
      <c r="I15" s="136"/>
      <c r="J15" s="136"/>
      <c r="K15" s="326">
        <f>SUM(F15:J15)</f>
        <v>0</v>
      </c>
      <c r="L15" s="175"/>
      <c r="M15" s="175"/>
      <c r="U15" s="27"/>
      <c r="V15" s="27"/>
      <c r="W15" s="27"/>
    </row>
    <row r="16" spans="2:23" ht="15.75">
      <c r="B16" s="300">
        <v>2</v>
      </c>
      <c r="C16" s="162" t="s">
        <v>309</v>
      </c>
      <c r="D16" s="225"/>
      <c r="E16" s="358"/>
      <c r="F16" s="136"/>
      <c r="G16" s="136"/>
      <c r="H16" s="136"/>
      <c r="I16" s="136"/>
      <c r="J16" s="136"/>
      <c r="K16" s="326">
        <f>SUM(F16:J16)</f>
        <v>0</v>
      </c>
      <c r="L16" s="175"/>
      <c r="M16" s="175"/>
      <c r="U16" s="27"/>
      <c r="V16" s="27"/>
      <c r="W16" s="27"/>
    </row>
    <row r="17" spans="2:23" ht="15.75">
      <c r="B17" s="300">
        <v>3</v>
      </c>
      <c r="C17" s="162" t="s">
        <v>311</v>
      </c>
      <c r="D17" s="225"/>
      <c r="E17" s="358"/>
      <c r="F17" s="136"/>
      <c r="G17" s="136"/>
      <c r="H17" s="136"/>
      <c r="I17" s="136"/>
      <c r="J17" s="136"/>
      <c r="K17" s="326">
        <f>SUM(F17:J17)</f>
        <v>0</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153789.84999999998</v>
      </c>
      <c r="G20" s="351">
        <f>SUM(H27:H46)</f>
        <v>0</v>
      </c>
      <c r="H20" s="330">
        <f>SUM(I27:I46)</f>
        <v>0</v>
      </c>
      <c r="I20" s="330">
        <f>SUM(J27:J46)</f>
        <v>0</v>
      </c>
      <c r="J20" s="275">
        <f>SUM(K27:K46)</f>
        <v>0</v>
      </c>
      <c r="K20" s="326">
        <f>SUM(F20:J20)</f>
        <v>153789.84999999998</v>
      </c>
      <c r="L20" s="175"/>
      <c r="M20" s="175"/>
      <c r="U20" s="27"/>
      <c r="V20" s="27"/>
      <c r="W20" s="27"/>
    </row>
    <row r="21" spans="2:23" ht="30.75" customHeight="1">
      <c r="B21" s="300">
        <v>7</v>
      </c>
      <c r="C21" s="359" t="s">
        <v>768</v>
      </c>
      <c r="D21" s="360"/>
      <c r="E21" s="361"/>
      <c r="F21" s="279">
        <f>SUM(F15:F17,F19:F20)</f>
        <v>153789.84999999998</v>
      </c>
      <c r="G21" s="251">
        <f>SUM(G15:G17,G20)</f>
        <v>0</v>
      </c>
      <c r="H21" s="251">
        <f>SUM(H15:H17,H20)</f>
        <v>0</v>
      </c>
      <c r="I21" s="251">
        <f>SUM(I15:I17,I20)</f>
        <v>0</v>
      </c>
      <c r="J21" s="251">
        <f>SUM(J15:J17,J20)</f>
        <v>0</v>
      </c>
      <c r="K21" s="250">
        <f>SUM(F21:J21)</f>
        <v>153789.84999999998</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v>7</v>
      </c>
      <c r="D27" s="134" t="s">
        <v>796</v>
      </c>
      <c r="E27" s="144"/>
      <c r="F27" s="148" t="s">
        <v>155</v>
      </c>
      <c r="G27" s="126">
        <v>153789.84999999998</v>
      </c>
      <c r="H27" s="126"/>
      <c r="I27" s="126"/>
      <c r="J27" s="129"/>
      <c r="K27" s="126"/>
      <c r="L27" s="364">
        <f>SUM(G27:K27)</f>
        <v>153789.84999999998</v>
      </c>
      <c r="M27" s="175"/>
      <c r="U27" s="27"/>
      <c r="V27" s="27"/>
      <c r="W27" s="27"/>
    </row>
    <row r="28" spans="2:23" ht="15.75">
      <c r="B28" s="300">
        <v>9</v>
      </c>
      <c r="C28" s="301">
        <f t="shared" si="0"/>
      </c>
      <c r="D28" s="144"/>
      <c r="E28" s="144"/>
      <c r="F28" s="127"/>
      <c r="G28" s="126"/>
      <c r="H28" s="126"/>
      <c r="I28" s="126"/>
      <c r="J28" s="129"/>
      <c r="K28" s="126"/>
      <c r="L28" s="364">
        <f aca="true" t="shared" si="1" ref="L28:L46">SUM(G28:K28)</f>
        <v>0</v>
      </c>
      <c r="M28" s="175"/>
      <c r="U28" s="27"/>
      <c r="V28" s="27"/>
      <c r="W28" s="27"/>
    </row>
    <row r="29" spans="2:23" ht="15.75">
      <c r="B29" s="300">
        <v>10</v>
      </c>
      <c r="C29" s="301">
        <f t="shared" si="0"/>
      </c>
      <c r="D29" s="144"/>
      <c r="E29" s="144"/>
      <c r="F29" s="127"/>
      <c r="G29" s="126"/>
      <c r="H29" s="126"/>
      <c r="I29" s="126"/>
      <c r="J29" s="129"/>
      <c r="K29" s="126"/>
      <c r="L29" s="364">
        <f t="shared" si="1"/>
        <v>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password="C72E"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type="list" allowBlank="1" showInputMessage="1" showErrorMessage="1" prompt="Use drop down menu to select Project Type. " sqref="F27:F46">
      <formula1>CSS_Service_Category</formula1>
    </dataValidation>
    <dataValidation allowBlank="1" showInputMessage="1" showErrorMessage="1" prompt="Type in Prior Program Name. " sqref="E27:E46"/>
    <dataValidation allowBlank="1" showInputMessage="1" showErrorMessage="1" prompt="Type in Program Name. " sqref="D27:D46"/>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1">
      <selection activeCell="A16" sqref="A16"/>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1">
      <selection activeCell="E35" sqref="E35"/>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2018-19</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Contra Costa</v>
      </c>
      <c r="E9" s="2"/>
      <c r="F9" s="365" t="s">
        <v>156</v>
      </c>
      <c r="G9" s="264">
        <f>IF(ISBLANK('1. Information'!D9),"",'1. Information'!D9)</f>
        <v>43819</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15">
      <c r="B15" s="300">
        <v>1</v>
      </c>
      <c r="C15" s="301">
        <f aca="true" t="shared" si="0" ref="C15:C44">IF(G15&lt;&gt;0,VLOOKUP($D$9,Info_County_Code,2,FALSE),"")</f>
      </c>
      <c r="D15" s="40"/>
      <c r="E15" s="40"/>
      <c r="F15" s="150"/>
      <c r="G15" s="132"/>
      <c r="H15" s="134"/>
    </row>
    <row r="16" spans="2:8" ht="15">
      <c r="B16" s="300">
        <v>2</v>
      </c>
      <c r="C16" s="301">
        <f t="shared" si="0"/>
      </c>
      <c r="D16" s="40"/>
      <c r="E16" s="40"/>
      <c r="F16" s="150"/>
      <c r="G16" s="132"/>
      <c r="H16" s="134"/>
    </row>
    <row r="17" spans="2:8" ht="15">
      <c r="B17" s="300">
        <v>3</v>
      </c>
      <c r="C17" s="301">
        <f t="shared" si="0"/>
      </c>
      <c r="D17" s="40"/>
      <c r="E17" s="40"/>
      <c r="F17" s="150"/>
      <c r="G17" s="132"/>
      <c r="H17" s="134"/>
    </row>
    <row r="18" spans="2:8" ht="15">
      <c r="B18" s="300">
        <v>4</v>
      </c>
      <c r="C18" s="301">
        <f t="shared" si="0"/>
      </c>
      <c r="D18" s="40"/>
      <c r="E18" s="40"/>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D21" sqref="D21"/>
    </sheetView>
  </sheetViews>
  <sheetFormatPr defaultColWidth="0" defaultRowHeight="15" zeroHeight="1"/>
  <cols>
    <col min="1" max="1" width="2.7109375" style="27" customWidth="1"/>
    <col min="2" max="2" width="6.7109375" style="27" customWidth="1"/>
    <col min="3" max="3" width="9.421875" style="27" customWidth="1"/>
    <col min="4" max="4" width="17.421875" style="27" customWidth="1"/>
    <col min="5" max="5" width="15.421875" style="27" bestFit="1" customWidth="1"/>
    <col min="6" max="6" width="15.00390625" style="27" bestFit="1" customWidth="1"/>
    <col min="7" max="7" width="30.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2018-19</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Contra Costa</v>
      </c>
      <c r="F9" s="226" t="s">
        <v>1</v>
      </c>
      <c r="G9" s="346">
        <f>IF(ISBLANK('1. Information'!D9),"",'1. Information'!D9)</f>
        <v>43819</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18" sqref="D18"/>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421875" style="25" hidden="1" customWidth="1"/>
    <col min="10" max="16384" width="11.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2018-19</v>
      </c>
      <c r="C6" s="1"/>
      <c r="D6" s="1"/>
    </row>
    <row r="7" spans="2:5" ht="18">
      <c r="B7" s="382" t="s">
        <v>282</v>
      </c>
      <c r="C7" s="1"/>
      <c r="D7" s="1"/>
      <c r="E7" s="27"/>
    </row>
    <row r="8" ht="15">
      <c r="D8" s="131"/>
    </row>
    <row r="9" spans="2:4" ht="34.5" customHeight="1">
      <c r="B9" s="203">
        <v>1</v>
      </c>
      <c r="C9" s="209" t="s">
        <v>1</v>
      </c>
      <c r="D9" s="113">
        <v>43819</v>
      </c>
    </row>
    <row r="10" spans="2:4" ht="34.5" customHeight="1">
      <c r="B10" s="203">
        <v>2</v>
      </c>
      <c r="C10" s="205" t="s">
        <v>303</v>
      </c>
      <c r="D10" s="151" t="s">
        <v>782</v>
      </c>
    </row>
    <row r="11" spans="2:4" ht="34.5" customHeight="1">
      <c r="B11" s="203">
        <v>3</v>
      </c>
      <c r="C11" s="204" t="s">
        <v>0</v>
      </c>
      <c r="D11" s="135" t="s">
        <v>42</v>
      </c>
    </row>
    <row r="12" spans="2:4" ht="34.5" customHeight="1">
      <c r="B12" s="203">
        <v>4</v>
      </c>
      <c r="C12" s="206" t="s">
        <v>113</v>
      </c>
      <c r="D12" s="182">
        <f>IF(ISBLANK(D11),"",VLOOKUP(D11,Info_County_Code,2))</f>
        <v>7</v>
      </c>
    </row>
    <row r="13" spans="2:4" ht="34.5" customHeight="1">
      <c r="B13" s="203">
        <v>5</v>
      </c>
      <c r="C13" s="204" t="s">
        <v>114</v>
      </c>
      <c r="D13" s="412" t="s">
        <v>783</v>
      </c>
    </row>
    <row r="14" spans="2:4" ht="34.5" customHeight="1">
      <c r="B14" s="203">
        <v>6</v>
      </c>
      <c r="C14" s="204" t="s">
        <v>115</v>
      </c>
      <c r="D14" s="135" t="s">
        <v>784</v>
      </c>
    </row>
    <row r="15" spans="2:4" ht="34.5" customHeight="1">
      <c r="B15" s="203">
        <v>7</v>
      </c>
      <c r="C15" s="204" t="s">
        <v>116</v>
      </c>
      <c r="D15" s="172">
        <v>94553</v>
      </c>
    </row>
    <row r="16" spans="2:4" ht="34.5" customHeight="1">
      <c r="B16" s="203">
        <v>8</v>
      </c>
      <c r="C16" s="207" t="s">
        <v>162</v>
      </c>
      <c r="D16" s="183" t="str">
        <f>IF(ISBLANK(D11),"",VLOOKUP(D11,County_Population,5,FALSE))</f>
        <v>Yes</v>
      </c>
    </row>
    <row r="17" spans="2:4" ht="34.5" customHeight="1">
      <c r="B17" s="203">
        <v>9</v>
      </c>
      <c r="C17" s="204" t="s">
        <v>112</v>
      </c>
      <c r="D17" s="135" t="s">
        <v>802</v>
      </c>
    </row>
    <row r="18" spans="2:4" ht="34.5" customHeight="1">
      <c r="B18" s="203">
        <v>10</v>
      </c>
      <c r="C18" s="208" t="s">
        <v>167</v>
      </c>
      <c r="D18" s="413" t="s">
        <v>801</v>
      </c>
    </row>
    <row r="19" spans="2:4" ht="34.5" customHeight="1">
      <c r="B19" s="203">
        <v>11</v>
      </c>
      <c r="C19" s="208" t="s">
        <v>184</v>
      </c>
      <c r="D19" s="413" t="s">
        <v>804</v>
      </c>
    </row>
    <row r="20" spans="2:4" ht="34.5" customHeight="1">
      <c r="B20" s="203">
        <v>12</v>
      </c>
      <c r="C20" s="209" t="s">
        <v>280</v>
      </c>
      <c r="D20" s="414" t="s">
        <v>803</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20" sqref="E20"/>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2018-19</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Contra Costa</v>
      </c>
      <c r="F9" s="226" t="s">
        <v>1</v>
      </c>
      <c r="G9" s="346">
        <f>IF(ISBLANK('1. Information'!D9),"",'1. Information'!D9)</f>
        <v>43819</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15">
      <c r="B13" s="375">
        <v>1</v>
      </c>
      <c r="C13" s="169"/>
      <c r="D13" s="169"/>
      <c r="E13" s="117"/>
    </row>
    <row r="14" spans="2:5" ht="15">
      <c r="B14" s="376">
        <v>2</v>
      </c>
      <c r="C14" s="169"/>
      <c r="D14" s="169"/>
      <c r="E14" s="117"/>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Contra Costa</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9" t="s">
        <v>148</v>
      </c>
      <c r="B1" s="420"/>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38"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421875" style="55" customWidth="1"/>
    <col min="8" max="16384" width="19.421875" style="55" customWidth="1"/>
  </cols>
  <sheetData>
    <row r="1" ht="15">
      <c r="D1" s="56" t="s">
        <v>170</v>
      </c>
    </row>
    <row r="2" spans="1:5" ht="14.25" customHeight="1">
      <c r="A2" s="422" t="s">
        <v>171</v>
      </c>
      <c r="B2" s="422"/>
      <c r="C2" s="422"/>
      <c r="D2" s="422"/>
      <c r="E2" s="422"/>
    </row>
    <row r="3" spans="1:5" ht="14.25" customHeight="1">
      <c r="A3" s="422" t="s">
        <v>235</v>
      </c>
      <c r="B3" s="422"/>
      <c r="C3" s="422"/>
      <c r="D3" s="422"/>
      <c r="E3" s="422"/>
    </row>
    <row r="4" spans="1:4" ht="14.25" customHeight="1" thickBot="1">
      <c r="A4" s="57"/>
      <c r="B4" s="58"/>
      <c r="C4" s="59"/>
      <c r="D4" s="60"/>
    </row>
    <row r="5" spans="1:5" ht="14.25" customHeight="1">
      <c r="A5" s="61" t="s">
        <v>172</v>
      </c>
      <c r="B5" s="421" t="s">
        <v>173</v>
      </c>
      <c r="C5" s="421"/>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dimension ref="A1:J46"/>
  <sheetViews>
    <sheetView showGridLines="0" zoomScale="80" zoomScaleNormal="80" zoomScaleSheetLayoutView="40" zoomScalePageLayoutView="85" workbookViewId="0" topLeftCell="A4">
      <selection activeCell="C45" sqref="C45"/>
    </sheetView>
  </sheetViews>
  <sheetFormatPr defaultColWidth="0" defaultRowHeight="15" zeroHeight="1"/>
  <cols>
    <col min="1" max="1" width="5.28125" style="122" customWidth="1"/>
    <col min="2" max="2" width="12.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2018-19</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Contra Costa</v>
      </c>
      <c r="F9" s="210" t="s">
        <v>1</v>
      </c>
      <c r="G9" s="185">
        <f>IF(ISBLANK('1. Information'!D9),"",'1. Information'!D9)</f>
        <v>43819</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f>1879897.75*0.95*0.8</f>
        <v>1428722.29</v>
      </c>
      <c r="E14" s="149">
        <f>1879897.75*0.95*0.2</f>
        <v>357180.5725</v>
      </c>
      <c r="F14" s="149">
        <f>1879897.75*0.05</f>
        <v>93994.88750000001</v>
      </c>
      <c r="G14" s="149"/>
      <c r="H14" s="149"/>
      <c r="I14" s="186">
        <f>SUM(D14:H14)</f>
        <v>1879897.75</v>
      </c>
    </row>
    <row r="15" spans="2:9" ht="15">
      <c r="B15" s="218">
        <v>2</v>
      </c>
      <c r="C15" s="219" t="s">
        <v>278</v>
      </c>
      <c r="D15" s="164"/>
      <c r="E15" s="164"/>
      <c r="F15" s="164"/>
      <c r="G15" s="164"/>
      <c r="H15" s="164"/>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7579248.17</v>
      </c>
      <c r="G19" s="122"/>
      <c r="H19" s="122"/>
      <c r="I19" s="122"/>
    </row>
    <row r="20" spans="2:9" ht="15">
      <c r="B20" s="216">
        <v>4</v>
      </c>
      <c r="C20" s="220" t="s">
        <v>22</v>
      </c>
      <c r="D20" s="149"/>
      <c r="E20" s="149"/>
      <c r="F20" s="187">
        <f>-D20-E20</f>
        <v>0</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7579248.17</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-6195034</v>
      </c>
      <c r="E27" s="188">
        <f>'3. CSS'!F21</f>
        <v>0</v>
      </c>
      <c r="F27" s="186">
        <f>'3. CSS'!F22</f>
        <v>6195034</v>
      </c>
      <c r="G27" s="194">
        <f>'3. CSS'!F23</f>
        <v>0</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33845244.46</v>
      </c>
      <c r="E31" s="194">
        <f>'4. PEI'!F22</f>
        <v>9278956.100000001</v>
      </c>
      <c r="F31" s="194">
        <f>'5. INN'!F23</f>
        <v>2363112.17</v>
      </c>
      <c r="G31" s="194">
        <f>'6. WET'!F21</f>
        <v>2421245.32</v>
      </c>
      <c r="H31" s="194">
        <f>'7. CFTN'!F21</f>
        <v>153789.84999999998</v>
      </c>
      <c r="I31" s="194">
        <f>SUM(D31:H31)</f>
        <v>48062347.900000006</v>
      </c>
    </row>
    <row r="32" spans="2:9" ht="15">
      <c r="B32" s="211">
        <v>10</v>
      </c>
      <c r="C32" s="223" t="s">
        <v>4</v>
      </c>
      <c r="D32" s="189">
        <f>'3. CSS'!G27</f>
        <v>0</v>
      </c>
      <c r="E32" s="189">
        <f>'4. PEI'!G22</f>
        <v>0</v>
      </c>
      <c r="F32" s="189">
        <f>'5. INN'!G23</f>
        <v>0</v>
      </c>
      <c r="G32" s="189">
        <f>'6. WET'!G21</f>
        <v>0</v>
      </c>
      <c r="H32" s="189">
        <f>'7. CFTN'!G21</f>
        <v>0</v>
      </c>
      <c r="I32" s="194">
        <f>SUM(D32:H32)</f>
        <v>0</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0</v>
      </c>
      <c r="E34" s="189">
        <f>'4. PEI'!I22</f>
        <v>0</v>
      </c>
      <c r="F34" s="189">
        <f>'5. INN'!I23</f>
        <v>0</v>
      </c>
      <c r="G34" s="189">
        <f>'6. WET'!I21</f>
        <v>0</v>
      </c>
      <c r="H34" s="189">
        <f>'7. CFTN'!I21</f>
        <v>0</v>
      </c>
      <c r="I34" s="194">
        <f>SUM(D34:H34)</f>
        <v>0</v>
      </c>
    </row>
    <row r="35" spans="2:9" ht="15">
      <c r="B35" s="211">
        <v>13</v>
      </c>
      <c r="C35" s="223" t="s">
        <v>12</v>
      </c>
      <c r="D35" s="189">
        <f>'3. CSS'!J27</f>
        <v>0</v>
      </c>
      <c r="E35" s="189">
        <f>'4. PEI'!J22</f>
        <v>0</v>
      </c>
      <c r="F35" s="189">
        <f>'5. INN'!J23</f>
        <v>0</v>
      </c>
      <c r="G35" s="189">
        <f>'6. WET'!J21</f>
        <v>0</v>
      </c>
      <c r="H35" s="189">
        <f>'7. CFTN'!J21</f>
        <v>0</v>
      </c>
      <c r="I35" s="194">
        <f>SUM(D35:H35)</f>
        <v>0</v>
      </c>
    </row>
    <row r="36" spans="2:9" ht="15.75">
      <c r="B36" s="211">
        <v>14</v>
      </c>
      <c r="C36" s="224" t="s">
        <v>21</v>
      </c>
      <c r="D36" s="195">
        <f>SUM(D31:D35)</f>
        <v>33845244.46</v>
      </c>
      <c r="E36" s="195">
        <f>SUM(E31:E35)</f>
        <v>9278956.100000001</v>
      </c>
      <c r="F36" s="195">
        <f>SUM(F31:F35)</f>
        <v>2363112.17</v>
      </c>
      <c r="G36" s="195">
        <f>SUM(G31:G35)</f>
        <v>2421245.32</v>
      </c>
      <c r="H36" s="195">
        <f>SUM(H31:H35)</f>
        <v>153789.84999999998</v>
      </c>
      <c r="I36" s="196">
        <f>SUM(D36:H36)</f>
        <v>48062347.900000006</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47118.62</v>
      </c>
      <c r="E40" s="154"/>
      <c r="F40" s="120"/>
      <c r="H40" s="120"/>
      <c r="I40" s="122"/>
    </row>
    <row r="41" spans="2:9" ht="15.75">
      <c r="B41" s="211">
        <v>16</v>
      </c>
      <c r="C41" s="162" t="s">
        <v>19</v>
      </c>
      <c r="D41" s="197">
        <f>'3. CSS'!F16+'4. PEI'!F16+'5. INN'!F20+'6. WET'!F16+'7. CFTN'!F16</f>
        <v>273101.45</v>
      </c>
      <c r="E41" s="121"/>
      <c r="F41" s="120"/>
      <c r="G41" s="120"/>
      <c r="H41" s="120"/>
      <c r="I41" s="122"/>
    </row>
    <row r="42" spans="2:9" ht="15.75">
      <c r="B42" s="211">
        <v>17</v>
      </c>
      <c r="C42" s="162" t="s">
        <v>20</v>
      </c>
      <c r="D42" s="198">
        <f>'3. CSS'!F17+'4. PEI'!F17+'5. INN'!F16+'5. INN'!F19+'6. WET'!F17+'7. CFTN'!F17</f>
        <v>4084603.53</v>
      </c>
      <c r="E42" s="121"/>
      <c r="F42" s="120"/>
      <c r="G42" s="120"/>
      <c r="H42" s="120"/>
      <c r="I42" s="122"/>
    </row>
    <row r="43" spans="2:4" ht="15.75">
      <c r="B43" s="211">
        <v>18</v>
      </c>
      <c r="C43" s="225" t="s">
        <v>243</v>
      </c>
      <c r="D43" s="149"/>
    </row>
    <row r="44" spans="2:4" ht="15.75">
      <c r="B44" s="211">
        <v>19</v>
      </c>
      <c r="C44" s="162" t="s">
        <v>244</v>
      </c>
      <c r="D44" s="199">
        <f>'4. PEI'!F18</f>
        <v>0</v>
      </c>
    </row>
    <row r="45" spans="2:4" ht="15.75">
      <c r="B45" s="211">
        <v>20</v>
      </c>
      <c r="C45" s="225" t="s">
        <v>245</v>
      </c>
      <c r="D45" s="149"/>
    </row>
    <row r="46" spans="2:5" ht="15.75">
      <c r="B46" s="211">
        <v>21</v>
      </c>
      <c r="C46" s="162" t="s">
        <v>249</v>
      </c>
      <c r="D46" s="149">
        <v>0</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70"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1">
      <selection activeCell="A4" sqref="A4"/>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A1">
      <selection activeCell="E21" sqref="E21"/>
    </sheetView>
  </sheetViews>
  <sheetFormatPr defaultColWidth="0" defaultRowHeight="15" zeroHeight="1"/>
  <cols>
    <col min="1" max="1" width="2.7109375" style="122" customWidth="1"/>
    <col min="2" max="2" width="6.7109375" style="122" customWidth="1"/>
    <col min="3" max="3" width="13.421875" style="122" customWidth="1"/>
    <col min="4" max="5" width="50.7109375" style="122" customWidth="1"/>
    <col min="6" max="6" width="20.7109375" style="122" customWidth="1"/>
    <col min="7" max="7" width="27.421875" style="122" bestFit="1" customWidth="1"/>
    <col min="8" max="8" width="21.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2018-19</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Contra Costa</v>
      </c>
      <c r="E9" s="123"/>
      <c r="F9" s="226" t="s">
        <v>1</v>
      </c>
      <c r="G9" s="227">
        <f>IF(ISBLANK('1. Information'!D9),"",'1. Information'!D9)</f>
        <v>43819</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c r="G15" s="136"/>
      <c r="H15" s="136"/>
      <c r="I15" s="136"/>
      <c r="J15" s="136"/>
      <c r="K15" s="241">
        <f>SUM(F15:J15)</f>
        <v>0</v>
      </c>
      <c r="L15" s="175"/>
    </row>
    <row r="16" spans="1:12" ht="15" customHeight="1">
      <c r="A16" s="123"/>
      <c r="B16" s="234">
        <v>2</v>
      </c>
      <c r="C16" s="163" t="s">
        <v>7</v>
      </c>
      <c r="D16" s="242"/>
      <c r="E16" s="243"/>
      <c r="F16" s="136">
        <v>147887.15</v>
      </c>
      <c r="G16" s="136"/>
      <c r="H16" s="136"/>
      <c r="I16" s="136"/>
      <c r="J16" s="136"/>
      <c r="K16" s="241">
        <f>SUM(F16:J16)</f>
        <v>147887.15</v>
      </c>
      <c r="L16" s="175"/>
    </row>
    <row r="17" spans="1:12" ht="15.75" customHeight="1">
      <c r="A17" s="123"/>
      <c r="B17" s="234">
        <v>3</v>
      </c>
      <c r="C17" s="163" t="s">
        <v>117</v>
      </c>
      <c r="D17" s="242"/>
      <c r="E17" s="243"/>
      <c r="F17" s="136">
        <v>3063678.07</v>
      </c>
      <c r="G17" s="136"/>
      <c r="H17" s="136"/>
      <c r="I17" s="136"/>
      <c r="J17" s="136"/>
      <c r="K17" s="241">
        <f>SUM(F17:J17)</f>
        <v>3063678.07</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f>7795034-1600000</f>
        <v>6195034</v>
      </c>
      <c r="G22" s="246"/>
      <c r="H22" s="246"/>
      <c r="I22" s="246"/>
      <c r="J22" s="246"/>
      <c r="K22" s="241">
        <f t="shared" si="0"/>
        <v>6195034</v>
      </c>
      <c r="L22" s="175"/>
    </row>
    <row r="23" spans="1:12" ht="15.75">
      <c r="A23" s="124"/>
      <c r="B23" s="218">
        <v>9</v>
      </c>
      <c r="C23" s="242" t="s">
        <v>193</v>
      </c>
      <c r="D23" s="245"/>
      <c r="E23" s="243"/>
      <c r="F23" s="136"/>
      <c r="G23" s="246"/>
      <c r="H23" s="246"/>
      <c r="I23" s="246"/>
      <c r="J23" s="246"/>
      <c r="K23" s="241">
        <f t="shared" si="0"/>
        <v>0</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30633679.240000002</v>
      </c>
      <c r="G25" s="246">
        <f>SUM(H34:H133)</f>
        <v>0</v>
      </c>
      <c r="H25" s="246">
        <f>SUM(I34:I133)</f>
        <v>0</v>
      </c>
      <c r="I25" s="246">
        <f>SUM(J34:J133)</f>
        <v>0</v>
      </c>
      <c r="J25" s="246">
        <f>SUM(K34:K133)</f>
        <v>0</v>
      </c>
      <c r="K25" s="246">
        <f>SUM(F25:J25)</f>
        <v>30633679.240000002</v>
      </c>
      <c r="L25" s="175"/>
    </row>
    <row r="26" spans="1:12" ht="30.75" customHeight="1">
      <c r="A26" s="123"/>
      <c r="B26" s="234">
        <v>12</v>
      </c>
      <c r="C26" s="247" t="s">
        <v>190</v>
      </c>
      <c r="D26" s="248"/>
      <c r="E26" s="249"/>
      <c r="F26" s="250">
        <f>SUM(F15:F17,F19:F25)</f>
        <v>40040278.46</v>
      </c>
      <c r="G26" s="250">
        <f>SUM(G15:G17,G25)</f>
        <v>0</v>
      </c>
      <c r="H26" s="251">
        <f>SUM(H15:H17,H25)</f>
        <v>0</v>
      </c>
      <c r="I26" s="250">
        <f>SUM(I15:I17,I25)</f>
        <v>0</v>
      </c>
      <c r="J26" s="250">
        <f>SUM(J15:J17,J25)</f>
        <v>0</v>
      </c>
      <c r="K26" s="250">
        <f>SUM(F26:J26)</f>
        <v>40040278.46</v>
      </c>
      <c r="L26" s="175"/>
    </row>
    <row r="27" spans="1:12" ht="30.75" customHeight="1">
      <c r="A27" s="123"/>
      <c r="B27" s="234">
        <v>13</v>
      </c>
      <c r="C27" s="252" t="s">
        <v>675</v>
      </c>
      <c r="D27" s="252"/>
      <c r="E27" s="252"/>
      <c r="F27" s="250">
        <f>SUM(F15:F17,F19,F20,F25)</f>
        <v>33845244.46</v>
      </c>
      <c r="G27" s="250">
        <f>SUM(G15:G17,G25)</f>
        <v>0</v>
      </c>
      <c r="H27" s="250">
        <f>SUM(H15:H17,H25)</f>
        <v>0</v>
      </c>
      <c r="I27" s="250">
        <f>SUM(I15:I17,I25)</f>
        <v>0</v>
      </c>
      <c r="J27" s="250">
        <f>SUM(J15:J17,J25)</f>
        <v>0</v>
      </c>
      <c r="K27" s="250">
        <f>SUM(F27:J27)</f>
        <v>33845244.46</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7</v>
      </c>
      <c r="D34" s="134" t="s">
        <v>785</v>
      </c>
      <c r="E34" s="144"/>
      <c r="F34" s="127" t="s">
        <v>95</v>
      </c>
      <c r="G34" s="126">
        <v>2121418.5599999996</v>
      </c>
      <c r="H34" s="126"/>
      <c r="I34" s="126"/>
      <c r="J34" s="129"/>
      <c r="K34" s="126"/>
      <c r="L34" s="246">
        <f>SUM(G34:K34)</f>
        <v>2121418.5599999996</v>
      </c>
    </row>
    <row r="35" spans="1:12" ht="15.75">
      <c r="A35" s="123"/>
      <c r="B35" s="262">
        <v>15</v>
      </c>
      <c r="C35" s="263">
        <f t="shared" si="1"/>
        <v>7</v>
      </c>
      <c r="D35" s="134" t="s">
        <v>786</v>
      </c>
      <c r="E35" s="144"/>
      <c r="F35" s="127" t="s">
        <v>95</v>
      </c>
      <c r="G35" s="126">
        <v>2148593.5999999996</v>
      </c>
      <c r="H35" s="126"/>
      <c r="I35" s="126"/>
      <c r="J35" s="129"/>
      <c r="K35" s="126"/>
      <c r="L35" s="246">
        <f aca="true" t="shared" si="2" ref="L35:L98">SUM(G35:K35)</f>
        <v>2148593.5999999996</v>
      </c>
    </row>
    <row r="36" spans="1:12" ht="15.75">
      <c r="A36" s="123"/>
      <c r="B36" s="262">
        <v>16</v>
      </c>
      <c r="C36" s="263">
        <f t="shared" si="1"/>
        <v>7</v>
      </c>
      <c r="D36" s="134" t="s">
        <v>787</v>
      </c>
      <c r="E36" s="144"/>
      <c r="F36" s="127" t="s">
        <v>95</v>
      </c>
      <c r="G36" s="126">
        <v>2308026.9200000004</v>
      </c>
      <c r="H36" s="126"/>
      <c r="I36" s="126"/>
      <c r="J36" s="129"/>
      <c r="K36" s="126"/>
      <c r="L36" s="246">
        <f t="shared" si="2"/>
        <v>2308026.9200000004</v>
      </c>
    </row>
    <row r="37" spans="1:12" ht="15.75">
      <c r="A37" s="123"/>
      <c r="B37" s="262">
        <v>17</v>
      </c>
      <c r="C37" s="263">
        <f t="shared" si="1"/>
        <v>7</v>
      </c>
      <c r="D37" s="134" t="s">
        <v>788</v>
      </c>
      <c r="E37" s="144"/>
      <c r="F37" s="127" t="s">
        <v>95</v>
      </c>
      <c r="G37" s="126">
        <v>1517812.34</v>
      </c>
      <c r="H37" s="126"/>
      <c r="I37" s="126"/>
      <c r="J37" s="129"/>
      <c r="K37" s="126"/>
      <c r="L37" s="246">
        <f t="shared" si="2"/>
        <v>1517812.34</v>
      </c>
    </row>
    <row r="38" spans="1:12" ht="15.75">
      <c r="A38" s="123"/>
      <c r="B38" s="262">
        <v>18</v>
      </c>
      <c r="C38" s="263">
        <f t="shared" si="1"/>
        <v>7</v>
      </c>
      <c r="D38" s="134" t="s">
        <v>789</v>
      </c>
      <c r="E38" s="144"/>
      <c r="F38" s="127" t="s">
        <v>95</v>
      </c>
      <c r="G38" s="126">
        <v>4967304.55</v>
      </c>
      <c r="H38" s="126"/>
      <c r="I38" s="126"/>
      <c r="J38" s="129"/>
      <c r="K38" s="126"/>
      <c r="L38" s="246">
        <f t="shared" si="2"/>
        <v>4967304.55</v>
      </c>
    </row>
    <row r="39" spans="1:12" ht="15.75">
      <c r="A39" s="123"/>
      <c r="B39" s="262">
        <v>19</v>
      </c>
      <c r="C39" s="263">
        <f t="shared" si="1"/>
        <v>7</v>
      </c>
      <c r="D39" s="134" t="s">
        <v>790</v>
      </c>
      <c r="E39" s="144"/>
      <c r="F39" s="127" t="s">
        <v>95</v>
      </c>
      <c r="G39" s="126">
        <v>8560674.42</v>
      </c>
      <c r="H39" s="126"/>
      <c r="I39" s="126"/>
      <c r="J39" s="129"/>
      <c r="K39" s="126"/>
      <c r="L39" s="246">
        <f t="shared" si="2"/>
        <v>8560674.42</v>
      </c>
    </row>
    <row r="40" spans="1:12" ht="15.75">
      <c r="A40" s="123"/>
      <c r="B40" s="262">
        <v>20</v>
      </c>
      <c r="C40" s="263">
        <f t="shared" si="1"/>
        <v>7</v>
      </c>
      <c r="D40" s="134" t="s">
        <v>791</v>
      </c>
      <c r="E40" s="144"/>
      <c r="F40" s="127" t="s">
        <v>96</v>
      </c>
      <c r="G40" s="126">
        <v>9009848.85</v>
      </c>
      <c r="H40" s="126"/>
      <c r="I40" s="126"/>
      <c r="J40" s="129"/>
      <c r="K40" s="126"/>
      <c r="L40" s="246">
        <f t="shared" si="2"/>
        <v>9009848.85</v>
      </c>
    </row>
    <row r="41" spans="1:12" ht="15.75">
      <c r="A41" s="123"/>
      <c r="B41" s="262">
        <v>21</v>
      </c>
      <c r="C41" s="263">
        <f t="shared" si="1"/>
      </c>
      <c r="D41" s="144"/>
      <c r="E41" s="144"/>
      <c r="F41" s="127"/>
      <c r="G41" s="126"/>
      <c r="H41" s="126"/>
      <c r="I41" s="126"/>
      <c r="J41" s="129"/>
      <c r="K41" s="126"/>
      <c r="L41" s="246">
        <f t="shared" si="2"/>
        <v>0</v>
      </c>
    </row>
    <row r="42" spans="1:12" ht="15.75">
      <c r="A42" s="123"/>
      <c r="B42" s="262">
        <v>22</v>
      </c>
      <c r="C42" s="263">
        <f t="shared" si="1"/>
      </c>
      <c r="D42" s="144"/>
      <c r="E42" s="144"/>
      <c r="F42" s="127"/>
      <c r="G42" s="126"/>
      <c r="H42" s="126"/>
      <c r="I42" s="126"/>
      <c r="J42" s="129"/>
      <c r="K42" s="126"/>
      <c r="L42" s="246">
        <f t="shared" si="2"/>
        <v>0</v>
      </c>
    </row>
    <row r="43" spans="1:12" ht="15.75">
      <c r="A43" s="123"/>
      <c r="B43" s="262">
        <v>23</v>
      </c>
      <c r="C43" s="263">
        <f t="shared" si="1"/>
      </c>
      <c r="D43" s="144"/>
      <c r="E43" s="144"/>
      <c r="F43" s="127"/>
      <c r="G43" s="126"/>
      <c r="H43" s="126"/>
      <c r="I43" s="126"/>
      <c r="J43" s="129"/>
      <c r="K43" s="126"/>
      <c r="L43" s="246">
        <f t="shared" si="2"/>
        <v>0</v>
      </c>
    </row>
    <row r="44" spans="1:12" ht="15.75">
      <c r="A44" s="123"/>
      <c r="B44" s="262">
        <v>24</v>
      </c>
      <c r="C44" s="263">
        <f t="shared" si="1"/>
      </c>
      <c r="D44" s="144"/>
      <c r="E44" s="144"/>
      <c r="F44" s="127"/>
      <c r="G44" s="126"/>
      <c r="H44" s="126"/>
      <c r="I44" s="126"/>
      <c r="J44" s="129"/>
      <c r="K44" s="126"/>
      <c r="L44" s="246">
        <f t="shared" si="2"/>
        <v>0</v>
      </c>
    </row>
    <row r="45" spans="1:12" ht="15.75">
      <c r="A45" s="123"/>
      <c r="B45" s="262">
        <v>25</v>
      </c>
      <c r="C45" s="263">
        <f t="shared" si="1"/>
      </c>
      <c r="D45" s="144"/>
      <c r="E45" s="144"/>
      <c r="F45" s="127"/>
      <c r="G45" s="126"/>
      <c r="H45" s="126"/>
      <c r="I45" s="126"/>
      <c r="J45" s="129"/>
      <c r="K45" s="126"/>
      <c r="L45" s="246">
        <f t="shared" si="2"/>
        <v>0</v>
      </c>
    </row>
    <row r="46" spans="1:12" ht="15.75">
      <c r="A46" s="123"/>
      <c r="B46" s="262">
        <v>26</v>
      </c>
      <c r="C46" s="263">
        <f t="shared" si="1"/>
      </c>
      <c r="D46" s="144"/>
      <c r="E46" s="144"/>
      <c r="F46" s="127"/>
      <c r="G46" s="126"/>
      <c r="H46" s="126"/>
      <c r="I46" s="126"/>
      <c r="J46" s="129"/>
      <c r="K46" s="126"/>
      <c r="L46" s="246">
        <f t="shared" si="2"/>
        <v>0</v>
      </c>
    </row>
    <row r="47" spans="1:12" ht="15.75">
      <c r="A47" s="123"/>
      <c r="B47" s="262">
        <v>27</v>
      </c>
      <c r="C47" s="263">
        <f t="shared" si="1"/>
      </c>
      <c r="D47" s="144"/>
      <c r="E47" s="144"/>
      <c r="F47" s="127"/>
      <c r="G47" s="126"/>
      <c r="H47" s="126"/>
      <c r="I47" s="126"/>
      <c r="J47" s="129"/>
      <c r="K47" s="126"/>
      <c r="L47" s="246">
        <f t="shared" si="2"/>
        <v>0</v>
      </c>
    </row>
    <row r="48" spans="1:12" ht="15.75">
      <c r="A48" s="123"/>
      <c r="B48" s="262">
        <v>28</v>
      </c>
      <c r="C48" s="263">
        <f t="shared" si="1"/>
      </c>
      <c r="D48" s="144"/>
      <c r="E48" s="144"/>
      <c r="F48" s="127"/>
      <c r="G48" s="126"/>
      <c r="H48" s="126"/>
      <c r="I48" s="126"/>
      <c r="J48" s="129"/>
      <c r="K48" s="126"/>
      <c r="L48" s="246">
        <f t="shared" si="2"/>
        <v>0</v>
      </c>
    </row>
    <row r="49" spans="1:12" ht="15.75">
      <c r="A49" s="123"/>
      <c r="B49" s="262">
        <v>29</v>
      </c>
      <c r="C49" s="263">
        <f t="shared" si="1"/>
      </c>
      <c r="D49" s="144"/>
      <c r="E49" s="144"/>
      <c r="F49" s="127"/>
      <c r="G49" s="126"/>
      <c r="H49" s="126"/>
      <c r="I49" s="126"/>
      <c r="J49" s="129"/>
      <c r="K49" s="126"/>
      <c r="L49" s="246">
        <f t="shared" si="2"/>
        <v>0</v>
      </c>
    </row>
    <row r="50" spans="1:12" ht="15.75">
      <c r="A50" s="123"/>
      <c r="B50" s="262">
        <v>30</v>
      </c>
      <c r="C50" s="263">
        <f t="shared" si="1"/>
      </c>
      <c r="D50" s="144"/>
      <c r="E50" s="144"/>
      <c r="F50" s="127"/>
      <c r="G50" s="126"/>
      <c r="H50" s="126"/>
      <c r="I50" s="126"/>
      <c r="J50" s="129"/>
      <c r="K50" s="126"/>
      <c r="L50" s="246">
        <f t="shared" si="2"/>
        <v>0</v>
      </c>
    </row>
    <row r="51" spans="1:12" ht="15.75">
      <c r="A51" s="123"/>
      <c r="B51" s="262">
        <v>31</v>
      </c>
      <c r="C51" s="263">
        <f t="shared" si="1"/>
      </c>
      <c r="D51" s="144"/>
      <c r="E51" s="144"/>
      <c r="F51" s="127"/>
      <c r="G51" s="126"/>
      <c r="H51" s="126"/>
      <c r="I51" s="126"/>
      <c r="J51" s="129"/>
      <c r="K51" s="126"/>
      <c r="L51" s="246">
        <f t="shared" si="2"/>
        <v>0</v>
      </c>
    </row>
    <row r="52" spans="1:12" ht="15.75">
      <c r="A52" s="123"/>
      <c r="B52" s="262">
        <v>32</v>
      </c>
      <c r="C52" s="263">
        <f t="shared" si="1"/>
      </c>
      <c r="D52" s="144"/>
      <c r="E52" s="144"/>
      <c r="F52" s="127"/>
      <c r="G52" s="126"/>
      <c r="H52" s="126"/>
      <c r="I52" s="126"/>
      <c r="J52" s="129"/>
      <c r="K52" s="126"/>
      <c r="L52" s="246">
        <f t="shared" si="2"/>
        <v>0</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6"/>
      <c r="H54" s="126"/>
      <c r="I54" s="126"/>
      <c r="J54" s="129"/>
      <c r="K54" s="126"/>
      <c r="L54" s="246">
        <f t="shared" si="2"/>
        <v>0</v>
      </c>
    </row>
    <row r="55" spans="1:12" ht="15.75">
      <c r="A55" s="123"/>
      <c r="B55" s="262">
        <v>35</v>
      </c>
      <c r="C55" s="263">
        <f t="shared" si="1"/>
      </c>
      <c r="D55" s="144"/>
      <c r="E55" s="144"/>
      <c r="F55" s="127"/>
      <c r="G55" s="126"/>
      <c r="H55" s="126"/>
      <c r="I55" s="126"/>
      <c r="J55" s="129"/>
      <c r="K55" s="126"/>
      <c r="L55" s="246">
        <f t="shared" si="2"/>
        <v>0</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ax="255"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22">
      <selection activeCell="A3" sqref="A3"/>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80" zoomScaleNormal="80" zoomScaleSheetLayoutView="40" zoomScalePageLayoutView="80" workbookViewId="0" topLeftCell="A1">
      <selection activeCell="D22" sqref="D22"/>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2018-19</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Contra Costa</v>
      </c>
      <c r="E9" s="27" t="str">
        <f>IF(ISBLANK('1. Information'!D11),"",'1. Information'!D11)</f>
        <v>Contra Costa</v>
      </c>
      <c r="F9" s="226" t="s">
        <v>1</v>
      </c>
      <c r="G9" s="264">
        <f>IF(ISBLANK('1. Information'!D9),"",'1. Information'!D9)</f>
        <v>43819</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c r="G15" s="136"/>
      <c r="H15" s="136"/>
      <c r="I15" s="136"/>
      <c r="J15" s="136"/>
      <c r="K15" s="241">
        <f>SUM(F15:J15)</f>
        <v>0</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c r="G16" s="136"/>
      <c r="H16" s="136"/>
      <c r="I16" s="136"/>
      <c r="J16" s="136"/>
      <c r="K16" s="241">
        <f aca="true" t="shared" si="0" ref="K16:K22">SUM(F16:J16)</f>
        <v>0</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416">
        <v>227469.44</v>
      </c>
      <c r="G17" s="136"/>
      <c r="H17" s="136"/>
      <c r="I17" s="136"/>
      <c r="J17" s="136"/>
      <c r="K17" s="241">
        <f t="shared" si="0"/>
        <v>227469.44</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c r="G18" s="244"/>
      <c r="H18" s="244"/>
      <c r="I18" s="244"/>
      <c r="J18" s="244"/>
      <c r="K18" s="241">
        <f>F18</f>
        <v>0</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c r="G19" s="244"/>
      <c r="H19" s="244"/>
      <c r="I19" s="244"/>
      <c r="J19" s="244"/>
      <c r="K19" s="241">
        <f>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c r="G20" s="244"/>
      <c r="H20" s="244"/>
      <c r="I20" s="244"/>
      <c r="J20" s="244"/>
      <c r="K20" s="241">
        <f>F20</f>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9051486.660000002</v>
      </c>
      <c r="G21" s="275">
        <f>SUMIF($G$34:$G$133,"Combined Summary",M$34:M$133)+SUMIF($F$34:$F$133,"Standalone",M$34:M$133)</f>
        <v>0</v>
      </c>
      <c r="H21" s="275">
        <f>SUMIF($G$34:$G$133,"Combined Summary",N$34:N$133)+SUMIF($F$34:$F$133,"Standalone",N$34:N$133)</f>
        <v>0</v>
      </c>
      <c r="I21" s="275">
        <f>SUMIF($G$34:$G$133,"Combined Summary",O$34:O$133)+SUMIF($F$34:$F$133,"Standalone",O$34:O$133)</f>
        <v>0</v>
      </c>
      <c r="J21" s="275">
        <f>SUMIF($G$34:$G$133,"Combined Summary",P$34:P$133)+SUMIF($F$34:$F$133,"Standalone",P$34:P$133)</f>
        <v>0</v>
      </c>
      <c r="K21" s="246">
        <f t="shared" si="0"/>
        <v>9051486.660000002</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9278956.100000001</v>
      </c>
      <c r="G22" s="279">
        <f>SUM(G15:G17,G20:G21)</f>
        <v>0</v>
      </c>
      <c r="H22" s="279">
        <f>SUM(H15:H17,H20:H21)</f>
        <v>0</v>
      </c>
      <c r="I22" s="279">
        <f>SUM(I15:I17,I20:I21)</f>
        <v>0</v>
      </c>
      <c r="J22" s="279">
        <f>SUM(J15:J17,J20:J21)</f>
        <v>0</v>
      </c>
      <c r="K22" s="279">
        <f t="shared" si="0"/>
        <v>9278956.100000001</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0.6863445250053506</v>
      </c>
      <c r="F28" s="18"/>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30.75">
      <c r="B34" s="300">
        <v>10</v>
      </c>
      <c r="C34" s="301">
        <f aca="true" t="shared" si="1" ref="C34:C65">IF(AND(NOT(COUNTA(D34:J34)),(NOT(COUNTA(L34:P34)))),"",VLOOKUP($D$9,Info_County_Code,2,FALSE))</f>
        <v>7</v>
      </c>
      <c r="D34" s="134" t="s">
        <v>792</v>
      </c>
      <c r="E34" s="144"/>
      <c r="F34" s="147" t="s">
        <v>125</v>
      </c>
      <c r="G34" s="148" t="s">
        <v>127</v>
      </c>
      <c r="H34" s="33"/>
      <c r="I34" s="36">
        <v>1</v>
      </c>
      <c r="J34" s="415">
        <v>0.3</v>
      </c>
      <c r="K34" s="302">
        <f>IF(OR(G34="Combined Summary",F34="Standalone"),(SUMPRODUCT(--(D$34:D$133=D34),I$34:I$133,J$34:J$133)),"")</f>
        <v>0.3</v>
      </c>
      <c r="L34" s="126">
        <v>973096.21</v>
      </c>
      <c r="M34" s="133"/>
      <c r="N34" s="30"/>
      <c r="O34" s="30"/>
      <c r="P34" s="30"/>
      <c r="Q34" s="303">
        <f>SUM(L34:P34)</f>
        <v>973096.21</v>
      </c>
      <c r="R34" s="178">
        <f>IF(OR(G34="Combined Summary",F34="Standalone"),(SUMIF(D$34:D$133,D34,I$34:I$133)),"")</f>
        <v>1</v>
      </c>
      <c r="S34" s="179">
        <f>IF(AND(F34="Standalone",NOT(R34=1)),"ERROR",IF(AND(G34="Combined Summary",NOT(R34=1)),"ERROR",""))</f>
      </c>
      <c r="T34" s="177"/>
      <c r="AL34" s="27"/>
      <c r="AM34" s="27"/>
      <c r="AN34" s="27"/>
    </row>
    <row r="35" spans="2:40" ht="15.75">
      <c r="B35" s="300">
        <v>11</v>
      </c>
      <c r="C35" s="301">
        <f t="shared" si="1"/>
        <v>7</v>
      </c>
      <c r="D35" s="134" t="s">
        <v>121</v>
      </c>
      <c r="E35" s="144"/>
      <c r="F35" s="148" t="s">
        <v>125</v>
      </c>
      <c r="G35" s="148" t="s">
        <v>121</v>
      </c>
      <c r="H35" s="33"/>
      <c r="I35" s="36">
        <v>1</v>
      </c>
      <c r="J35" s="415">
        <v>0.9</v>
      </c>
      <c r="K35" s="302">
        <f aca="true" t="shared" si="2" ref="K35:K98">IF(OR(G35="Combined Summary",F35="Standalone"),(SUMPRODUCT(--(D$34:D$133=D35),I$34:I$133,J$34:J$133)),"")</f>
        <v>0.9</v>
      </c>
      <c r="L35" s="126">
        <v>2160833.58</v>
      </c>
      <c r="M35" s="133"/>
      <c r="N35" s="30"/>
      <c r="O35" s="30"/>
      <c r="P35" s="30"/>
      <c r="Q35" s="303">
        <f aca="true" t="shared" si="3" ref="Q35:Q98">SUM(L35:P35)</f>
        <v>2160833.58</v>
      </c>
      <c r="R35" s="178">
        <f aca="true" t="shared" si="4" ref="R35:R98">IF(OR(G35="Combined Summary",F35="Standalone"),(SUMIF(D$34:D$133,D35,I$34:I$133)),"")</f>
        <v>1</v>
      </c>
      <c r="S35" s="180">
        <f aca="true" t="shared" si="5" ref="S35:S98">IF(AND(F35="Standalone",NOT(R35=1)),"ERROR",IF(AND(G35="Combined Summary",NOT(R35=1)),"ERROR",""))</f>
      </c>
      <c r="T35" s="177"/>
      <c r="AL35" s="27"/>
      <c r="AM35" s="27"/>
      <c r="AN35" s="27"/>
    </row>
    <row r="36" spans="2:40" ht="15.75">
      <c r="B36" s="300">
        <v>12</v>
      </c>
      <c r="C36" s="301">
        <f t="shared" si="1"/>
        <v>7</v>
      </c>
      <c r="D36" s="134" t="s">
        <v>122</v>
      </c>
      <c r="E36" s="144"/>
      <c r="F36" s="148" t="s">
        <v>125</v>
      </c>
      <c r="G36" s="148" t="s">
        <v>122</v>
      </c>
      <c r="H36" s="33"/>
      <c r="I36" s="36">
        <v>1</v>
      </c>
      <c r="J36" s="415">
        <v>1</v>
      </c>
      <c r="K36" s="302">
        <f t="shared" si="2"/>
        <v>1</v>
      </c>
      <c r="L36" s="126">
        <v>3571232.590000001</v>
      </c>
      <c r="M36" s="133"/>
      <c r="N36" s="30"/>
      <c r="O36" s="30"/>
      <c r="P36" s="30"/>
      <c r="Q36" s="303">
        <f t="shared" si="3"/>
        <v>3571232.590000001</v>
      </c>
      <c r="R36" s="178">
        <f t="shared" si="4"/>
        <v>1</v>
      </c>
      <c r="S36" s="180">
        <f t="shared" si="5"/>
      </c>
      <c r="AL36" s="27"/>
      <c r="AM36" s="27"/>
      <c r="AN36" s="27"/>
    </row>
    <row r="37" spans="2:40" ht="15.75">
      <c r="B37" s="300">
        <v>13</v>
      </c>
      <c r="C37" s="301">
        <f t="shared" si="1"/>
        <v>7</v>
      </c>
      <c r="D37" s="134" t="s">
        <v>793</v>
      </c>
      <c r="E37" s="144"/>
      <c r="F37" s="148" t="s">
        <v>125</v>
      </c>
      <c r="G37" s="148" t="s">
        <v>118</v>
      </c>
      <c r="H37" s="33"/>
      <c r="I37" s="36">
        <v>1</v>
      </c>
      <c r="J37" s="415">
        <v>1</v>
      </c>
      <c r="K37" s="302">
        <f t="shared" si="2"/>
        <v>1</v>
      </c>
      <c r="L37" s="126">
        <v>213227.73</v>
      </c>
      <c r="M37" s="133"/>
      <c r="N37" s="30"/>
      <c r="O37" s="30"/>
      <c r="P37" s="30"/>
      <c r="Q37" s="303">
        <f t="shared" si="3"/>
        <v>213227.73</v>
      </c>
      <c r="R37" s="178">
        <f t="shared" si="4"/>
        <v>1</v>
      </c>
      <c r="S37" s="180">
        <f t="shared" si="5"/>
      </c>
      <c r="AL37" s="27"/>
      <c r="AM37" s="27"/>
      <c r="AN37" s="27"/>
    </row>
    <row r="38" spans="2:40" ht="30.75">
      <c r="B38" s="300">
        <v>14</v>
      </c>
      <c r="C38" s="301">
        <f t="shared" si="1"/>
        <v>7</v>
      </c>
      <c r="D38" s="134" t="s">
        <v>794</v>
      </c>
      <c r="E38" s="144"/>
      <c r="F38" s="148" t="s">
        <v>125</v>
      </c>
      <c r="G38" s="148" t="s">
        <v>130</v>
      </c>
      <c r="H38" s="33"/>
      <c r="I38" s="36">
        <v>1</v>
      </c>
      <c r="J38" s="415">
        <v>0.18</v>
      </c>
      <c r="K38" s="302">
        <f t="shared" si="2"/>
        <v>0.18</v>
      </c>
      <c r="L38" s="126">
        <v>1509971.31</v>
      </c>
      <c r="M38" s="133"/>
      <c r="N38" s="30"/>
      <c r="O38" s="30"/>
      <c r="P38" s="30"/>
      <c r="Q38" s="303">
        <f t="shared" si="3"/>
        <v>1509971.31</v>
      </c>
      <c r="R38" s="178">
        <f t="shared" si="4"/>
        <v>1</v>
      </c>
      <c r="S38" s="180">
        <f t="shared" si="5"/>
      </c>
      <c r="AL38" s="27"/>
      <c r="AM38" s="27"/>
      <c r="AN38" s="27"/>
    </row>
    <row r="39" spans="2:40" ht="15.75">
      <c r="B39" s="300">
        <v>15</v>
      </c>
      <c r="C39" s="301">
        <f t="shared" si="1"/>
        <v>7</v>
      </c>
      <c r="D39" s="134" t="s">
        <v>795</v>
      </c>
      <c r="E39" s="144"/>
      <c r="F39" s="148" t="s">
        <v>125</v>
      </c>
      <c r="G39" s="148" t="s">
        <v>128</v>
      </c>
      <c r="H39" s="33"/>
      <c r="I39" s="36">
        <v>1</v>
      </c>
      <c r="J39" s="415">
        <v>0</v>
      </c>
      <c r="K39" s="302">
        <f t="shared" si="2"/>
        <v>0</v>
      </c>
      <c r="L39" s="126">
        <v>202978.15</v>
      </c>
      <c r="M39" s="133"/>
      <c r="N39" s="30"/>
      <c r="O39" s="30"/>
      <c r="P39" s="30"/>
      <c r="Q39" s="303">
        <f t="shared" si="3"/>
        <v>202978.15</v>
      </c>
      <c r="R39" s="178">
        <f t="shared" si="4"/>
        <v>1</v>
      </c>
      <c r="S39" s="180">
        <f t="shared" si="5"/>
      </c>
      <c r="AL39" s="27"/>
      <c r="AM39" s="27"/>
      <c r="AN39" s="27"/>
    </row>
    <row r="40" spans="2:40" ht="15.75">
      <c r="B40" s="300">
        <v>16</v>
      </c>
      <c r="C40" s="301">
        <f t="shared" si="1"/>
        <v>7</v>
      </c>
      <c r="D40" s="134" t="s">
        <v>129</v>
      </c>
      <c r="E40" s="144"/>
      <c r="F40" s="148" t="s">
        <v>125</v>
      </c>
      <c r="G40" s="148" t="s">
        <v>129</v>
      </c>
      <c r="H40" s="33"/>
      <c r="I40" s="36">
        <v>1</v>
      </c>
      <c r="J40" s="415">
        <v>0.18</v>
      </c>
      <c r="K40" s="302">
        <f t="shared" si="2"/>
        <v>0.18</v>
      </c>
      <c r="L40" s="126">
        <v>420147.09</v>
      </c>
      <c r="M40" s="133"/>
      <c r="N40" s="30"/>
      <c r="O40" s="30"/>
      <c r="P40" s="30"/>
      <c r="Q40" s="303">
        <f t="shared" si="3"/>
        <v>420147.09</v>
      </c>
      <c r="R40" s="178">
        <f t="shared" si="4"/>
        <v>1</v>
      </c>
      <c r="S40" s="180">
        <f t="shared" si="5"/>
      </c>
      <c r="AL40" s="27"/>
      <c r="AM40" s="27"/>
      <c r="AN40" s="27"/>
    </row>
    <row r="41" spans="2:40" ht="15.75">
      <c r="B41" s="300">
        <v>17</v>
      </c>
      <c r="C41" s="301">
        <f t="shared" si="1"/>
      </c>
      <c r="D41" s="144"/>
      <c r="E41" s="144"/>
      <c r="F41" s="147"/>
      <c r="G41" s="148"/>
      <c r="H41" s="33"/>
      <c r="I41" s="36"/>
      <c r="J41" s="36"/>
      <c r="K41" s="302">
        <f t="shared" si="2"/>
      </c>
      <c r="L41" s="126"/>
      <c r="M41" s="133"/>
      <c r="N41" s="30"/>
      <c r="O41" s="30"/>
      <c r="P41" s="30"/>
      <c r="Q41" s="303">
        <f t="shared" si="3"/>
        <v>0</v>
      </c>
      <c r="R41" s="178">
        <f t="shared" si="4"/>
      </c>
      <c r="S41" s="180">
        <f t="shared" si="5"/>
      </c>
      <c r="AL41" s="27"/>
      <c r="AM41" s="27"/>
      <c r="AN41" s="27"/>
    </row>
    <row r="42" spans="2:40" ht="15.75">
      <c r="B42" s="300">
        <v>18</v>
      </c>
      <c r="C42" s="301">
        <f t="shared" si="1"/>
      </c>
      <c r="D42" s="144"/>
      <c r="E42" s="144"/>
      <c r="F42" s="147"/>
      <c r="G42" s="148"/>
      <c r="H42" s="33"/>
      <c r="I42" s="36"/>
      <c r="J42" s="36"/>
      <c r="K42" s="302">
        <f t="shared" si="2"/>
      </c>
      <c r="L42" s="126"/>
      <c r="M42" s="133"/>
      <c r="N42" s="30"/>
      <c r="O42" s="30"/>
      <c r="P42" s="30"/>
      <c r="Q42" s="303">
        <f t="shared" si="3"/>
        <v>0</v>
      </c>
      <c r="R42" s="178">
        <f t="shared" si="4"/>
      </c>
      <c r="S42" s="180">
        <f t="shared" si="5"/>
      </c>
      <c r="AL42" s="27"/>
      <c r="AM42" s="27"/>
      <c r="AN42" s="27"/>
    </row>
    <row r="43" spans="2:40" ht="15.75">
      <c r="B43" s="300">
        <v>19</v>
      </c>
      <c r="C43" s="301">
        <f t="shared" si="1"/>
      </c>
      <c r="D43" s="144"/>
      <c r="E43" s="144"/>
      <c r="F43" s="147"/>
      <c r="G43" s="148"/>
      <c r="H43" s="33"/>
      <c r="I43" s="36"/>
      <c r="J43" s="36"/>
      <c r="K43" s="302">
        <f t="shared" si="2"/>
      </c>
      <c r="L43" s="126"/>
      <c r="M43" s="133"/>
      <c r="N43" s="30"/>
      <c r="O43" s="30"/>
      <c r="P43" s="30"/>
      <c r="Q43" s="303">
        <f t="shared" si="3"/>
        <v>0</v>
      </c>
      <c r="R43" s="178">
        <f t="shared" si="4"/>
      </c>
      <c r="S43" s="180">
        <f t="shared" si="5"/>
      </c>
      <c r="AL43" s="27"/>
      <c r="AM43" s="27"/>
      <c r="AN43" s="27"/>
    </row>
    <row r="44" spans="2:40" ht="15.75">
      <c r="B44" s="300">
        <v>20</v>
      </c>
      <c r="C44" s="301">
        <f t="shared" si="1"/>
      </c>
      <c r="D44" s="144"/>
      <c r="E44" s="144"/>
      <c r="F44" s="147"/>
      <c r="G44" s="148"/>
      <c r="H44" s="33"/>
      <c r="I44" s="36"/>
      <c r="J44" s="36"/>
      <c r="K44" s="302">
        <f t="shared" si="2"/>
      </c>
      <c r="L44" s="126"/>
      <c r="M44" s="133"/>
      <c r="N44" s="30"/>
      <c r="O44" s="30"/>
      <c r="P44" s="30"/>
      <c r="Q44" s="303">
        <f t="shared" si="3"/>
        <v>0</v>
      </c>
      <c r="R44" s="178">
        <f t="shared" si="4"/>
      </c>
      <c r="S44" s="180">
        <f t="shared" si="5"/>
      </c>
      <c r="AL44" s="27"/>
      <c r="AM44" s="27"/>
      <c r="AN44" s="27"/>
    </row>
    <row r="45" spans="2:40" ht="15.75">
      <c r="B45" s="300">
        <v>21</v>
      </c>
      <c r="C45" s="301">
        <f t="shared" si="1"/>
      </c>
      <c r="D45" s="144"/>
      <c r="E45" s="144"/>
      <c r="F45" s="147"/>
      <c r="G45" s="148"/>
      <c r="H45" s="33"/>
      <c r="I45" s="36"/>
      <c r="J45" s="36"/>
      <c r="K45" s="302">
        <f t="shared" si="2"/>
      </c>
      <c r="L45" s="126"/>
      <c r="M45" s="133"/>
      <c r="N45" s="30"/>
      <c r="O45" s="30"/>
      <c r="P45" s="30"/>
      <c r="Q45" s="303">
        <f t="shared" si="3"/>
        <v>0</v>
      </c>
      <c r="R45" s="178">
        <f t="shared" si="4"/>
      </c>
      <c r="S45" s="180">
        <f t="shared" si="5"/>
      </c>
      <c r="AL45" s="27"/>
      <c r="AM45" s="27"/>
      <c r="AN45" s="27"/>
    </row>
    <row r="46" spans="2:40" ht="15.75">
      <c r="B46" s="300">
        <v>22</v>
      </c>
      <c r="C46" s="301">
        <f t="shared" si="1"/>
      </c>
      <c r="D46" s="144"/>
      <c r="E46" s="144"/>
      <c r="F46" s="147"/>
      <c r="G46" s="148"/>
      <c r="H46" s="33"/>
      <c r="I46" s="36"/>
      <c r="J46" s="36"/>
      <c r="K46" s="302">
        <f t="shared" si="2"/>
      </c>
      <c r="L46" s="126"/>
      <c r="M46" s="133"/>
      <c r="N46" s="30"/>
      <c r="O46" s="30"/>
      <c r="P46" s="30"/>
      <c r="Q46" s="303">
        <f t="shared" si="3"/>
        <v>0</v>
      </c>
      <c r="R46" s="178">
        <f t="shared" si="4"/>
      </c>
      <c r="S46" s="180">
        <f t="shared" si="5"/>
      </c>
      <c r="AL46" s="27"/>
      <c r="AM46" s="27"/>
      <c r="AN46" s="27"/>
    </row>
    <row r="47" spans="2:40" ht="15.75">
      <c r="B47" s="300">
        <v>23</v>
      </c>
      <c r="C47" s="301">
        <f t="shared" si="1"/>
      </c>
      <c r="D47" s="144"/>
      <c r="E47" s="144"/>
      <c r="F47" s="147"/>
      <c r="G47" s="148"/>
      <c r="H47" s="33"/>
      <c r="I47" s="36"/>
      <c r="J47" s="36"/>
      <c r="K47" s="302">
        <f t="shared" si="2"/>
      </c>
      <c r="L47" s="126"/>
      <c r="M47" s="133"/>
      <c r="N47" s="30"/>
      <c r="O47" s="30"/>
      <c r="P47" s="30"/>
      <c r="Q47" s="303">
        <f t="shared" si="3"/>
        <v>0</v>
      </c>
      <c r="R47" s="178">
        <f t="shared" si="4"/>
      </c>
      <c r="S47" s="180">
        <f t="shared" si="5"/>
      </c>
      <c r="AL47" s="27"/>
      <c r="AM47" s="27"/>
      <c r="AN47" s="27"/>
    </row>
    <row r="48" spans="2:40" ht="15.75">
      <c r="B48" s="300">
        <v>24</v>
      </c>
      <c r="C48" s="301">
        <f t="shared" si="1"/>
      </c>
      <c r="D48" s="144"/>
      <c r="E48" s="144"/>
      <c r="F48" s="147"/>
      <c r="G48" s="148"/>
      <c r="H48" s="33"/>
      <c r="I48" s="36"/>
      <c r="J48" s="36"/>
      <c r="K48" s="302">
        <f t="shared" si="2"/>
      </c>
      <c r="L48" s="126"/>
      <c r="M48" s="133"/>
      <c r="N48" s="30"/>
      <c r="O48" s="30"/>
      <c r="P48" s="30"/>
      <c r="Q48" s="303">
        <f t="shared" si="3"/>
        <v>0</v>
      </c>
      <c r="R48" s="178">
        <f t="shared" si="4"/>
      </c>
      <c r="S48" s="180">
        <f t="shared" si="5"/>
      </c>
      <c r="AL48" s="27"/>
      <c r="AM48" s="27"/>
      <c r="AN48" s="27"/>
    </row>
    <row r="49" spans="2:40" ht="15.75">
      <c r="B49" s="300">
        <v>25</v>
      </c>
      <c r="C49" s="301">
        <f t="shared" si="1"/>
      </c>
      <c r="D49" s="144"/>
      <c r="E49" s="144"/>
      <c r="F49" s="147"/>
      <c r="G49" s="148"/>
      <c r="H49" s="33"/>
      <c r="I49" s="36"/>
      <c r="J49" s="36"/>
      <c r="K49" s="302">
        <f t="shared" si="2"/>
      </c>
      <c r="L49" s="126"/>
      <c r="M49" s="133"/>
      <c r="N49" s="30"/>
      <c r="O49" s="30"/>
      <c r="P49" s="30"/>
      <c r="Q49" s="303">
        <f t="shared" si="3"/>
        <v>0</v>
      </c>
      <c r="R49" s="178">
        <f t="shared" si="4"/>
      </c>
      <c r="S49" s="180">
        <f t="shared" si="5"/>
      </c>
      <c r="AL49" s="27"/>
      <c r="AM49" s="27"/>
      <c r="AN49" s="27"/>
    </row>
    <row r="50" spans="2:40" ht="15.75">
      <c r="B50" s="300">
        <v>26</v>
      </c>
      <c r="C50" s="301">
        <f t="shared" si="1"/>
      </c>
      <c r="D50" s="144"/>
      <c r="E50" s="144"/>
      <c r="F50" s="147"/>
      <c r="G50" s="148"/>
      <c r="H50" s="33"/>
      <c r="I50" s="36"/>
      <c r="J50" s="36"/>
      <c r="K50" s="302">
        <f t="shared" si="2"/>
      </c>
      <c r="L50" s="126"/>
      <c r="M50" s="133"/>
      <c r="N50" s="30"/>
      <c r="O50" s="30"/>
      <c r="P50" s="30"/>
      <c r="Q50" s="303">
        <f t="shared" si="3"/>
        <v>0</v>
      </c>
      <c r="R50" s="178">
        <f t="shared" si="4"/>
      </c>
      <c r="S50" s="180">
        <f t="shared" si="5"/>
      </c>
      <c r="AL50" s="27"/>
      <c r="AM50" s="27"/>
      <c r="AN50" s="27"/>
    </row>
    <row r="51" spans="2:40" ht="15.75">
      <c r="B51" s="300">
        <v>27</v>
      </c>
      <c r="C51" s="301">
        <f t="shared" si="1"/>
      </c>
      <c r="D51" s="144"/>
      <c r="E51" s="144"/>
      <c r="F51" s="147"/>
      <c r="G51" s="148"/>
      <c r="H51" s="33"/>
      <c r="I51" s="36"/>
      <c r="J51" s="36"/>
      <c r="K51" s="302">
        <f t="shared" si="2"/>
      </c>
      <c r="L51" s="126"/>
      <c r="M51" s="133"/>
      <c r="N51" s="30"/>
      <c r="O51" s="30"/>
      <c r="P51" s="30"/>
      <c r="Q51" s="303">
        <f t="shared" si="3"/>
        <v>0</v>
      </c>
      <c r="R51" s="178">
        <f t="shared" si="4"/>
      </c>
      <c r="S51" s="180">
        <f t="shared" si="5"/>
      </c>
      <c r="AL51" s="27"/>
      <c r="AM51" s="27"/>
      <c r="AN51" s="27"/>
    </row>
    <row r="52" spans="2:40" ht="15.75">
      <c r="B52" s="300">
        <v>28</v>
      </c>
      <c r="C52" s="301">
        <f t="shared" si="1"/>
      </c>
      <c r="D52" s="144"/>
      <c r="E52" s="144"/>
      <c r="F52" s="147"/>
      <c r="G52" s="148"/>
      <c r="H52" s="33"/>
      <c r="I52" s="36"/>
      <c r="J52" s="36"/>
      <c r="K52" s="302">
        <f t="shared" si="2"/>
      </c>
      <c r="L52" s="126"/>
      <c r="M52" s="133"/>
      <c r="N52" s="30"/>
      <c r="O52" s="30"/>
      <c r="P52" s="30"/>
      <c r="Q52" s="303">
        <f t="shared" si="3"/>
        <v>0</v>
      </c>
      <c r="R52" s="178">
        <f t="shared" si="4"/>
      </c>
      <c r="S52" s="180">
        <f t="shared" si="5"/>
      </c>
      <c r="AL52" s="27"/>
      <c r="AM52" s="27"/>
      <c r="AN52" s="27"/>
    </row>
    <row r="53" spans="2:40" ht="15.75">
      <c r="B53" s="300">
        <v>29</v>
      </c>
      <c r="C53" s="301">
        <f t="shared" si="1"/>
      </c>
      <c r="D53" s="144"/>
      <c r="E53" s="144"/>
      <c r="F53" s="147"/>
      <c r="G53" s="148"/>
      <c r="H53" s="33"/>
      <c r="I53" s="36"/>
      <c r="J53" s="36"/>
      <c r="K53" s="302">
        <f t="shared" si="2"/>
      </c>
      <c r="L53" s="126"/>
      <c r="M53" s="133"/>
      <c r="N53" s="30"/>
      <c r="O53" s="30"/>
      <c r="P53" s="30"/>
      <c r="Q53" s="303">
        <f t="shared" si="3"/>
        <v>0</v>
      </c>
      <c r="R53" s="178">
        <f t="shared" si="4"/>
      </c>
      <c r="S53" s="180">
        <f t="shared" si="5"/>
      </c>
      <c r="AL53" s="27"/>
      <c r="AM53" s="27"/>
      <c r="AN53" s="27"/>
    </row>
    <row r="54" spans="2:40" ht="15.75">
      <c r="B54" s="300">
        <v>30</v>
      </c>
      <c r="C54" s="301">
        <f t="shared" si="1"/>
      </c>
      <c r="D54" s="144"/>
      <c r="E54" s="144"/>
      <c r="F54" s="147"/>
      <c r="G54" s="148"/>
      <c r="H54" s="33"/>
      <c r="I54" s="36"/>
      <c r="J54" s="36"/>
      <c r="K54" s="302">
        <f t="shared" si="2"/>
      </c>
      <c r="L54" s="126"/>
      <c r="M54" s="133"/>
      <c r="N54" s="30"/>
      <c r="O54" s="30"/>
      <c r="P54" s="30"/>
      <c r="Q54" s="303">
        <f t="shared" si="3"/>
        <v>0</v>
      </c>
      <c r="R54" s="178">
        <f t="shared" si="4"/>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15.75">
      <c r="B56" s="300">
        <v>32</v>
      </c>
      <c r="C56" s="301">
        <f t="shared" si="1"/>
      </c>
      <c r="D56" s="144"/>
      <c r="E56" s="144"/>
      <c r="F56" s="147"/>
      <c r="G56" s="148"/>
      <c r="H56" s="33"/>
      <c r="I56" s="36"/>
      <c r="J56" s="36"/>
      <c r="K56" s="302">
        <f t="shared" si="2"/>
      </c>
      <c r="L56" s="126"/>
      <c r="M56" s="133"/>
      <c r="N56" s="30"/>
      <c r="O56" s="30"/>
      <c r="P56" s="30"/>
      <c r="Q56" s="303">
        <f t="shared" si="3"/>
        <v>0</v>
      </c>
      <c r="R56" s="178">
        <f t="shared" si="4"/>
      </c>
      <c r="S56" s="180">
        <f t="shared" si="5"/>
      </c>
      <c r="AL56" s="27"/>
      <c r="AM56" s="27"/>
      <c r="AN56" s="27"/>
    </row>
    <row r="57" spans="2:40" ht="15.75">
      <c r="B57" s="300">
        <v>33</v>
      </c>
      <c r="C57" s="301">
        <f t="shared" si="1"/>
      </c>
      <c r="D57" s="144"/>
      <c r="E57" s="144"/>
      <c r="F57" s="147"/>
      <c r="G57" s="148"/>
      <c r="H57" s="33"/>
      <c r="I57" s="36"/>
      <c r="J57" s="36"/>
      <c r="K57" s="302">
        <f t="shared" si="2"/>
      </c>
      <c r="L57" s="126"/>
      <c r="M57" s="133"/>
      <c r="N57" s="30"/>
      <c r="O57" s="30"/>
      <c r="P57" s="30"/>
      <c r="Q57" s="303">
        <f t="shared" si="3"/>
        <v>0</v>
      </c>
      <c r="R57" s="178">
        <f t="shared" si="4"/>
      </c>
      <c r="S57" s="180">
        <f t="shared" si="5"/>
      </c>
      <c r="AL57" s="27"/>
      <c r="AM57" s="27"/>
      <c r="AN57" s="27"/>
    </row>
    <row r="58" spans="2:40" ht="15.75">
      <c r="B58" s="300">
        <v>34</v>
      </c>
      <c r="C58" s="301">
        <f t="shared" si="1"/>
      </c>
      <c r="D58" s="144"/>
      <c r="E58" s="144"/>
      <c r="F58" s="147"/>
      <c r="G58" s="148"/>
      <c r="H58" s="33"/>
      <c r="I58" s="36"/>
      <c r="J58" s="36"/>
      <c r="K58" s="302">
        <f t="shared" si="2"/>
      </c>
      <c r="L58" s="126"/>
      <c r="M58" s="133"/>
      <c r="N58" s="30"/>
      <c r="O58" s="30"/>
      <c r="P58" s="30"/>
      <c r="Q58" s="303">
        <f t="shared" si="3"/>
        <v>0</v>
      </c>
      <c r="R58" s="178">
        <f t="shared" si="4"/>
      </c>
      <c r="S58" s="180">
        <f t="shared" si="5"/>
      </c>
      <c r="AL58" s="27"/>
      <c r="AM58" s="27"/>
      <c r="AN58" s="27"/>
    </row>
    <row r="59" spans="2:40" ht="15.75">
      <c r="B59" s="300">
        <v>35</v>
      </c>
      <c r="C59" s="301">
        <f t="shared" si="1"/>
      </c>
      <c r="D59" s="144"/>
      <c r="E59" s="144"/>
      <c r="F59" s="147"/>
      <c r="G59" s="148"/>
      <c r="H59" s="33"/>
      <c r="I59" s="36"/>
      <c r="J59" s="36"/>
      <c r="K59" s="302">
        <f t="shared" si="2"/>
      </c>
      <c r="L59" s="126"/>
      <c r="M59" s="133"/>
      <c r="N59" s="30"/>
      <c r="O59" s="30"/>
      <c r="P59" s="30"/>
      <c r="Q59" s="303">
        <f t="shared" si="3"/>
        <v>0</v>
      </c>
      <c r="R59" s="178">
        <f t="shared" si="4"/>
      </c>
      <c r="S59" s="180">
        <f t="shared" si="5"/>
      </c>
      <c r="AL59" s="27"/>
      <c r="AM59" s="27"/>
      <c r="AN59" s="27"/>
    </row>
    <row r="60" spans="2:40" ht="15.75">
      <c r="B60" s="300">
        <v>36</v>
      </c>
      <c r="C60" s="301">
        <f t="shared" si="1"/>
      </c>
      <c r="D60" s="144"/>
      <c r="E60" s="144"/>
      <c r="F60" s="147"/>
      <c r="G60" s="148"/>
      <c r="H60" s="33"/>
      <c r="I60" s="36"/>
      <c r="J60" s="36"/>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c>
      <c r="D62" s="144"/>
      <c r="E62" s="144"/>
      <c r="F62" s="147"/>
      <c r="G62" s="148"/>
      <c r="H62" s="33"/>
      <c r="I62" s="36"/>
      <c r="J62" s="36"/>
      <c r="K62" s="302">
        <f t="shared" si="2"/>
      </c>
      <c r="L62" s="126"/>
      <c r="M62" s="133"/>
      <c r="N62" s="30"/>
      <c r="O62" s="30"/>
      <c r="P62" s="30"/>
      <c r="Q62" s="303">
        <f t="shared" si="3"/>
        <v>0</v>
      </c>
      <c r="R62" s="178">
        <f t="shared" si="4"/>
      </c>
      <c r="S62" s="180">
        <f t="shared" si="5"/>
      </c>
      <c r="AL62" s="27"/>
      <c r="AM62" s="27"/>
      <c r="AN62" s="27"/>
    </row>
    <row r="63" spans="2:40" ht="15.75">
      <c r="B63" s="300">
        <v>39</v>
      </c>
      <c r="C63" s="301">
        <f t="shared" si="1"/>
      </c>
      <c r="D63" s="144"/>
      <c r="E63" s="144"/>
      <c r="F63" s="147"/>
      <c r="G63" s="148"/>
      <c r="H63" s="33"/>
      <c r="I63" s="36"/>
      <c r="J63" s="36"/>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c>
      <c r="D64" s="144"/>
      <c r="E64" s="144"/>
      <c r="F64" s="147"/>
      <c r="G64" s="148"/>
      <c r="H64" s="33"/>
      <c r="I64" s="36"/>
      <c r="J64" s="36"/>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6"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6"/>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6"/>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6"/>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6"/>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6"/>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6"/>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6"/>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6"/>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6"/>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6"/>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6"/>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6"/>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6"/>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1">
      <selection activeCell="A4" sqref="A4"/>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ContraCosta-18-19RER</dc:title>
  <dc:subject/>
  <dc:creator>Donna Ures</dc:creator>
  <cp:keywords>MHSA, RER, Mental Health</cp:keywords>
  <dc:description/>
  <cp:lastModifiedBy>Saelee, Katie (CSD)@DHCS</cp:lastModifiedBy>
  <cp:lastPrinted>2020-01-10T19:58:27Z</cp:lastPrinted>
  <dcterms:created xsi:type="dcterms:W3CDTF">2017-07-05T19:48:18Z</dcterms:created>
  <dcterms:modified xsi:type="dcterms:W3CDTF">2020-01-14T21:17:03Z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DHCSDOC-1797567310-1999</vt:lpwstr>
  </property>
  <property fmtid="{D5CDD505-2E9C-101B-9397-08002B2CF9AE}" pid="3" name="_dlc_DocIdItemGuid">
    <vt:lpwstr>79433792-57d7-4352-b926-acc832d6274e</vt:lpwstr>
  </property>
  <property fmtid="{D5CDD505-2E9C-101B-9397-08002B2CF9AE}" pid="4" name="_dlc_DocIdUrl">
    <vt:lpwstr>https://dhcscagovauthoring/_layouts/15/DocIdRedir.aspx?ID=DHCSDOC-1797567310-1999, DHCSDOC-1797567310-1999</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Contra Costa County FY 18-19 Revenue and Expenditure Report</vt:lpwstr>
  </property>
  <property fmtid="{D5CDD505-2E9C-101B-9397-08002B2CF9AE}" pid="9" name="PublishingContactName">
    <vt:lpwstr>Community Services Division</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Publication Type">
    <vt:lpwstr>62</vt:lpwstr>
  </property>
  <property fmtid="{D5CDD505-2E9C-101B-9397-08002B2CF9AE}" pid="14" name="Reading Level">
    <vt:lpwstr/>
  </property>
  <property fmtid="{D5CDD505-2E9C-101B-9397-08002B2CF9AE}" pid="15" name="TAGAge">
    <vt:lpwstr/>
  </property>
  <property fmtid="{D5CDD505-2E9C-101B-9397-08002B2CF9AE}" pid="16" name="Organization">
    <vt:lpwstr>103</vt:lpwstr>
  </property>
  <property fmtid="{D5CDD505-2E9C-101B-9397-08002B2CF9AE}" pid="17" name="Division">
    <vt:lpwstr>11;#Community Services|c23dee46-a4de-4c29-8bbc-79830d9e7d7c</vt:lpwstr>
  </property>
  <property fmtid="{D5CDD505-2E9C-101B-9397-08002B2CF9AE}" pid="18" name="o68eaf9243684232b2418c37bbb152dc">
    <vt:lpwstr>Community Services|c23dee46-a4de-4c29-8bbc-79830d9e7d7c</vt:lpwstr>
  </property>
  <property fmtid="{D5CDD505-2E9C-101B-9397-08002B2CF9AE}" pid="19" name="TaxCatchAll">
    <vt:lpwstr>11;#Community Services|c23dee46-a4de-4c29-8bbc-79830d9e7d7c</vt:lpwstr>
  </property>
</Properties>
</file>