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<sst xmlns="http://schemas.openxmlformats.org/spreadsheetml/2006/main" count="1479" uniqueCount="812">
  <si>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</si>
  <si>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</si>
  <si>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</si>
  <si>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</si>
  <si>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</si>
  <si>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</si>
  <si>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</si>
  <si>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</si>
  <si>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</si>
  <si>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</si>
  <si>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</si>
  <si>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</si>
  <si>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</si>
  <si>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</si>
  <si>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</si>
  <si>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</si>
  <si>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</si>
  <si>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</si>
  <si>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</si>
  <si>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</si>
  <si>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</si>
  <si>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</si>
  <si>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</si>
  <si>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</si>
  <si>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</si>
  <si>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</si>
  <si>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</si>
  <si>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</si>
  <si>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</si>
  <si>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</si>
  <si>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</si>
  <si>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</si>
  <si>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</si>
  <si>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</si>
  <si>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</si>
  <si>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</si>
  <si>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</si>
  <si>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</si>
  <si>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</si>
  <si>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</si>
  <si>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</si>
  <si>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</si>
  <si>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</si>
  <si>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</si>
  <si>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</si>
  <si>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</si>
  <si>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</si>
  <si>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</si>
  <si>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</si>
  <si>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</si>
  <si>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</si>
  <si>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</si>
  <si>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</si>
  <si>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</si>
  <si>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</si>
  <si>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</si>
  <si>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</si>
  <si>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</si>
  <si>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</si>
  <si>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</si>
  <si>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</si>
  <si>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</si>
  <si>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</si>
  <si>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</si>
  <si>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</si>
  <si>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</si>
  <si>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</si>
  <si>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</si>
  <si>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</si>
  <si>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</si>
  <si>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</si>
  <si>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</si>
  <si>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</si>
  <si>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</si>
  <si>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</si>
  <si>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</si>
  <si>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</si>
  <si>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</si>
  <si>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</si>
  <si>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</si>
  <si>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</si>
  <si>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</si>
  <si>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</si>
  <si>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</si>
  <si>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</si>
  <si>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</si>
  <si>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</si>
  <si>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</si>
  <si>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</si>
  <si>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</si>
  <si>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</si>
  <si>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</si>
  <si>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</si>
  <si>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</si>
  <si>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</si>
  <si>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</si>
  <si>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</si>
  <si>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</si>
  <si>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</si>
  <si>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</si>
  <si>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</si>
  <si>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</si>
  <si>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</si>
  <si>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</si>
  <si>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</si>
  <si>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</si>
  <si>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</si>
  <si>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</si>
  <si>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</si>
  <si>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</si>
  <si>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</si>
  <si>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</si>
  <si>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</si>
  <si>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</si>
  <si>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</si>
  <si>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</si>
  <si>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</si>
  <si>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</si>
  <si>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</si>
  <si>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</si>
  <si>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</si>
  <si>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</si>
  <si>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</si>
  <si>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</si>
  <si>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</si>
  <si>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</si>
  <si>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</si>
  <si>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</si>
  <si>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</si>
  <si>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</si>
  <si>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</si>
  <si>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</si>
  <si>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</si>
  <si>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</si>
  <si>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</si>
  <si>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</si>
  <si>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</si>
  <si>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</si>
  <si>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</si>
  <si>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</si>
  <si>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</si>
  <si>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</si>
  <si>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</si>
  <si>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</si>
  <si>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</si>
  <si>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</si>
  <si>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</si>
  <si>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</si>
  <si>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</si>
  <si>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</si>
  <si>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</si>
  <si>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</si>
  <si>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</si>
  <si>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</si>
  <si>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</si>
  <si>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</si>
  <si>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</si>
  <si>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</si>
  <si>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</si>
  <si>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</si>
  <si>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</si>
  <si>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</si>
  <si>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</si>
  <si>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</si>
  <si>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</si>
  <si>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</si>
  <si>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</si>
  <si>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</si>
  <si>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</si>
  <si>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</si>
  <si>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</si>
  <si>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</si>
  <si>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</si>
  <si>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</si>
  <si>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</si>
  <si>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</si>
  <si>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</si>
  <si>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</si>
  <si>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</si>
  <si>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</si>
  <si>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</si>
  <si>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</si>
  <si>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</si>
  <si>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</si>
  <si>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</si>
  <si>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</si>
  <si>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</si>
  <si>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</si>
  <si>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</si>
  <si>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</si>
  <si>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</si>
  <si>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</si>
  <si>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</si>
  <si>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</si>
  <si>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</si>
  <si>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</si>
  <si>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</si>
  <si>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</si>
  <si>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</si>
  <si>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</si>
  <si>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</si>
  <si>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</si>
  <si>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</si>
  <si>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</si>
  <si>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</si>
  <si>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</si>
  <si>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</si>
  <si>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</si>
  <si>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</si>
  <si>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</si>
  <si>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</si>
  <si>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</si>
  <si>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</si>
  <si>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</si>
  <si>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</si>
  <si>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</si>
  <si>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</si>
  <si>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</si>
  <si>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</si>
  <si>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</si>
  <si>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</si>
  <si>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</si>
  <si>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</si>
  <si>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</si>
  <si>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</si>
  <si>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</si>
  <si>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</si>
  <si>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</si>
  <si>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</si>
  <si>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</si>
  <si>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</si>
  <si>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</si>
  <si>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</si>
  <si>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</si>
  <si>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</si>
  <si>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</si>
  <si>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</si>
  <si>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</si>
  <si>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</si>
  <si>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</si>
  <si>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</si>
  <si>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</si>
  <si>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</si>
  <si>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</si>
  <si>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</si>
  <si>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</si>
  <si>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</si>
  <si>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</si>
  <si>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</si>
  <si>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</si>
  <si>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</si>
  <si>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</si>
  <si>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</si>
  <si>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</si>
  <si>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</si>
  <si>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</si>
  <si>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</si>
  <si>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</si>
  <si>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</si>
  <si>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</si>
  <si>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</si>
  <si>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</si>
  <si>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</si>
  <si>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</si>
  <si>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</si>
  <si>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</si>
  <si>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</si>
  <si>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</si>
  <si>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</si>
  <si>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</si>
  <si>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</si>
  <si>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</si>
  <si>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</si>
  <si>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</si>
  <si>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</si>
  <si>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</si>
  <si>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</si>
  <si>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</si>
  <si>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</si>
  <si>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</si>
  <si>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</si>
  <si>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</si>
  <si>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</si>
  <si>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</si>
  <si>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</si>
  <si>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</si>
  <si>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</si>
  <si>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</si>
  <si>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</si>
  <si>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</si>
  <si>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</si>
  <si>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</si>
  <si>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</si>
  <si>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</si>
  <si>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</si>
  <si>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</si>
  <si>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</si>
  <si>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</si>
  <si>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</si>
  <si>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</si>
  <si>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</si>
  <si>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</si>
  <si>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</si>
  <si>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</si>
  <si>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</si>
  <si>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</si>
  <si>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</si>
  <si>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</si>
  <si>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</si>
  <si>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</si>
  <si>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</si>
  <si>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</si>
  <si>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</si>
  <si>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</si>
  <si>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</si>
  <si>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</si>
  <si>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</si>
  <si>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</si>
  <si>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</si>
  <si>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</si>
  <si>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</si>
  <si>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</si>
  <si>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</si>
  <si>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</si>
  <si>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</si>
  <si>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</si>
  <si>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</si>
  <si>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</si>
  <si>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</si>
  <si>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</si>
  <si>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</si>
  <si>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</si>
  <si>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</si>
  <si>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</si>
  <si>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</si>
  <si>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</si>
  <si>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</si>
  <si>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</si>
  <si>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</si>
  <si>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</si>
  <si>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</si>
  <si>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</si>
  <si>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</si>
  <si>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</si>
  <si>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</si>
  <si>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</si>
  <si>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</si>
  <si>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</si>
  <si>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</si>
  <si>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</si>
  <si>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</si>
  <si>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</si>
  <si>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</si>
  <si>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</si>
  <si>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</si>
  <si>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</si>
  <si>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</si>
  <si>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</si>
  <si>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</si>
  <si>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</si>
  <si>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</si>
  <si>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</si>
  <si>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</si>
  <si>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</si>
  <si>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</si>
  <si>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</si>
  <si>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</si>
  <si>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</si>
  <si>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</si>
  <si>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</si>
  <si>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</si>
  <si>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</si>
  <si>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</si>
  <si>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</si>
  <si>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</si>
  <si>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</si>
  <si>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</si>
  <si>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</si>
  <si>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</si>
  <si>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</si>
  <si>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</si>
  <si>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</si>
  <si>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</si>
  <si>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</si>
  <si>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</si>
  <si>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</si>
  <si>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</si>
  <si>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</si>
  <si>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</si>
  <si>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</si>
  <si>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</si>
  <si>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</si>
  <si>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</si>
  <si>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</si>
  <si>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</si>
  <si>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</si>
  <si>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</si>
  <si>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</si>
  <si>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</si>
  <si>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</si>
  <si>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</si>
  <si>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</si>
  <si>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</si>
  <si>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</si>
  <si>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</si>
  <si>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</si>
  <si>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</si>
  <si>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</si>
  <si>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</si>
  <si>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</si>
  <si>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</si>
  <si>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</si>
  <si>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</si>
  <si>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</si>
  <si>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</si>
  <si>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</si>
  <si>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</si>
  <si>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</si>
  <si>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</si>
  <si>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</si>
  <si>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</si>
  <si>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</si>
  <si>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</si>
  <si>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</si>
  <si>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</si>
  <si>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</si>
  <si>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</si>
  <si>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</si>
  <si>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</si>
  <si>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</si>
  <si>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</si>
  <si>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</si>
  <si>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</si>
  <si>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</si>
  <si>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</si>
  <si>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</si>
  <si>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</si>
  <si>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</si>
  <si>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</si>
  <si>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</si>
  <si>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</si>
  <si>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</si>
  <si>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</si>
  <si>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</si>
  <si>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</si>
  <si>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</si>
  <si>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</si>
  <si>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</si>
  <si>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</si>
  <si>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</si>
  <si>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</si>
  <si>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</si>
  <si>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</si>
  <si>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</si>
  <si>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</si>
  <si>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</si>
  <si>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</si>
  <si>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</si>
  <si>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</si>
  <si>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</si>
  <si>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</si>
  <si>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</si>
  <si>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</si>
  <si>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</si>
  <si>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</si>
  <si>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</si>
  <si>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</si>
  <si>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</si>
  <si>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</si>
  <si>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</si>
  <si>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</si>
  <si>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</si>
  <si>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</si>
  <si>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</si>
  <si>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</si>
  <si>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</si>
  <si>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</si>
  <si>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</si>
  <si>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</si>
  <si>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</si>
  <si>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</si>
  <si>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</si>
  <si>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</si>
  <si>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</si>
  <si>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</si>
  <si>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</si>
  <si>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</si>
  <si>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</si>
  <si>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</si>
  <si>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</si>
  <si>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</si>
  <si>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</si>
  <si>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</si>
  <si>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</si>
  <si>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</si>
  <si>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</si>
  <si>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</si>
  <si>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</si>
  <si>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</si>
  <si>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</si>
  <si>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</si>
  <si>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</si>
  <si>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</si>
  <si>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</si>
  <si>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</si>
  <si>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</si>
  <si>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</si>
  <si>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</si>
  <si>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</si>
  <si>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</si>
  <si>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</si>
  <si>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</si>
  <si>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</si>
  <si>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</si>
  <si>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</si>
  <si>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</si>
  <si>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</si>
  <si>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</si>
  <si>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</si>
  <si>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</si>
  <si>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</si>
  <si>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</si>
  <si>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</si>
  <si>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</si>
  <si>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</si>
  <si>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</si>
  <si>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</si>
  <si>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</si>
  <si>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</si>
  <si>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</si>
  <si>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</si>
  <si>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</si>
  <si>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</si>
  <si>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</si>
  <si>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</si>
  <si>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</si>
  <si>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</si>
  <si>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</si>
  <si>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</si>
  <si>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</si>
  <si>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</si>
  <si>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</si>
  <si>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</si>
  <si>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</si>
  <si>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</si>
  <si>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</si>
  <si>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</si>
  <si>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</si>
  <si>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</si>
  <si>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</si>
  <si>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</si>
  <si>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</si>
  <si>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</si>
  <si>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</si>
  <si>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</si>
  <si>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</si>
  <si>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</si>
  <si>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</si>
  <si>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</si>
  <si>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</si>
  <si>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</si>
  <si>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</si>
  <si>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</si>
  <si>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</si>
  <si>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</si>
  <si>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</si>
  <si>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</si>
  <si>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</si>
  <si>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</si>
  <si>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</si>
  <si>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</si>
  <si>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</si>
  <si>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</si>
  <si>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</si>
  <si>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</si>
  <si>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</si>
  <si>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</si>
  <si>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</si>
  <si>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</si>
  <si>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</si>
  <si>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</si>
  <si>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</si>
  <si>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</si>
  <si>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</si>
  <si>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</si>
  <si>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</si>
  <si>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</si>
  <si>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</si>
  <si>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</si>
  <si>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</si>
  <si>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</si>
  <si>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</si>
  <si>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</si>
  <si>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</si>
  <si>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</si>
  <si>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</si>
  <si>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</si>
  <si>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</si>
  <si>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</si>
  <si>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</si>
  <si>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</si>
  <si>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</si>
  <si>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</si>
  <si>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</si>
  <si>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</si>
  <si>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</si>
  <si>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</si>
  <si>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</si>
  <si>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</si>
  <si>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</si>
  <si>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</si>
  <si>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</si>
  <si>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</si>
  <si>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</si>
  <si>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</si>
  <si>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</si>
  <si>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</si>
  <si>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</si>
  <si>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</si>
  <si>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</si>
  <si>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</si>
  <si>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</si>
  <si>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</si>
  <si>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</si>
  <si>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</si>
  <si>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</si>
  <si>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</si>
  <si>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</si>
  <si>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</si>
  <si>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</si>
  <si>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</si>
  <si>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</si>
  <si>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</si>
  <si>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</si>
  <si>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</si>
  <si>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</si>
  <si>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</si>
  <si>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</si>
  <si>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</si>
  <si>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</si>
  <si>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</si>
  <si>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</si>
  <si>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</si>
  <si>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</si>
  <si>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</si>
  <si>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</si>
  <si>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</si>
  <si>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</si>
  <si>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</si>
  <si>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</si>
  <si>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</si>
  <si>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</si>
  <si>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</si>
  <si>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</si>
  <si>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</si>
  <si>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</si>
  <si>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</si>
  <si>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</si>
  <si>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</si>
  <si>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</si>
  <si>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</si>
  <si>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</si>
  <si>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</si>
  <si>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</si>
  <si>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</si>
  <si>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</si>
  <si>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</si>
  <si>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</si>
  <si>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</si>
  <si>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</si>
  <si>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</si>
  <si>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</si>
  <si>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</si>
  <si>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</si>
  <si>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</si>
  <si>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</si>
  <si>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</si>
  <si>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</si>
  <si>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</si>
  <si>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</si>
  <si>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</si>
  <si>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</si>
  <si>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</si>
  <si>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</si>
  <si>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</si>
  <si>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</si>
  <si>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</si>
  <si>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</si>
  <si>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</si>
  <si>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</si>
  <si>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</si>
  <si>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</si>
  <si>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</si>
  <si>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</si>
  <si>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</si>
  <si>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</si>
  <si>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</si>
  <si>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</si>
  <si>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</si>
  <si>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</si>
  <si>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</si>
  <si>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</si>
  <si>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</si>
  <si>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</si>
  <si>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</si>
  <si>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</si>
  <si>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</si>
  <si>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</si>
  <si>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</si>
  <si>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</si>
  <si>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</si>
  <si>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</si>
  <si>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</si>
  <si>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</si>
  <si>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</si>
  <si>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</si>
  <si>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</si>
  <si>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</si>
  <si>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</si>
  <si>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</si>
  <si>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</si>
  <si>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</si>
  <si>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</si>
  <si>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</si>
  <si>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</si>
  <si>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</si>
  <si>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</si>
  <si>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</si>
  <si>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</si>
  <si>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</si>
  <si>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</si>
  <si>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</si>
  <si>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</si>
  <si>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</si>
  <si>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</si>
  <si>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</si>
  <si>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</si>
  <si>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</si>
  <si>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</si>
  <si>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</si>
  <si>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</si>
  <si>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</si>
  <si>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</si>
  <si>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</si>
  <si>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</si>
  <si>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</si>
  <si>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</si>
  <si>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</si>
  <si>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</si>
  <si>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</si>
  <si>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</si>
  <si>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</si>
  <si>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</si>
  <si>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</si>
  <si>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</si>
  <si>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</si>
  <si>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</si>
  <si>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</si>
  <si>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</si>
  <si>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</si>
  <si>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</si>
  <si>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</si>
  <si>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</si>
  <si>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</si>
  <si>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</si>
  <si>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</si>
  <si>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</si>
  <si>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</si>
  <si>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</si>
  <si>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</si>
  <si>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</si>
  <si>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</si>
  <si>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</si>
  <si>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</si>
  <si>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</si>
  <si>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</si>
  <si>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</si>
  <si>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</si>
  <si>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</si>
  <si>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</si>
  <si>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</si>
  <si>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</si>
  <si>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2018-19</t>
  </si>
  <si>
    <t>460 Kings County Dr. Ste. 101</t>
  </si>
  <si>
    <t>Hanford</t>
  </si>
  <si>
    <t>Matthew Boyett</t>
  </si>
  <si>
    <t>Fiscal Analyst III</t>
  </si>
  <si>
    <t>matthew.boyett@co.kings.ca.us</t>
  </si>
  <si>
    <t>(559) 852-2438</t>
  </si>
  <si>
    <t>Wraparound Services-Children/TAY FSP</t>
  </si>
  <si>
    <t>Parent-Child Interaction Therapy (PCIT)</t>
  </si>
  <si>
    <t>Intensive Case Management/Outpatient Prog.</t>
  </si>
  <si>
    <t>Assertive Community Treatment</t>
  </si>
  <si>
    <t>Full Service Partnership for Adults/Older Adults</t>
  </si>
  <si>
    <t>Collaborative Justice Treatment Court</t>
  </si>
  <si>
    <t>MH Services for Domestic Violence Survivors</t>
  </si>
  <si>
    <t>KARELink</t>
  </si>
  <si>
    <t>O&amp;E Multi-Service Centers</t>
  </si>
  <si>
    <t>CSS MHSA Housing Program Assigned Funds</t>
  </si>
  <si>
    <t>School Based Services</t>
  </si>
  <si>
    <t>Therapeutic Activity Groups</t>
  </si>
  <si>
    <t>Truancy Intervention Program</t>
  </si>
  <si>
    <t>Early Intervention Clinical Services</t>
  </si>
  <si>
    <t>Senior Access for Engagement</t>
  </si>
  <si>
    <t>Respite for Caregivers</t>
  </si>
  <si>
    <t>Prevention and Wellness</t>
  </si>
  <si>
    <t>Outreach and Engagement/Training</t>
  </si>
  <si>
    <t>Community Wide Engagement</t>
  </si>
  <si>
    <t>Stigma and Discrimination Reduction</t>
  </si>
  <si>
    <t>Suicide Prevention Task Force</t>
  </si>
  <si>
    <t>MOST</t>
  </si>
  <si>
    <t>Outreach and Engagement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</si>
</sst>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0">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9" fontId="63" fillId="0" borderId="10" xfId="63" applyFont="1" applyFill="1" applyBorder="1" applyAlignment="1" applyProtection="1">
      <alignment/>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
      <selection activeCell="G29" sqref="G29"/>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Kings</v>
      </c>
      <c r="G9" s="226" t="s">
        <v>1</v>
      </c>
      <c r="H9" s="264">
        <f>IF(ISBLANK('1. Information'!D9),"",'1. Information'!D9)</f>
        <v>43809</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0</v>
      </c>
      <c r="G15" s="136">
        <v>0</v>
      </c>
      <c r="H15" s="136">
        <v>0</v>
      </c>
      <c r="I15" s="136">
        <v>0</v>
      </c>
      <c r="J15" s="136">
        <v>0</v>
      </c>
      <c r="K15" s="246">
        <f>SUM(F15:J15)</f>
        <v>0</v>
      </c>
      <c r="L15" s="175"/>
      <c r="M15" s="175"/>
      <c r="N15" s="175"/>
      <c r="O15" s="27"/>
      <c r="P15" s="27"/>
    </row>
    <row r="16" spans="2:16" ht="15.75">
      <c r="B16" s="300">
        <v>2</v>
      </c>
      <c r="C16" s="308" t="s">
        <v>143</v>
      </c>
      <c r="D16" s="242"/>
      <c r="E16" s="243"/>
      <c r="F16" s="136">
        <v>0</v>
      </c>
      <c r="G16" s="136">
        <v>0</v>
      </c>
      <c r="H16" s="136">
        <v>0</v>
      </c>
      <c r="I16" s="136">
        <v>0</v>
      </c>
      <c r="J16" s="136">
        <v>0</v>
      </c>
      <c r="K16" s="246">
        <f>SUM(F16:J16)</f>
        <v>0</v>
      </c>
      <c r="L16" s="175"/>
      <c r="M16" s="175"/>
      <c r="N16" s="175"/>
      <c r="O16" s="27"/>
      <c r="P16" s="27"/>
    </row>
    <row r="17" spans="2:16" ht="15.75">
      <c r="B17" s="300">
        <v>3</v>
      </c>
      <c r="C17" s="309" t="s">
        <v>238</v>
      </c>
      <c r="D17" s="245"/>
      <c r="E17" s="243"/>
      <c r="F17" s="136">
        <v>0</v>
      </c>
      <c r="G17" s="310"/>
      <c r="H17" s="310"/>
      <c r="I17" s="310"/>
      <c r="J17" s="310"/>
      <c r="K17" s="246">
        <f>F17</f>
        <v>0</v>
      </c>
      <c r="L17" s="175"/>
      <c r="M17" s="175"/>
      <c r="N17" s="175"/>
      <c r="O17" s="27"/>
      <c r="P17" s="27"/>
    </row>
    <row r="18" spans="2:16" ht="15.75">
      <c r="B18" s="300">
        <v>4</v>
      </c>
      <c r="C18" s="309" t="s">
        <v>293</v>
      </c>
      <c r="D18" s="245"/>
      <c r="E18" s="243"/>
      <c r="F18" s="136">
        <v>0</v>
      </c>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10067.16</v>
      </c>
      <c r="G19" s="312">
        <f>SUMIF($K$29:$K$128,"Project Administration",M$29:M$128)</f>
        <v>0</v>
      </c>
      <c r="H19" s="311">
        <f>SUMIF($K$29:$K$128,"Project Administration",N$29:N$128)</f>
        <v>0</v>
      </c>
      <c r="I19" s="311">
        <f>SUMIF($K$29:$K$128,"Project Administration",O$29:O$128)</f>
        <v>0</v>
      </c>
      <c r="J19" s="311">
        <f>SUMIF($K$29:$K$128,"Project Administration",P$29:P$128)</f>
        <v>0</v>
      </c>
      <c r="K19" s="246">
        <f>SUM(F19:J19)</f>
        <v>10067.16</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30830.77</v>
      </c>
      <c r="G21" s="313">
        <f>SUMIF($K$29:$K$128,"Project Direct",M$29:M$128)</f>
        <v>0</v>
      </c>
      <c r="H21" s="310">
        <f>SUMIF($K$29:$K$128,"Project Direct",N$29:N$128)</f>
        <v>0</v>
      </c>
      <c r="I21" s="310">
        <f>SUMIF($K$29:$K$128,"Project Direct",O$29:O$128)</f>
        <v>0</v>
      </c>
      <c r="J21" s="310">
        <f>SUMIF($K$29:$K$128,"Project Direct",P$29:P$128)</f>
        <v>0</v>
      </c>
      <c r="K21" s="246">
        <f>SUM(F21:J21)</f>
        <v>30830.77</v>
      </c>
      <c r="L21" s="175"/>
      <c r="M21" s="175"/>
      <c r="N21" s="175"/>
      <c r="O21" s="27"/>
      <c r="P21" s="27"/>
    </row>
    <row r="22" spans="2:16" ht="15.75">
      <c r="B22" s="300">
        <v>8</v>
      </c>
      <c r="C22" s="308" t="s">
        <v>146</v>
      </c>
      <c r="D22" s="314"/>
      <c r="F22" s="315">
        <f>SUM(F19:F21)</f>
        <v>40897.93</v>
      </c>
      <c r="G22" s="316">
        <f>SUM(G19:G21)</f>
        <v>0</v>
      </c>
      <c r="H22" s="315">
        <f>SUM(H19:H21)</f>
        <v>0</v>
      </c>
      <c r="I22" s="315">
        <f>SUM(I19:I21)</f>
        <v>0</v>
      </c>
      <c r="J22" s="315">
        <f>SUM(J19:J21)</f>
        <v>0</v>
      </c>
      <c r="K22" s="246">
        <f>SUM(F22:J22)</f>
        <v>40897.93</v>
      </c>
      <c r="L22" s="175"/>
      <c r="M22" s="175"/>
      <c r="N22" s="175"/>
      <c r="O22" s="27"/>
      <c r="P22" s="27"/>
    </row>
    <row r="23" spans="2:16" ht="30.75" customHeight="1">
      <c r="B23" s="300">
        <v>9</v>
      </c>
      <c r="C23" s="317" t="s">
        <v>239</v>
      </c>
      <c r="D23" s="318"/>
      <c r="E23" s="319"/>
      <c r="F23" s="320">
        <f>SUM(F15:F16,F18:F21)</f>
        <v>40897.93</v>
      </c>
      <c r="G23" s="320">
        <f>SUM(G15:G16,G19:G21)</f>
        <v>0</v>
      </c>
      <c r="H23" s="320">
        <f>SUM(H15:H16,H19:H21)</f>
        <v>0</v>
      </c>
      <c r="I23" s="320">
        <f>SUM(I15:I16,I19:I21)</f>
        <v>0</v>
      </c>
      <c r="J23" s="320">
        <f>SUM(J15:J16,J19:J21)</f>
        <v>0</v>
      </c>
      <c r="K23" s="279">
        <f>SUM(F23:J23)</f>
        <v>40897.93</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16</v>
      </c>
      <c r="E29" s="144" t="s">
        <v>810</v>
      </c>
      <c r="F29" s="38"/>
      <c r="G29" s="38">
        <v>43370</v>
      </c>
      <c r="H29" s="38">
        <v>43453</v>
      </c>
      <c r="I29" s="30">
        <v>1663631</v>
      </c>
      <c r="J29" s="30"/>
      <c r="K29" s="326" t="s">
        <v>140</v>
      </c>
      <c r="L29" s="32">
        <v>10067.16</v>
      </c>
      <c r="M29" s="32">
        <v>0</v>
      </c>
      <c r="N29" s="30">
        <v>0</v>
      </c>
      <c r="O29" s="30">
        <v>0</v>
      </c>
      <c r="P29" s="34">
        <v>0</v>
      </c>
      <c r="Q29" s="246">
        <f>SUM(L29:P29)</f>
        <v>10067.16</v>
      </c>
    </row>
    <row r="30" spans="2:17" ht="15">
      <c r="B30" s="276">
        <v>10</v>
      </c>
      <c r="C30" s="218" t="s">
        <v>25</v>
      </c>
      <c r="D30" s="327">
        <f aca="true" t="shared" si="0" ref="D30:J31">IF(ISBLANK(D29),"",D29)</f>
        <v>16</v>
      </c>
      <c r="E30" s="328" t="str">
        <f t="shared" si="0"/>
        <v>MOST</v>
      </c>
      <c r="F30" s="329">
        <f t="shared" si="0"/>
      </c>
      <c r="G30" s="329">
        <f t="shared" si="0"/>
        <v>43370</v>
      </c>
      <c r="H30" s="329">
        <f t="shared" si="0"/>
        <v>43453</v>
      </c>
      <c r="I30" s="330">
        <f t="shared" si="0"/>
        <v>1663631</v>
      </c>
      <c r="J30" s="330">
        <f t="shared" si="0"/>
      </c>
      <c r="K30" s="275" t="s">
        <v>141</v>
      </c>
      <c r="L30" s="32">
        <v>0</v>
      </c>
      <c r="M30" s="32">
        <v>0</v>
      </c>
      <c r="N30" s="30">
        <v>0</v>
      </c>
      <c r="O30" s="30">
        <v>0</v>
      </c>
      <c r="P30" s="34">
        <v>0</v>
      </c>
      <c r="Q30" s="246">
        <f aca="true" t="shared" si="1" ref="Q30:Q60">SUM(L30:P30)</f>
        <v>0</v>
      </c>
    </row>
    <row r="31" spans="2:17" ht="15">
      <c r="B31" s="276">
        <v>10</v>
      </c>
      <c r="C31" s="218" t="s">
        <v>27</v>
      </c>
      <c r="D31" s="327">
        <f aca="true" t="shared" si="2" ref="D31:I31">IF(ISBLANK(D29),"",D29)</f>
        <v>16</v>
      </c>
      <c r="E31" s="331" t="str">
        <f t="shared" si="2"/>
        <v>MOST</v>
      </c>
      <c r="F31" s="332">
        <f t="shared" si="2"/>
      </c>
      <c r="G31" s="332">
        <f t="shared" si="2"/>
        <v>43370</v>
      </c>
      <c r="H31" s="332">
        <f t="shared" si="2"/>
        <v>43453</v>
      </c>
      <c r="I31" s="275">
        <f t="shared" si="2"/>
        <v>1663631</v>
      </c>
      <c r="J31" s="275">
        <f t="shared" si="0"/>
      </c>
      <c r="K31" s="275" t="s">
        <v>197</v>
      </c>
      <c r="L31" s="32">
        <v>30830.77</v>
      </c>
      <c r="M31" s="32">
        <v>0</v>
      </c>
      <c r="N31" s="30">
        <v>0</v>
      </c>
      <c r="O31" s="30">
        <v>0</v>
      </c>
      <c r="P31" s="34">
        <v>0</v>
      </c>
      <c r="Q31" s="246">
        <f t="shared" si="1"/>
        <v>30830.77</v>
      </c>
    </row>
    <row r="32" spans="2:17" ht="15.75">
      <c r="B32" s="333">
        <v>10</v>
      </c>
      <c r="C32" s="333" t="s">
        <v>202</v>
      </c>
      <c r="D32" s="334">
        <f aca="true" t="shared" si="3" ref="D32:J32">IF(ISBLANK(D29),"",D29)</f>
        <v>16</v>
      </c>
      <c r="E32" s="335" t="str">
        <f t="shared" si="3"/>
        <v>MOST</v>
      </c>
      <c r="F32" s="336">
        <f t="shared" si="3"/>
      </c>
      <c r="G32" s="336">
        <f t="shared" si="3"/>
        <v>43370</v>
      </c>
      <c r="H32" s="336">
        <f t="shared" si="3"/>
        <v>43453</v>
      </c>
      <c r="I32" s="337">
        <f t="shared" si="3"/>
        <v>1663631</v>
      </c>
      <c r="J32" s="337">
        <f t="shared" si="3"/>
      </c>
      <c r="K32" s="279" t="s">
        <v>217</v>
      </c>
      <c r="L32" s="338">
        <f>SUM(L29:L31)</f>
        <v>40897.93</v>
      </c>
      <c r="M32" s="338">
        <f>SUM(M29:M31)</f>
        <v>0</v>
      </c>
      <c r="N32" s="339">
        <f>SUM(N29:N31)</f>
        <v>0</v>
      </c>
      <c r="O32" s="339">
        <f>SUM(O29:O31)</f>
        <v>0</v>
      </c>
      <c r="P32" s="340">
        <f>SUM(P29:P31)</f>
        <v>0</v>
      </c>
      <c r="Q32" s="279">
        <f t="shared" si="1"/>
        <v>40897.93</v>
      </c>
    </row>
    <row r="33" spans="2:17" ht="15">
      <c r="B33" s="276">
        <v>11</v>
      </c>
      <c r="C33" s="293" t="s">
        <v>23</v>
      </c>
      <c r="D33" s="325">
        <f>IF(Q36&lt;&gt;0,VLOOKUP($E$9,Info_County_Code,2,FALSE),"")</f>
      </c>
      <c r="E33" s="144"/>
      <c r="F33" s="38"/>
      <c r="G33" s="38"/>
      <c r="H33" s="38"/>
      <c r="I33" s="30"/>
      <c r="J33" s="30"/>
      <c r="K33" s="326">
        <f>IF(NOT(ISBLANK(E33)),$K$29,"")</f>
      </c>
      <c r="L33" s="32"/>
      <c r="M33" s="32"/>
      <c r="N33" s="30"/>
      <c r="O33" s="30"/>
      <c r="P33" s="34"/>
      <c r="Q33" s="246">
        <f>SUM(L33:P33)</f>
        <v>0</v>
      </c>
    </row>
    <row r="34" spans="2:17" ht="15">
      <c r="B34" s="276">
        <v>11</v>
      </c>
      <c r="C34" s="218" t="s">
        <v>25</v>
      </c>
      <c r="D34" s="327">
        <f aca="true" t="shared" si="4" ref="D34:J34">IF(ISBLANK(D33),"",D33)</f>
      </c>
      <c r="E34" s="328">
        <f t="shared" si="4"/>
      </c>
      <c r="F34" s="329">
        <f t="shared" si="4"/>
      </c>
      <c r="G34" s="329">
        <f t="shared" si="4"/>
      </c>
      <c r="H34" s="329">
        <f t="shared" si="4"/>
      </c>
      <c r="I34" s="330">
        <f t="shared" si="4"/>
      </c>
      <c r="J34" s="330">
        <f t="shared" si="4"/>
      </c>
      <c r="K34" s="275">
        <f>IF(NOT(ISBLANK(E33)),$K$30,"")</f>
      </c>
      <c r="L34" s="32"/>
      <c r="M34" s="32"/>
      <c r="N34" s="30"/>
      <c r="O34" s="30"/>
      <c r="P34" s="34"/>
      <c r="Q34" s="246">
        <f>SUM(L34:P34)</f>
        <v>0</v>
      </c>
    </row>
    <row r="35" spans="2:17" ht="15">
      <c r="B35" s="276">
        <v>11</v>
      </c>
      <c r="C35" s="218" t="s">
        <v>27</v>
      </c>
      <c r="D35" s="327">
        <f aca="true" t="shared" si="5" ref="D35:J35">IF(ISBLANK(D33),"",D33)</f>
      </c>
      <c r="E35" s="331">
        <f t="shared" si="5"/>
      </c>
      <c r="F35" s="332">
        <f t="shared" si="5"/>
      </c>
      <c r="G35" s="332">
        <f t="shared" si="5"/>
      </c>
      <c r="H35" s="332">
        <f t="shared" si="5"/>
      </c>
      <c r="I35" s="275">
        <f t="shared" si="5"/>
      </c>
      <c r="J35" s="275">
        <f t="shared" si="5"/>
      </c>
      <c r="K35" s="275">
        <f>IF(NOT(ISBLANK(E33)),$K$31,"")</f>
      </c>
      <c r="L35" s="32"/>
      <c r="M35" s="32"/>
      <c r="N35" s="30"/>
      <c r="O35" s="30"/>
      <c r="P35" s="34"/>
      <c r="Q35" s="246">
        <f>SUM(L35:P35)</f>
        <v>0</v>
      </c>
    </row>
    <row r="36" spans="2:17" ht="15.75">
      <c r="B36" s="333">
        <v>11</v>
      </c>
      <c r="C36" s="333" t="s">
        <v>202</v>
      </c>
      <c r="D36" s="334">
        <f aca="true" t="shared" si="6" ref="D36:J36">IF(ISBLANK(D33),"",D33)</f>
      </c>
      <c r="E36" s="335">
        <f t="shared" si="6"/>
      </c>
      <c r="F36" s="336">
        <f t="shared" si="6"/>
      </c>
      <c r="G36" s="336">
        <f t="shared" si="6"/>
      </c>
      <c r="H36" s="336">
        <f t="shared" si="6"/>
      </c>
      <c r="I36" s="337">
        <f t="shared" si="6"/>
      </c>
      <c r="J36" s="337">
        <f t="shared" si="6"/>
      </c>
      <c r="K36" s="279">
        <f>IF(NOT(ISBLANK(E33)),$K$32,"")</f>
      </c>
      <c r="L36" s="338">
        <f>SUM(L33:L35)</f>
        <v>0</v>
      </c>
      <c r="M36" s="338">
        <f>SUM(M33:M35)</f>
        <v>0</v>
      </c>
      <c r="N36" s="339">
        <f>SUM(N33:N35)</f>
        <v>0</v>
      </c>
      <c r="O36" s="339">
        <f>SUM(O33:O35)</f>
        <v>0</v>
      </c>
      <c r="P36" s="340">
        <f>SUM(P33:P35)</f>
        <v>0</v>
      </c>
      <c r="Q36" s="279">
        <f>SUM(L36:P36)</f>
        <v>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E28" sqref="E28"/>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Kings</v>
      </c>
      <c r="F9" s="226" t="s">
        <v>1</v>
      </c>
      <c r="G9" s="346">
        <f>IF(ISBLANK('1. Information'!D9),"",'1. Information'!D9)</f>
        <v>43809</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c r="G17" s="136"/>
      <c r="H17" s="136"/>
      <c r="I17" s="136"/>
      <c r="J17" s="136"/>
      <c r="K17" s="241">
        <f t="shared" si="0"/>
        <v>0</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0</v>
      </c>
      <c r="G20" s="351">
        <f>SUM(F28:F32)</f>
        <v>0</v>
      </c>
      <c r="H20" s="330">
        <f>SUM(G28:G32)</f>
        <v>0</v>
      </c>
      <c r="I20" s="330">
        <f>SUM(H28:H32)</f>
        <v>0</v>
      </c>
      <c r="J20" s="330">
        <f>SUM(I28:I32)</f>
        <v>0</v>
      </c>
      <c r="K20" s="246">
        <f t="shared" si="0"/>
        <v>0</v>
      </c>
      <c r="L20" s="175"/>
      <c r="M20" s="175"/>
      <c r="N20" s="27"/>
      <c r="O20" s="27"/>
    </row>
    <row r="21" spans="1:15" ht="30.75" customHeight="1">
      <c r="A21" s="27"/>
      <c r="B21" s="300">
        <v>7</v>
      </c>
      <c r="C21" s="277" t="s">
        <v>188</v>
      </c>
      <c r="D21" s="277"/>
      <c r="E21" s="277"/>
      <c r="F21" s="279">
        <f>SUM(F15:F17,F19:F20)</f>
        <v>0</v>
      </c>
      <c r="G21" s="251">
        <f>SUM(G15:G17,G20)</f>
        <v>0</v>
      </c>
      <c r="H21" s="250">
        <f>SUM(H15:H17,H20)</f>
        <v>0</v>
      </c>
      <c r="I21" s="250">
        <f>SUM(I15:I17,I20)</f>
        <v>0</v>
      </c>
      <c r="J21" s="250">
        <f>SUM(J15:J17,J20)</f>
        <v>0</v>
      </c>
      <c r="K21" s="279">
        <f t="shared" si="0"/>
        <v>0</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c>
      <c r="D28" s="355" t="s">
        <v>98</v>
      </c>
      <c r="E28" s="31"/>
      <c r="F28" s="32"/>
      <c r="G28" s="31"/>
      <c r="H28" s="31"/>
      <c r="I28" s="128"/>
      <c r="J28" s="275">
        <f>SUM(E28:I28)</f>
        <v>0</v>
      </c>
      <c r="K28" s="175"/>
      <c r="L28" s="175"/>
      <c r="M28" s="175"/>
      <c r="N28" s="175"/>
      <c r="O28" s="175"/>
      <c r="P28" s="175"/>
      <c r="Q28" s="175"/>
      <c r="R28" s="175"/>
    </row>
    <row r="29" spans="1:18" ht="15.75">
      <c r="A29" s="27"/>
      <c r="B29" s="300">
        <v>9</v>
      </c>
      <c r="C29" s="301">
        <f>IF(J29&lt;&gt;0,VLOOKUP($D$9,Info_County_Code,2,FALSE),"")</f>
      </c>
      <c r="D29" s="355" t="s">
        <v>99</v>
      </c>
      <c r="E29" s="31"/>
      <c r="F29" s="32"/>
      <c r="G29" s="31"/>
      <c r="H29" s="31"/>
      <c r="I29" s="128"/>
      <c r="J29" s="275">
        <f>SUM(E29:I29)</f>
        <v>0</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c>
      <c r="D32" s="355" t="s">
        <v>102</v>
      </c>
      <c r="E32" s="31"/>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
      <selection activeCell="H27" sqref="H27"/>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2018-19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Kings</v>
      </c>
      <c r="E9" s="8"/>
      <c r="F9" s="162" t="s">
        <v>1</v>
      </c>
      <c r="G9" s="264">
        <f>IF(ISBLANK('1. Information'!D9),"",'1. Information'!D9)</f>
        <v>43809</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v>0</v>
      </c>
      <c r="G15" s="136">
        <v>0</v>
      </c>
      <c r="H15" s="136">
        <v>0</v>
      </c>
      <c r="I15" s="136">
        <v>0</v>
      </c>
      <c r="J15" s="136">
        <v>0</v>
      </c>
      <c r="K15" s="326">
        <f>SUM(F15:J15)</f>
        <v>0</v>
      </c>
      <c r="L15" s="175"/>
      <c r="M15" s="175"/>
      <c r="U15" s="27"/>
      <c r="V15" s="27"/>
      <c r="W15" s="27"/>
    </row>
    <row r="16" spans="2:23" ht="15.75">
      <c r="B16" s="300">
        <v>2</v>
      </c>
      <c r="C16" s="162" t="s">
        <v>309</v>
      </c>
      <c r="D16" s="225"/>
      <c r="E16" s="358"/>
      <c r="F16" s="136">
        <v>0</v>
      </c>
      <c r="G16" s="136">
        <v>0</v>
      </c>
      <c r="H16" s="136">
        <v>0</v>
      </c>
      <c r="I16" s="136">
        <v>0</v>
      </c>
      <c r="J16" s="136">
        <v>0</v>
      </c>
      <c r="K16" s="326">
        <f>SUM(F16:J16)</f>
        <v>0</v>
      </c>
      <c r="L16" s="175"/>
      <c r="M16" s="175"/>
      <c r="U16" s="27"/>
      <c r="V16" s="27"/>
      <c r="W16" s="27"/>
    </row>
    <row r="17" spans="2:23" ht="15.75">
      <c r="B17" s="300">
        <v>3</v>
      </c>
      <c r="C17" s="162" t="s">
        <v>311</v>
      </c>
      <c r="D17" s="225"/>
      <c r="E17" s="358"/>
      <c r="F17" s="136">
        <v>0</v>
      </c>
      <c r="G17" s="136">
        <v>0</v>
      </c>
      <c r="H17" s="136">
        <v>0</v>
      </c>
      <c r="I17" s="136">
        <v>0</v>
      </c>
      <c r="J17" s="136">
        <v>0</v>
      </c>
      <c r="K17" s="326">
        <f>SUM(F17:J17)</f>
        <v>0</v>
      </c>
      <c r="L17" s="175"/>
      <c r="M17" s="175"/>
      <c r="U17" s="27"/>
      <c r="V17" s="27"/>
      <c r="W17" s="27"/>
    </row>
    <row r="18" spans="1:15" s="25" customFormat="1" ht="15.75">
      <c r="A18" s="27"/>
      <c r="B18" s="300">
        <v>4</v>
      </c>
      <c r="C18" s="163" t="s">
        <v>642</v>
      </c>
      <c r="D18" s="242"/>
      <c r="E18" s="350"/>
      <c r="F18" s="136">
        <v>0</v>
      </c>
      <c r="G18" s="275"/>
      <c r="H18" s="275"/>
      <c r="I18" s="275"/>
      <c r="J18" s="275"/>
      <c r="K18" s="241">
        <f>F18</f>
        <v>0</v>
      </c>
      <c r="L18" s="175"/>
      <c r="M18" s="175"/>
      <c r="N18" s="27"/>
      <c r="O18" s="27"/>
    </row>
    <row r="19" spans="1:15" s="25" customFormat="1" ht="15.75">
      <c r="A19" s="27"/>
      <c r="B19" s="300">
        <v>5</v>
      </c>
      <c r="C19" s="163" t="s">
        <v>643</v>
      </c>
      <c r="D19" s="242"/>
      <c r="E19" s="350"/>
      <c r="F19" s="136">
        <v>0</v>
      </c>
      <c r="G19" s="275"/>
      <c r="H19" s="275"/>
      <c r="I19" s="275"/>
      <c r="J19" s="275"/>
      <c r="K19" s="241">
        <f>F19</f>
        <v>0</v>
      </c>
      <c r="L19" s="175"/>
      <c r="M19" s="175"/>
      <c r="N19" s="27"/>
      <c r="O19" s="27"/>
    </row>
    <row r="20" spans="2:23" ht="15.75">
      <c r="B20" s="300">
        <v>6</v>
      </c>
      <c r="C20" s="162" t="s">
        <v>310</v>
      </c>
      <c r="D20" s="225"/>
      <c r="E20" s="240"/>
      <c r="F20" s="351">
        <f>SUM(G27:G46)</f>
        <v>0</v>
      </c>
      <c r="G20" s="351">
        <f>SUM(H27:H46)</f>
        <v>0</v>
      </c>
      <c r="H20" s="330">
        <f>SUM(I27:I46)</f>
        <v>0</v>
      </c>
      <c r="I20" s="330">
        <f>SUM(J27:J46)</f>
        <v>0</v>
      </c>
      <c r="J20" s="275">
        <f>SUM(K27:K46)</f>
        <v>0</v>
      </c>
      <c r="K20" s="326">
        <f>SUM(F20:J20)</f>
        <v>0</v>
      </c>
      <c r="L20" s="175"/>
      <c r="M20" s="175"/>
      <c r="U20" s="27"/>
      <c r="V20" s="27"/>
      <c r="W20" s="27"/>
    </row>
    <row r="21" spans="2:23" ht="30.75" customHeight="1">
      <c r="B21" s="300">
        <v>7</v>
      </c>
      <c r="C21" s="359" t="s">
        <v>768</v>
      </c>
      <c r="D21" s="360"/>
      <c r="E21" s="361"/>
      <c r="F21" s="279">
        <f>SUM(F15:F17,F19:F20)</f>
        <v>0</v>
      </c>
      <c r="G21" s="251">
        <f>SUM(G15:G17,G20)</f>
        <v>0</v>
      </c>
      <c r="H21" s="251">
        <f>SUM(H15:H17,H20)</f>
        <v>0</v>
      </c>
      <c r="I21" s="251">
        <f>SUM(I15:I17,I20)</f>
        <v>0</v>
      </c>
      <c r="J21" s="251">
        <f>SUM(J15:J17,J20)</f>
        <v>0</v>
      </c>
      <c r="K21" s="250">
        <f>SUM(F21:J21)</f>
        <v>0</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c>
      <c r="D27" s="144"/>
      <c r="E27" s="144"/>
      <c r="F27" s="127"/>
      <c r="G27" s="126"/>
      <c r="H27" s="126"/>
      <c r="I27" s="126"/>
      <c r="J27" s="129"/>
      <c r="K27" s="126"/>
      <c r="L27" s="364">
        <f>SUM(G27:K27)</f>
        <v>0</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CFTN_Project_Type</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D15" sqref="D15"/>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2018-19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Kings</v>
      </c>
      <c r="E9" s="2"/>
      <c r="F9" s="365" t="s">
        <v>156</v>
      </c>
      <c r="G9" s="264">
        <f>IF(ISBLANK('1. Information'!D9),"",'1. Information'!D9)</f>
        <v>43809</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c>
      <c r="D15" s="40"/>
      <c r="E15" s="40"/>
      <c r="F15" s="150"/>
      <c r="G15" s="132"/>
      <c r="H15" s="134"/>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2018-19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Kings</v>
      </c>
      <c r="F9" s="226" t="s">
        <v>1</v>
      </c>
      <c r="G9" s="346">
        <f>IF(ISBLANK('1. Information'!D9),"",'1. Information'!D9)</f>
        <v>43809</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A1" sqref="A1"/>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2018-19</v>
      </c>
      <c r="C6" s="1"/>
      <c r="D6" s="1"/>
    </row>
    <row r="7" spans="2:5" ht="18">
      <c r="B7" s="382" t="s">
        <v>282</v>
      </c>
      <c r="C7" s="1"/>
      <c r="D7" s="1"/>
      <c r="E7" s="27"/>
    </row>
    <row r="8" ht="15">
      <c r="D8" s="131"/>
    </row>
    <row r="9" spans="2:4" ht="34.5" customHeight="1">
      <c r="B9" s="203">
        <v>1</v>
      </c>
      <c r="C9" s="209" t="s">
        <v>1</v>
      </c>
      <c r="D9" s="113">
        <v>43809</v>
      </c>
    </row>
    <row r="10" spans="2:4" ht="34.5" customHeight="1">
      <c r="B10" s="203">
        <v>2</v>
      </c>
      <c r="C10" s="205" t="s">
        <v>303</v>
      </c>
      <c r="D10" s="151" t="s">
        <v>782</v>
      </c>
    </row>
    <row r="11" spans="2:4" ht="34.5" customHeight="1">
      <c r="B11" s="203">
        <v>3</v>
      </c>
      <c r="C11" s="204" t="s">
        <v>0</v>
      </c>
      <c r="D11" s="135" t="s">
        <v>51</v>
      </c>
    </row>
    <row r="12" spans="2:4" ht="34.5" customHeight="1">
      <c r="B12" s="203">
        <v>4</v>
      </c>
      <c r="C12" s="206" t="s">
        <v>113</v>
      </c>
      <c r="D12" s="182">
        <f>IF(ISBLANK(D11),"",VLOOKUP(D11,Info_County_Code,2))</f>
        <v>16</v>
      </c>
    </row>
    <row r="13" spans="2:4" ht="34.5" customHeight="1">
      <c r="B13" s="203">
        <v>5</v>
      </c>
      <c r="C13" s="204" t="s">
        <v>114</v>
      </c>
      <c r="D13" s="412" t="s">
        <v>783</v>
      </c>
    </row>
    <row r="14" spans="2:4" ht="34.5" customHeight="1">
      <c r="B14" s="203">
        <v>6</v>
      </c>
      <c r="C14" s="204" t="s">
        <v>115</v>
      </c>
      <c r="D14" s="135" t="s">
        <v>784</v>
      </c>
    </row>
    <row r="15" spans="2:4" ht="34.5" customHeight="1">
      <c r="B15" s="203">
        <v>7</v>
      </c>
      <c r="C15" s="204" t="s">
        <v>116</v>
      </c>
      <c r="D15" s="172">
        <v>93230</v>
      </c>
    </row>
    <row r="16" spans="2:4" ht="34.5" customHeight="1">
      <c r="B16" s="203">
        <v>8</v>
      </c>
      <c r="C16" s="207" t="s">
        <v>162</v>
      </c>
      <c r="D16" s="183" t="str">
        <f>IF(ISBLANK(D11),"",VLOOKUP(D11,County_Population,5,FALSE))</f>
        <v>No</v>
      </c>
    </row>
    <row r="17" spans="2:4" ht="34.5" customHeight="1">
      <c r="B17" s="203">
        <v>9</v>
      </c>
      <c r="C17" s="204" t="s">
        <v>112</v>
      </c>
      <c r="D17" s="135" t="s">
        <v>785</v>
      </c>
    </row>
    <row r="18" spans="2:4" ht="34.5" customHeight="1">
      <c r="B18" s="203">
        <v>10</v>
      </c>
      <c r="C18" s="208" t="s">
        <v>167</v>
      </c>
      <c r="D18" s="413" t="s">
        <v>786</v>
      </c>
    </row>
    <row r="19" spans="2:4" ht="34.5" customHeight="1">
      <c r="B19" s="203">
        <v>11</v>
      </c>
      <c r="C19" s="208" t="s">
        <v>184</v>
      </c>
      <c r="D19" s="413" t="s">
        <v>787</v>
      </c>
    </row>
    <row r="20" spans="2:4" ht="34.5" customHeight="1">
      <c r="B20" s="203">
        <v>12</v>
      </c>
      <c r="C20" s="209" t="s">
        <v>280</v>
      </c>
      <c r="D20" s="414" t="s">
        <v>788</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0" sqref="E20"/>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Kings</v>
      </c>
      <c r="F9" s="226" t="s">
        <v>1</v>
      </c>
      <c r="G9" s="346">
        <f>IF(ISBLANK('1. Information'!D9),"",'1. Information'!D9)</f>
        <v>43809</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c r="D13" s="169"/>
      <c r="E13" s="117"/>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Kings</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6" t="s">
        <v>148</v>
      </c>
      <c r="B1" s="417"/>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9" t="s">
        <v>171</v>
      </c>
      <c r="B2" s="419"/>
      <c r="C2" s="419"/>
      <c r="D2" s="419"/>
      <c r="E2" s="419"/>
    </row>
    <row r="3" spans="1:5" ht="14.25" customHeight="1">
      <c r="A3" s="419" t="s">
        <v>235</v>
      </c>
      <c r="B3" s="419"/>
      <c r="C3" s="419"/>
      <c r="D3" s="419"/>
      <c r="E3" s="419"/>
    </row>
    <row r="4" spans="1:4" ht="14.25" customHeight="1" thickBot="1">
      <c r="A4" s="57"/>
      <c r="B4" s="58"/>
      <c r="C4" s="59"/>
      <c r="D4" s="60"/>
    </row>
    <row r="5" spans="1:5" ht="14.25" customHeight="1">
      <c r="A5" s="61" t="s">
        <v>172</v>
      </c>
      <c r="B5" s="418" t="s">
        <v>173</v>
      </c>
      <c r="C5" s="418"/>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7">
      <selection activeCell="F42" sqref="F42"/>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Kings</v>
      </c>
      <c r="F9" s="210" t="s">
        <v>1</v>
      </c>
      <c r="G9" s="185">
        <f>IF(ISBLANK('1. Information'!D9),"",'1. Information'!D9)</f>
        <v>43809</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149764.24</v>
      </c>
      <c r="E14" s="149">
        <v>10018.53</v>
      </c>
      <c r="F14" s="149">
        <v>49545.1</v>
      </c>
      <c r="G14" s="149">
        <v>0</v>
      </c>
      <c r="H14" s="149">
        <v>15604.81</v>
      </c>
      <c r="I14" s="186">
        <f>SUM(D14:H14)</f>
        <v>224932.68</v>
      </c>
    </row>
    <row r="15" spans="2:9" ht="15">
      <c r="B15" s="218">
        <v>2</v>
      </c>
      <c r="C15" s="219" t="s">
        <v>278</v>
      </c>
      <c r="D15" s="164">
        <v>0</v>
      </c>
      <c r="E15" s="164">
        <v>0</v>
      </c>
      <c r="F15" s="164">
        <v>0</v>
      </c>
      <c r="G15" s="164">
        <v>0</v>
      </c>
      <c r="H15" s="164">
        <v>0</v>
      </c>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2138118</v>
      </c>
      <c r="G19" s="122"/>
      <c r="H19" s="122"/>
      <c r="I19" s="122"/>
    </row>
    <row r="20" spans="2:9" ht="15">
      <c r="B20" s="216">
        <v>4</v>
      </c>
      <c r="C20" s="220" t="s">
        <v>22</v>
      </c>
      <c r="D20" s="149">
        <v>0</v>
      </c>
      <c r="E20" s="149">
        <v>0</v>
      </c>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2138118</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0</v>
      </c>
      <c r="E27" s="188">
        <f>'3. CSS'!F21</f>
        <v>0</v>
      </c>
      <c r="F27" s="186">
        <f>'3. CSS'!F22</f>
        <v>0</v>
      </c>
      <c r="G27" s="194">
        <f>'3. CSS'!F23</f>
        <v>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8515725.52</v>
      </c>
      <c r="E31" s="194">
        <f>'4. PEI'!F22</f>
        <v>2098318.11</v>
      </c>
      <c r="F31" s="194">
        <f>'5. INN'!F23</f>
        <v>40897.93</v>
      </c>
      <c r="G31" s="194">
        <f>'6. WET'!F21</f>
        <v>0</v>
      </c>
      <c r="H31" s="194">
        <f>'7. CFTN'!F21</f>
        <v>0</v>
      </c>
      <c r="I31" s="194">
        <f>SUM(D31:H31)</f>
        <v>10654941.559999999</v>
      </c>
    </row>
    <row r="32" spans="2:9" ht="15">
      <c r="B32" s="211">
        <v>10</v>
      </c>
      <c r="C32" s="223" t="s">
        <v>4</v>
      </c>
      <c r="D32" s="189">
        <f>'3. CSS'!G27</f>
        <v>0</v>
      </c>
      <c r="E32" s="189">
        <f>'4. PEI'!G22</f>
        <v>0</v>
      </c>
      <c r="F32" s="189">
        <f>'5. INN'!G23</f>
        <v>0</v>
      </c>
      <c r="G32" s="189">
        <f>'6. WET'!G21</f>
        <v>0</v>
      </c>
      <c r="H32" s="189">
        <f>'7. CFTN'!G21</f>
        <v>0</v>
      </c>
      <c r="I32" s="194">
        <f>SUM(D32:H32)</f>
        <v>0</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209493.38</v>
      </c>
      <c r="E35" s="189">
        <f>'4. PEI'!J22</f>
        <v>494111.94999999995</v>
      </c>
      <c r="F35" s="189">
        <f>'5. INN'!J23</f>
        <v>0</v>
      </c>
      <c r="G35" s="189">
        <f>'6. WET'!J21</f>
        <v>0</v>
      </c>
      <c r="H35" s="189">
        <f>'7. CFTN'!J21</f>
        <v>0</v>
      </c>
      <c r="I35" s="194">
        <f>SUM(D35:H35)</f>
        <v>703605.33</v>
      </c>
    </row>
    <row r="36" spans="2:9" ht="15.75">
      <c r="B36" s="211">
        <v>14</v>
      </c>
      <c r="C36" s="224" t="s">
        <v>21</v>
      </c>
      <c r="D36" s="195">
        <f>SUM(D31:D35)</f>
        <v>8725218.9</v>
      </c>
      <c r="E36" s="195">
        <f>SUM(E31:E35)</f>
        <v>2592430.0599999996</v>
      </c>
      <c r="F36" s="195">
        <f>SUM(F31:F35)</f>
        <v>40897.93</v>
      </c>
      <c r="G36" s="195">
        <f>SUM(G31:G35)</f>
        <v>0</v>
      </c>
      <c r="H36" s="195">
        <f>SUM(H31:H35)</f>
        <v>0</v>
      </c>
      <c r="I36" s="196">
        <f>SUM(D36:H36)</f>
        <v>11358546.89</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0</v>
      </c>
      <c r="E40" s="154"/>
      <c r="F40" s="120"/>
      <c r="H40" s="120"/>
      <c r="I40" s="122"/>
    </row>
    <row r="41" spans="2:9" ht="15.75">
      <c r="B41" s="211">
        <v>16</v>
      </c>
      <c r="C41" s="162" t="s">
        <v>19</v>
      </c>
      <c r="D41" s="197">
        <f>'3. CSS'!F16+'4. PEI'!F16+'5. INN'!F20+'6. WET'!F16+'7. CFTN'!F16</f>
        <v>27155</v>
      </c>
      <c r="E41" s="121"/>
      <c r="F41" s="120"/>
      <c r="G41" s="120"/>
      <c r="H41" s="120"/>
      <c r="I41" s="122"/>
    </row>
    <row r="42" spans="2:9" ht="15.75">
      <c r="B42" s="211">
        <v>17</v>
      </c>
      <c r="C42" s="162" t="s">
        <v>20</v>
      </c>
      <c r="D42" s="198">
        <f>'3. CSS'!F17+'4. PEI'!F17+'5. INN'!F16+'5. INN'!F19+'6. WET'!F17+'7. CFTN'!F17</f>
        <v>2914294.18</v>
      </c>
      <c r="E42" s="121"/>
      <c r="F42" s="120"/>
      <c r="G42" s="120"/>
      <c r="H42" s="120"/>
      <c r="I42" s="122"/>
    </row>
    <row r="43" spans="2:4" ht="15.75">
      <c r="B43" s="211">
        <v>18</v>
      </c>
      <c r="C43" s="225" t="s">
        <v>243</v>
      </c>
      <c r="D43" s="149"/>
    </row>
    <row r="44" spans="2:4" ht="15.75">
      <c r="B44" s="211">
        <v>19</v>
      </c>
      <c r="C44" s="162" t="s">
        <v>244</v>
      </c>
      <c r="D44" s="199">
        <f>'4. PEI'!F18</f>
        <v>179839.59</v>
      </c>
    </row>
    <row r="45" spans="2:4" ht="15.75">
      <c r="B45" s="211">
        <v>20</v>
      </c>
      <c r="C45" s="225" t="s">
        <v>245</v>
      </c>
      <c r="D45" s="149"/>
    </row>
    <row r="46" spans="2:5" ht="15.75">
      <c r="B46" s="211">
        <v>21</v>
      </c>
      <c r="C46" s="162" t="s">
        <v>249</v>
      </c>
      <c r="D46" s="149">
        <v>5400</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
      <selection activeCell="A23" sqref="A23"/>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13">
      <selection activeCell="D43" sqref="D43"/>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Kings</v>
      </c>
      <c r="E9" s="123"/>
      <c r="F9" s="226" t="s">
        <v>1</v>
      </c>
      <c r="G9" s="227">
        <f>IF(ISBLANK('1. Information'!D9),"",'1. Information'!D9)</f>
        <v>43809</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v>0</v>
      </c>
      <c r="G15" s="136">
        <v>0</v>
      </c>
      <c r="H15" s="136">
        <v>0</v>
      </c>
      <c r="I15" s="136">
        <v>0</v>
      </c>
      <c r="J15" s="136">
        <v>0</v>
      </c>
      <c r="K15" s="241">
        <f>SUM(F15:J15)</f>
        <v>0</v>
      </c>
      <c r="L15" s="175"/>
    </row>
    <row r="16" spans="1:12" ht="15" customHeight="1">
      <c r="A16" s="123"/>
      <c r="B16" s="234">
        <v>2</v>
      </c>
      <c r="C16" s="163" t="s">
        <v>7</v>
      </c>
      <c r="D16" s="242"/>
      <c r="E16" s="243"/>
      <c r="F16" s="136">
        <v>26247.5</v>
      </c>
      <c r="G16" s="136">
        <v>0</v>
      </c>
      <c r="H16" s="136">
        <v>0</v>
      </c>
      <c r="I16" s="136">
        <v>0</v>
      </c>
      <c r="J16" s="136">
        <v>0</v>
      </c>
      <c r="K16" s="241">
        <f>SUM(F16:J16)</f>
        <v>26247.5</v>
      </c>
      <c r="L16" s="175"/>
    </row>
    <row r="17" spans="1:12" ht="15.75" customHeight="1">
      <c r="A17" s="123"/>
      <c r="B17" s="234">
        <v>3</v>
      </c>
      <c r="C17" s="163" t="s">
        <v>117</v>
      </c>
      <c r="D17" s="242"/>
      <c r="E17" s="243"/>
      <c r="F17" s="136">
        <v>1750972.05</v>
      </c>
      <c r="G17" s="136">
        <v>0</v>
      </c>
      <c r="H17" s="136">
        <v>0</v>
      </c>
      <c r="I17" s="136">
        <v>0</v>
      </c>
      <c r="J17" s="136">
        <v>0</v>
      </c>
      <c r="K17" s="241">
        <f>SUM(F17:J17)</f>
        <v>1750972.05</v>
      </c>
      <c r="L17" s="175"/>
    </row>
    <row r="18" spans="1:12" ht="15.75">
      <c r="A18" s="123"/>
      <c r="B18" s="234">
        <v>4</v>
      </c>
      <c r="C18" s="163" t="s">
        <v>187</v>
      </c>
      <c r="D18" s="242"/>
      <c r="E18" s="243"/>
      <c r="F18" s="136">
        <v>0</v>
      </c>
      <c r="G18" s="244"/>
      <c r="H18" s="244"/>
      <c r="I18" s="244"/>
      <c r="J18" s="244"/>
      <c r="K18" s="241">
        <f>F18</f>
        <v>0</v>
      </c>
      <c r="L18" s="175"/>
    </row>
    <row r="19" spans="1:12" ht="15.75">
      <c r="A19" s="123"/>
      <c r="B19" s="234">
        <v>5</v>
      </c>
      <c r="C19" s="163" t="s">
        <v>284</v>
      </c>
      <c r="D19" s="242"/>
      <c r="E19" s="243"/>
      <c r="F19" s="136">
        <v>0</v>
      </c>
      <c r="G19" s="244"/>
      <c r="H19" s="244"/>
      <c r="I19" s="244"/>
      <c r="J19" s="244"/>
      <c r="K19" s="241">
        <f aca="true" t="shared" si="0" ref="K19:K24">F19</f>
        <v>0</v>
      </c>
      <c r="L19" s="175"/>
    </row>
    <row r="20" spans="1:12" ht="15.75" customHeight="1">
      <c r="A20" s="123"/>
      <c r="B20" s="234">
        <v>6</v>
      </c>
      <c r="C20" s="163" t="s">
        <v>186</v>
      </c>
      <c r="D20" s="242"/>
      <c r="E20" s="243"/>
      <c r="F20" s="136">
        <v>0</v>
      </c>
      <c r="G20" s="244"/>
      <c r="H20" s="244"/>
      <c r="I20" s="244"/>
      <c r="J20" s="244"/>
      <c r="K20" s="241">
        <f t="shared" si="0"/>
        <v>0</v>
      </c>
      <c r="L20" s="175"/>
    </row>
    <row r="21" spans="1:12" ht="15.75">
      <c r="A21" s="124"/>
      <c r="B21" s="218">
        <v>7</v>
      </c>
      <c r="C21" s="242" t="s">
        <v>247</v>
      </c>
      <c r="D21" s="245"/>
      <c r="E21" s="243"/>
      <c r="F21" s="136">
        <v>0</v>
      </c>
      <c r="G21" s="246"/>
      <c r="H21" s="246"/>
      <c r="I21" s="246"/>
      <c r="J21" s="246"/>
      <c r="K21" s="241">
        <f t="shared" si="0"/>
        <v>0</v>
      </c>
      <c r="L21" s="175"/>
    </row>
    <row r="22" spans="1:12" ht="15.75">
      <c r="A22" s="124"/>
      <c r="B22" s="218">
        <v>8</v>
      </c>
      <c r="C22" s="242" t="s">
        <v>192</v>
      </c>
      <c r="D22" s="245"/>
      <c r="E22" s="243"/>
      <c r="F22" s="136">
        <v>0</v>
      </c>
      <c r="G22" s="246"/>
      <c r="H22" s="246"/>
      <c r="I22" s="246"/>
      <c r="J22" s="246"/>
      <c r="K22" s="241">
        <f t="shared" si="0"/>
        <v>0</v>
      </c>
      <c r="L22" s="175"/>
    </row>
    <row r="23" spans="1:12" ht="15.75">
      <c r="A23" s="124"/>
      <c r="B23" s="218">
        <v>9</v>
      </c>
      <c r="C23" s="242" t="s">
        <v>193</v>
      </c>
      <c r="D23" s="245"/>
      <c r="E23" s="243"/>
      <c r="F23" s="136">
        <v>0</v>
      </c>
      <c r="G23" s="246"/>
      <c r="H23" s="246"/>
      <c r="I23" s="246"/>
      <c r="J23" s="246"/>
      <c r="K23" s="241">
        <f t="shared" si="0"/>
        <v>0</v>
      </c>
      <c r="L23" s="175"/>
    </row>
    <row r="24" spans="1:12" ht="15.75">
      <c r="A24" s="124"/>
      <c r="B24" s="218">
        <v>10</v>
      </c>
      <c r="C24" s="242" t="s">
        <v>191</v>
      </c>
      <c r="D24" s="245"/>
      <c r="E24" s="243"/>
      <c r="F24" s="136">
        <v>0</v>
      </c>
      <c r="G24" s="246"/>
      <c r="H24" s="246"/>
      <c r="I24" s="246"/>
      <c r="J24" s="246"/>
      <c r="K24" s="241">
        <f t="shared" si="0"/>
        <v>0</v>
      </c>
      <c r="L24" s="175"/>
    </row>
    <row r="25" spans="1:12" ht="15.75" customHeight="1">
      <c r="A25" s="123"/>
      <c r="B25" s="234">
        <v>11</v>
      </c>
      <c r="C25" s="163" t="s">
        <v>123</v>
      </c>
      <c r="D25" s="242"/>
      <c r="E25" s="243"/>
      <c r="F25" s="244">
        <f>SUM(G34:G133)</f>
        <v>6738505.97</v>
      </c>
      <c r="G25" s="246">
        <f>SUM(H34:H133)</f>
        <v>0</v>
      </c>
      <c r="H25" s="246">
        <f>SUM(I34:I133)</f>
        <v>0</v>
      </c>
      <c r="I25" s="246">
        <f>SUM(J34:J133)</f>
        <v>0</v>
      </c>
      <c r="J25" s="246">
        <f>SUM(K34:K133)</f>
        <v>209493.38</v>
      </c>
      <c r="K25" s="246">
        <f>SUM(F25:J25)</f>
        <v>6947999.35</v>
      </c>
      <c r="L25" s="175"/>
    </row>
    <row r="26" spans="1:12" ht="30.75" customHeight="1">
      <c r="A26" s="123"/>
      <c r="B26" s="234">
        <v>12</v>
      </c>
      <c r="C26" s="247" t="s">
        <v>190</v>
      </c>
      <c r="D26" s="248"/>
      <c r="E26" s="249"/>
      <c r="F26" s="250">
        <f>SUM(F15:F17,F19:F25)</f>
        <v>8515725.52</v>
      </c>
      <c r="G26" s="250">
        <f>SUM(G15:G17,G25)</f>
        <v>0</v>
      </c>
      <c r="H26" s="251">
        <f>SUM(H15:H17,H25)</f>
        <v>0</v>
      </c>
      <c r="I26" s="250">
        <f>SUM(I15:I17,I25)</f>
        <v>0</v>
      </c>
      <c r="J26" s="250">
        <f>SUM(J15:J17,J25)</f>
        <v>209493.38</v>
      </c>
      <c r="K26" s="250">
        <f>SUM(F26:J26)</f>
        <v>8725218.9</v>
      </c>
      <c r="L26" s="175"/>
    </row>
    <row r="27" spans="1:12" ht="30.75" customHeight="1">
      <c r="A27" s="123"/>
      <c r="B27" s="234">
        <v>13</v>
      </c>
      <c r="C27" s="252" t="s">
        <v>675</v>
      </c>
      <c r="D27" s="252"/>
      <c r="E27" s="252"/>
      <c r="F27" s="250">
        <f>SUM(F15:F17,F19,F20,F25)</f>
        <v>8515725.52</v>
      </c>
      <c r="G27" s="250">
        <f>SUM(G15:G17,G25)</f>
        <v>0</v>
      </c>
      <c r="H27" s="250">
        <f>SUM(H15:H17,H25)</f>
        <v>0</v>
      </c>
      <c r="I27" s="250">
        <f>SUM(I15:I17,I25)</f>
        <v>0</v>
      </c>
      <c r="J27" s="250">
        <f>SUM(J15:J17,J25)</f>
        <v>209493.38</v>
      </c>
      <c r="K27" s="250">
        <f>SUM(F27:J27)</f>
        <v>8725218.9</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16</v>
      </c>
      <c r="D34" s="144" t="s">
        <v>789</v>
      </c>
      <c r="E34" s="144"/>
      <c r="F34" s="127" t="s">
        <v>95</v>
      </c>
      <c r="G34" s="126">
        <f>1225473.16-209493.38</f>
        <v>1015979.7799999999</v>
      </c>
      <c r="H34" s="126"/>
      <c r="I34" s="126"/>
      <c r="J34" s="129"/>
      <c r="K34" s="126">
        <v>209493.38</v>
      </c>
      <c r="L34" s="246">
        <f>SUM(G34:K34)</f>
        <v>1225473.16</v>
      </c>
    </row>
    <row r="35" spans="1:12" ht="15.75">
      <c r="A35" s="123"/>
      <c r="B35" s="262">
        <v>15</v>
      </c>
      <c r="C35" s="263">
        <f t="shared" si="1"/>
        <v>16</v>
      </c>
      <c r="D35" s="144" t="s">
        <v>790</v>
      </c>
      <c r="E35" s="144"/>
      <c r="F35" s="127" t="s">
        <v>96</v>
      </c>
      <c r="G35" s="126">
        <v>8592.27</v>
      </c>
      <c r="H35" s="126"/>
      <c r="I35" s="126"/>
      <c r="J35" s="129"/>
      <c r="K35" s="126"/>
      <c r="L35" s="246">
        <f>SUM(G35:K35)</f>
        <v>8592.27</v>
      </c>
    </row>
    <row r="36" spans="1:12" ht="15.75">
      <c r="A36" s="123"/>
      <c r="B36" s="262">
        <v>16</v>
      </c>
      <c r="C36" s="263">
        <f t="shared" si="1"/>
        <v>16</v>
      </c>
      <c r="D36" s="144" t="s">
        <v>791</v>
      </c>
      <c r="E36" s="144"/>
      <c r="F36" s="127" t="s">
        <v>96</v>
      </c>
      <c r="G36" s="126">
        <v>1860064.95</v>
      </c>
      <c r="H36" s="126"/>
      <c r="I36" s="126"/>
      <c r="J36" s="129"/>
      <c r="K36" s="126"/>
      <c r="L36" s="246">
        <f aca="true" t="shared" si="2" ref="L36:L98">SUM(G36:K36)</f>
        <v>1860064.95</v>
      </c>
    </row>
    <row r="37" spans="1:12" ht="15.75">
      <c r="A37" s="123"/>
      <c r="B37" s="262">
        <v>17</v>
      </c>
      <c r="C37" s="263">
        <f t="shared" si="1"/>
        <v>16</v>
      </c>
      <c r="D37" s="144" t="s">
        <v>792</v>
      </c>
      <c r="E37" s="144"/>
      <c r="F37" s="127" t="s">
        <v>95</v>
      </c>
      <c r="G37" s="126">
        <v>484789.85</v>
      </c>
      <c r="H37" s="126"/>
      <c r="I37" s="126"/>
      <c r="J37" s="129"/>
      <c r="K37" s="126"/>
      <c r="L37" s="246">
        <f t="shared" si="2"/>
        <v>484789.85</v>
      </c>
    </row>
    <row r="38" spans="1:12" ht="15.75">
      <c r="A38" s="123"/>
      <c r="B38" s="262">
        <v>18</v>
      </c>
      <c r="C38" s="263">
        <f t="shared" si="1"/>
        <v>16</v>
      </c>
      <c r="D38" s="144" t="s">
        <v>793</v>
      </c>
      <c r="E38" s="144"/>
      <c r="F38" s="127" t="s">
        <v>95</v>
      </c>
      <c r="G38" s="126">
        <v>1665114.68</v>
      </c>
      <c r="H38" s="126"/>
      <c r="I38" s="126"/>
      <c r="J38" s="129"/>
      <c r="K38" s="126"/>
      <c r="L38" s="246">
        <f t="shared" si="2"/>
        <v>1665114.68</v>
      </c>
    </row>
    <row r="39" spans="1:12" ht="15.75">
      <c r="A39" s="123"/>
      <c r="B39" s="262">
        <v>19</v>
      </c>
      <c r="C39" s="263">
        <f t="shared" si="1"/>
        <v>16</v>
      </c>
      <c r="D39" s="144" t="s">
        <v>794</v>
      </c>
      <c r="E39" s="144"/>
      <c r="F39" s="127" t="s">
        <v>96</v>
      </c>
      <c r="G39" s="126">
        <v>444587.63</v>
      </c>
      <c r="H39" s="126"/>
      <c r="I39" s="126"/>
      <c r="J39" s="129"/>
      <c r="K39" s="126"/>
      <c r="L39" s="246">
        <f t="shared" si="2"/>
        <v>444587.63</v>
      </c>
    </row>
    <row r="40" spans="1:12" ht="15.75">
      <c r="A40" s="123"/>
      <c r="B40" s="262">
        <v>20</v>
      </c>
      <c r="C40" s="263">
        <f t="shared" si="1"/>
        <v>16</v>
      </c>
      <c r="D40" s="144" t="s">
        <v>795</v>
      </c>
      <c r="E40" s="144"/>
      <c r="F40" s="127" t="s">
        <v>96</v>
      </c>
      <c r="G40" s="389">
        <v>260796.06</v>
      </c>
      <c r="H40" s="126"/>
      <c r="I40" s="126"/>
      <c r="J40" s="129"/>
      <c r="K40" s="126"/>
      <c r="L40" s="246">
        <f t="shared" si="2"/>
        <v>260796.06</v>
      </c>
    </row>
    <row r="41" spans="1:12" ht="15.75">
      <c r="A41" s="123"/>
      <c r="B41" s="262">
        <v>21</v>
      </c>
      <c r="C41" s="263">
        <f t="shared" si="1"/>
        <v>16</v>
      </c>
      <c r="D41" s="144" t="s">
        <v>796</v>
      </c>
      <c r="E41" s="144"/>
      <c r="F41" s="127" t="s">
        <v>96</v>
      </c>
      <c r="G41" s="126">
        <v>833110.88</v>
      </c>
      <c r="H41" s="126"/>
      <c r="I41" s="126"/>
      <c r="J41" s="129"/>
      <c r="K41" s="126"/>
      <c r="L41" s="246">
        <f t="shared" si="2"/>
        <v>833110.88</v>
      </c>
    </row>
    <row r="42" spans="1:12" ht="15.75">
      <c r="A42" s="123"/>
      <c r="B42" s="262">
        <v>22</v>
      </c>
      <c r="C42" s="263">
        <f t="shared" si="1"/>
        <v>16</v>
      </c>
      <c r="D42" s="144" t="s">
        <v>811</v>
      </c>
      <c r="E42" s="144" t="s">
        <v>797</v>
      </c>
      <c r="F42" s="127" t="s">
        <v>96</v>
      </c>
      <c r="G42" s="126">
        <v>114545.32</v>
      </c>
      <c r="H42" s="126"/>
      <c r="I42" s="126"/>
      <c r="J42" s="129"/>
      <c r="K42" s="126"/>
      <c r="L42" s="246">
        <f t="shared" si="2"/>
        <v>114545.32</v>
      </c>
    </row>
    <row r="43" spans="1:12" ht="15.75">
      <c r="A43" s="123"/>
      <c r="B43" s="262">
        <v>23</v>
      </c>
      <c r="C43" s="263">
        <f t="shared" si="1"/>
        <v>16</v>
      </c>
      <c r="D43" s="144" t="s">
        <v>798</v>
      </c>
      <c r="E43" s="144"/>
      <c r="F43" s="127" t="s">
        <v>96</v>
      </c>
      <c r="G43" s="126">
        <v>50924.55</v>
      </c>
      <c r="H43" s="126"/>
      <c r="I43" s="126"/>
      <c r="J43" s="129"/>
      <c r="K43" s="126"/>
      <c r="L43" s="246">
        <f t="shared" si="2"/>
        <v>50924.55</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46:D133 D34 D35:D4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39 G41: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A1">
      <selection activeCell="F28" sqref="F28"/>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Kings</v>
      </c>
      <c r="E9" s="27" t="str">
        <f>IF(ISBLANK('1. Information'!D11),"",'1. Information'!D11)</f>
        <v>Kings</v>
      </c>
      <c r="F9" s="226" t="s">
        <v>1</v>
      </c>
      <c r="G9" s="264">
        <f>IF(ISBLANK('1. Information'!D9),"",'1. Information'!D9)</f>
        <v>43809</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v>0</v>
      </c>
      <c r="G15" s="136">
        <v>0</v>
      </c>
      <c r="H15" s="136">
        <v>0</v>
      </c>
      <c r="I15" s="136">
        <v>0</v>
      </c>
      <c r="J15" s="136">
        <v>0</v>
      </c>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v>907.5</v>
      </c>
      <c r="G16" s="136">
        <v>0</v>
      </c>
      <c r="H16" s="136">
        <v>0</v>
      </c>
      <c r="I16" s="136">
        <v>0</v>
      </c>
      <c r="J16" s="136">
        <v>0</v>
      </c>
      <c r="K16" s="241">
        <f aca="true" t="shared" si="0" ref="K16:K22">SUM(F16:J16)</f>
        <v>907.5</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1153254.97</v>
      </c>
      <c r="G17" s="136">
        <v>0</v>
      </c>
      <c r="H17" s="136">
        <v>0</v>
      </c>
      <c r="I17" s="136">
        <v>0</v>
      </c>
      <c r="J17" s="136">
        <v>0</v>
      </c>
      <c r="K17" s="241">
        <f t="shared" si="0"/>
        <v>1153254.97</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v>179839.59</v>
      </c>
      <c r="G18" s="244"/>
      <c r="H18" s="244"/>
      <c r="I18" s="244"/>
      <c r="J18" s="244"/>
      <c r="K18" s="241">
        <f>F18</f>
        <v>179839.59</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v>0</v>
      </c>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v>0</v>
      </c>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944155.64</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494111.94999999995</v>
      </c>
      <c r="K21" s="246">
        <f t="shared" si="0"/>
        <v>1438267.5899999999</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2098318.11</v>
      </c>
      <c r="G22" s="279">
        <f>SUM(G15:G17,G20:G21)</f>
        <v>0</v>
      </c>
      <c r="H22" s="279">
        <f>SUM(H15:H17,H20:H21)</f>
        <v>0</v>
      </c>
      <c r="I22" s="279">
        <f>SUM(I15:I17,I20:I21)</f>
        <v>0</v>
      </c>
      <c r="J22" s="279">
        <f>SUM(J15:J17,J20:J21)</f>
        <v>494111.94999999995</v>
      </c>
      <c r="K22" s="279">
        <f t="shared" si="0"/>
        <v>2592430.0599999996</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0.22947873065824131</v>
      </c>
      <c r="F28" s="18">
        <v>0</v>
      </c>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16</v>
      </c>
      <c r="D34" s="144" t="s">
        <v>799</v>
      </c>
      <c r="E34" s="144"/>
      <c r="F34" s="147" t="s">
        <v>125</v>
      </c>
      <c r="G34" s="148" t="s">
        <v>121</v>
      </c>
      <c r="H34" s="33"/>
      <c r="I34" s="36">
        <v>1</v>
      </c>
      <c r="J34" s="415">
        <v>0.51</v>
      </c>
      <c r="K34" s="302">
        <f>IF(OR(G34="Combined Summary",F34="Standalone"),(SUMPRODUCT(--(D$34:D$133=D34),I$34:I$133,J$34:J$133)),"")</f>
        <v>0.51</v>
      </c>
      <c r="L34" s="126">
        <f>194745.58-123527.98</f>
        <v>71217.59999999999</v>
      </c>
      <c r="M34" s="133"/>
      <c r="N34" s="30"/>
      <c r="O34" s="30"/>
      <c r="P34" s="30">
        <v>123527.98</v>
      </c>
      <c r="Q34" s="303">
        <f>SUM(L34:P34)</f>
        <v>194745.58</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16</v>
      </c>
      <c r="D35" s="144" t="s">
        <v>800</v>
      </c>
      <c r="E35" s="144"/>
      <c r="F35" s="147" t="s">
        <v>125</v>
      </c>
      <c r="G35" s="148" t="s">
        <v>121</v>
      </c>
      <c r="H35" s="33"/>
      <c r="I35" s="36">
        <v>1</v>
      </c>
      <c r="J35" s="36">
        <v>0.51</v>
      </c>
      <c r="K35" s="302">
        <f aca="true" t="shared" si="2" ref="K35:K98">IF(OR(G35="Combined Summary",F35="Standalone"),(SUMPRODUCT(--(D$34:D$133=D35),I$34:I$133,J$34:J$133)),"")</f>
        <v>0.51</v>
      </c>
      <c r="L35" s="126">
        <v>250.98</v>
      </c>
      <c r="M35" s="133"/>
      <c r="N35" s="30"/>
      <c r="O35" s="30"/>
      <c r="P35" s="30"/>
      <c r="Q35" s="303">
        <f aca="true" t="shared" si="3" ref="Q35:Q98">SUM(L35:P35)</f>
        <v>250.98</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16</v>
      </c>
      <c r="D36" s="144" t="s">
        <v>801</v>
      </c>
      <c r="E36" s="144"/>
      <c r="F36" s="147" t="s">
        <v>125</v>
      </c>
      <c r="G36" s="148" t="s">
        <v>121</v>
      </c>
      <c r="H36" s="33"/>
      <c r="I36" s="36">
        <v>1</v>
      </c>
      <c r="J36" s="36">
        <v>0.51</v>
      </c>
      <c r="K36" s="302">
        <f t="shared" si="2"/>
        <v>0.51</v>
      </c>
      <c r="L36" s="126">
        <v>87281.93</v>
      </c>
      <c r="M36" s="133"/>
      <c r="N36" s="30"/>
      <c r="O36" s="30"/>
      <c r="P36" s="30"/>
      <c r="Q36" s="303">
        <f t="shared" si="3"/>
        <v>87281.93</v>
      </c>
      <c r="R36" s="178">
        <f t="shared" si="4"/>
        <v>1</v>
      </c>
      <c r="S36" s="180">
        <f t="shared" si="5"/>
      </c>
      <c r="AL36" s="27"/>
      <c r="AM36" s="27"/>
      <c r="AN36" s="27"/>
    </row>
    <row r="37" spans="2:40" ht="15.75">
      <c r="B37" s="300">
        <v>13</v>
      </c>
      <c r="C37" s="301">
        <f t="shared" si="1"/>
        <v>16</v>
      </c>
      <c r="D37" s="144" t="s">
        <v>802</v>
      </c>
      <c r="E37" s="144"/>
      <c r="F37" s="147" t="s">
        <v>125</v>
      </c>
      <c r="G37" s="148" t="s">
        <v>122</v>
      </c>
      <c r="H37" s="33"/>
      <c r="I37" s="36">
        <v>1</v>
      </c>
      <c r="J37" s="36">
        <v>0.51</v>
      </c>
      <c r="K37" s="302">
        <f t="shared" si="2"/>
        <v>0.51</v>
      </c>
      <c r="L37" s="126">
        <v>90181.12</v>
      </c>
      <c r="M37" s="133"/>
      <c r="N37" s="30"/>
      <c r="O37" s="30"/>
      <c r="P37" s="30"/>
      <c r="Q37" s="303">
        <f t="shared" si="3"/>
        <v>90181.12</v>
      </c>
      <c r="R37" s="178">
        <f t="shared" si="4"/>
        <v>1</v>
      </c>
      <c r="S37" s="180">
        <f t="shared" si="5"/>
      </c>
      <c r="AL37" s="27"/>
      <c r="AM37" s="27"/>
      <c r="AN37" s="27"/>
    </row>
    <row r="38" spans="2:40" ht="15.75">
      <c r="B38" s="300">
        <v>14</v>
      </c>
      <c r="C38" s="301">
        <f t="shared" si="1"/>
        <v>16</v>
      </c>
      <c r="D38" s="144" t="s">
        <v>803</v>
      </c>
      <c r="E38" s="144"/>
      <c r="F38" s="147" t="s">
        <v>125</v>
      </c>
      <c r="G38" s="148" t="s">
        <v>118</v>
      </c>
      <c r="H38" s="33"/>
      <c r="I38" s="36">
        <v>1</v>
      </c>
      <c r="J38" s="36">
        <v>0.51</v>
      </c>
      <c r="K38" s="302">
        <f t="shared" si="2"/>
        <v>0.51</v>
      </c>
      <c r="L38" s="126">
        <f>252385.33-200000</f>
        <v>52385.32999999999</v>
      </c>
      <c r="M38" s="133"/>
      <c r="N38" s="30"/>
      <c r="O38" s="30"/>
      <c r="P38" s="30">
        <v>200000</v>
      </c>
      <c r="Q38" s="303">
        <f t="shared" si="3"/>
        <v>252385.33</v>
      </c>
      <c r="R38" s="178">
        <f t="shared" si="4"/>
        <v>1</v>
      </c>
      <c r="S38" s="180">
        <f t="shared" si="5"/>
      </c>
      <c r="AL38" s="27"/>
      <c r="AM38" s="27"/>
      <c r="AN38" s="27"/>
    </row>
    <row r="39" spans="2:40" ht="15.75">
      <c r="B39" s="300">
        <v>15</v>
      </c>
      <c r="C39" s="301">
        <f t="shared" si="1"/>
        <v>16</v>
      </c>
      <c r="D39" s="144" t="s">
        <v>804</v>
      </c>
      <c r="E39" s="144"/>
      <c r="F39" s="147" t="s">
        <v>125</v>
      </c>
      <c r="G39" s="148" t="s">
        <v>118</v>
      </c>
      <c r="H39" s="33"/>
      <c r="I39" s="36">
        <v>1</v>
      </c>
      <c r="J39" s="36">
        <v>0.51</v>
      </c>
      <c r="K39" s="302">
        <f t="shared" si="2"/>
        <v>0.51</v>
      </c>
      <c r="L39" s="126">
        <v>95265.88</v>
      </c>
      <c r="M39" s="133"/>
      <c r="N39" s="30"/>
      <c r="O39" s="30"/>
      <c r="P39" s="30"/>
      <c r="Q39" s="303">
        <f t="shared" si="3"/>
        <v>95265.88</v>
      </c>
      <c r="R39" s="178">
        <f t="shared" si="4"/>
        <v>1</v>
      </c>
      <c r="S39" s="180">
        <f t="shared" si="5"/>
      </c>
      <c r="AL39" s="27"/>
      <c r="AM39" s="27"/>
      <c r="AN39" s="27"/>
    </row>
    <row r="40" spans="2:40" ht="15.75">
      <c r="B40" s="300">
        <v>16</v>
      </c>
      <c r="C40" s="301">
        <f t="shared" si="1"/>
        <v>16</v>
      </c>
      <c r="D40" s="144" t="s">
        <v>805</v>
      </c>
      <c r="E40" s="144"/>
      <c r="F40" s="147" t="s">
        <v>125</v>
      </c>
      <c r="G40" s="148" t="s">
        <v>121</v>
      </c>
      <c r="H40" s="33"/>
      <c r="I40" s="36">
        <v>1</v>
      </c>
      <c r="J40" s="36">
        <v>0.51</v>
      </c>
      <c r="K40" s="302">
        <f t="shared" si="2"/>
        <v>0.51</v>
      </c>
      <c r="L40" s="126">
        <f>203756.38-123527.98</f>
        <v>80228.40000000001</v>
      </c>
      <c r="M40" s="133"/>
      <c r="N40" s="30"/>
      <c r="O40" s="30"/>
      <c r="P40" s="30">
        <v>123527.98</v>
      </c>
      <c r="Q40" s="303">
        <f t="shared" si="3"/>
        <v>203756.38</v>
      </c>
      <c r="R40" s="178">
        <f t="shared" si="4"/>
        <v>1</v>
      </c>
      <c r="S40" s="180">
        <f t="shared" si="5"/>
      </c>
      <c r="AL40" s="27"/>
      <c r="AM40" s="27"/>
      <c r="AN40" s="27"/>
    </row>
    <row r="41" spans="2:40" ht="15.75">
      <c r="B41" s="300">
        <v>17</v>
      </c>
      <c r="C41" s="301">
        <f t="shared" si="1"/>
        <v>16</v>
      </c>
      <c r="D41" s="144" t="s">
        <v>806</v>
      </c>
      <c r="E41" s="144"/>
      <c r="F41" s="147" t="s">
        <v>125</v>
      </c>
      <c r="G41" s="148" t="s">
        <v>127</v>
      </c>
      <c r="H41" s="33"/>
      <c r="I41" s="36">
        <v>1</v>
      </c>
      <c r="J41" s="36">
        <v>0.51</v>
      </c>
      <c r="K41" s="302">
        <f t="shared" si="2"/>
        <v>0.51</v>
      </c>
      <c r="L41" s="126">
        <v>15045.23</v>
      </c>
      <c r="M41" s="133"/>
      <c r="N41" s="30"/>
      <c r="O41" s="30"/>
      <c r="P41" s="30"/>
      <c r="Q41" s="303">
        <f t="shared" si="3"/>
        <v>15045.23</v>
      </c>
      <c r="R41" s="178">
        <f t="shared" si="4"/>
        <v>1</v>
      </c>
      <c r="S41" s="180">
        <f t="shared" si="5"/>
      </c>
      <c r="AL41" s="27"/>
      <c r="AM41" s="27"/>
      <c r="AN41" s="27"/>
    </row>
    <row r="42" spans="2:40" ht="15.75">
      <c r="B42" s="300">
        <v>18</v>
      </c>
      <c r="C42" s="301">
        <f t="shared" si="1"/>
        <v>16</v>
      </c>
      <c r="D42" s="144" t="s">
        <v>807</v>
      </c>
      <c r="E42" s="144"/>
      <c r="F42" s="147" t="s">
        <v>125</v>
      </c>
      <c r="G42" s="148" t="s">
        <v>127</v>
      </c>
      <c r="H42" s="33"/>
      <c r="I42" s="36">
        <v>1</v>
      </c>
      <c r="J42" s="36">
        <v>0.51</v>
      </c>
      <c r="K42" s="302">
        <f t="shared" si="2"/>
        <v>0.51</v>
      </c>
      <c r="L42" s="126">
        <v>108294.72</v>
      </c>
      <c r="M42" s="133"/>
      <c r="N42" s="30"/>
      <c r="O42" s="30"/>
      <c r="P42" s="30"/>
      <c r="Q42" s="303">
        <f t="shared" si="3"/>
        <v>108294.72</v>
      </c>
      <c r="R42" s="178">
        <f t="shared" si="4"/>
        <v>1</v>
      </c>
      <c r="S42" s="180">
        <f t="shared" si="5"/>
      </c>
      <c r="AL42" s="27"/>
      <c r="AM42" s="27"/>
      <c r="AN42" s="27"/>
    </row>
    <row r="43" spans="2:40" ht="15.75">
      <c r="B43" s="300">
        <v>19</v>
      </c>
      <c r="C43" s="301">
        <f t="shared" si="1"/>
        <v>16</v>
      </c>
      <c r="D43" s="144" t="s">
        <v>808</v>
      </c>
      <c r="E43" s="144"/>
      <c r="F43" s="147" t="s">
        <v>125</v>
      </c>
      <c r="G43" s="148" t="s">
        <v>128</v>
      </c>
      <c r="H43" s="33"/>
      <c r="I43" s="36">
        <v>1</v>
      </c>
      <c r="J43" s="36">
        <v>0.51</v>
      </c>
      <c r="K43" s="302">
        <f t="shared" si="2"/>
        <v>0.51</v>
      </c>
      <c r="L43" s="126">
        <v>108162.81</v>
      </c>
      <c r="M43" s="133"/>
      <c r="N43" s="30"/>
      <c r="O43" s="30"/>
      <c r="P43" s="30"/>
      <c r="Q43" s="303">
        <f t="shared" si="3"/>
        <v>108162.81</v>
      </c>
      <c r="R43" s="178">
        <f t="shared" si="4"/>
        <v>1</v>
      </c>
      <c r="S43" s="180">
        <f t="shared" si="5"/>
      </c>
      <c r="AL43" s="27"/>
      <c r="AM43" s="27"/>
      <c r="AN43" s="27"/>
    </row>
    <row r="44" spans="2:40" ht="15.75">
      <c r="B44" s="300">
        <v>20</v>
      </c>
      <c r="C44" s="301">
        <f t="shared" si="1"/>
        <v>16</v>
      </c>
      <c r="D44" s="144" t="s">
        <v>118</v>
      </c>
      <c r="E44" s="144"/>
      <c r="F44" s="147" t="s">
        <v>125</v>
      </c>
      <c r="G44" s="148" t="s">
        <v>118</v>
      </c>
      <c r="H44" s="33"/>
      <c r="I44" s="36">
        <v>1</v>
      </c>
      <c r="J44" s="36">
        <v>0.51</v>
      </c>
      <c r="K44" s="302">
        <f t="shared" si="2"/>
        <v>0.51</v>
      </c>
      <c r="L44" s="126">
        <v>115165.35</v>
      </c>
      <c r="M44" s="133"/>
      <c r="N44" s="30"/>
      <c r="O44" s="30"/>
      <c r="P44" s="30"/>
      <c r="Q44" s="303">
        <f t="shared" si="3"/>
        <v>115165.35</v>
      </c>
      <c r="R44" s="178">
        <f t="shared" si="4"/>
        <v>1</v>
      </c>
      <c r="S44" s="180">
        <f t="shared" si="5"/>
      </c>
      <c r="AL44" s="27"/>
      <c r="AM44" s="27"/>
      <c r="AN44" s="27"/>
    </row>
    <row r="45" spans="2:40" ht="15.75">
      <c r="B45" s="300">
        <v>21</v>
      </c>
      <c r="C45" s="301">
        <f t="shared" si="1"/>
        <v>16</v>
      </c>
      <c r="D45" s="144" t="s">
        <v>129</v>
      </c>
      <c r="E45" s="144" t="s">
        <v>809</v>
      </c>
      <c r="F45" s="147" t="s">
        <v>125</v>
      </c>
      <c r="G45" s="148" t="s">
        <v>129</v>
      </c>
      <c r="H45" s="33"/>
      <c r="I45" s="36">
        <v>1</v>
      </c>
      <c r="J45" s="36">
        <v>0.51</v>
      </c>
      <c r="K45" s="302">
        <f t="shared" si="2"/>
        <v>0.51</v>
      </c>
      <c r="L45" s="126">
        <f>167732.28-47055.99</f>
        <v>120676.29000000001</v>
      </c>
      <c r="M45" s="133"/>
      <c r="N45" s="30"/>
      <c r="O45" s="30"/>
      <c r="P45" s="30">
        <v>47055.99</v>
      </c>
      <c r="Q45" s="303">
        <f t="shared" si="3"/>
        <v>167732.28</v>
      </c>
      <c r="R45" s="178">
        <f t="shared" si="4"/>
        <v>1</v>
      </c>
      <c r="S45" s="180">
        <f t="shared" si="5"/>
      </c>
      <c r="AL45" s="27"/>
      <c r="AM45" s="27"/>
      <c r="AN45" s="27"/>
    </row>
    <row r="46" spans="2:40" ht="15.75">
      <c r="B46" s="300">
        <v>22</v>
      </c>
      <c r="C46" s="301">
        <f t="shared" si="1"/>
      </c>
      <c r="D46" s="144"/>
      <c r="E46" s="144"/>
      <c r="F46" s="147"/>
      <c r="G46" s="148"/>
      <c r="H46" s="33"/>
      <c r="I46" s="36"/>
      <c r="J46" s="36"/>
      <c r="K46" s="302">
        <f t="shared" si="2"/>
      </c>
      <c r="L46" s="126"/>
      <c r="M46" s="133"/>
      <c r="N46" s="30"/>
      <c r="O46" s="30"/>
      <c r="P46" s="30"/>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c>
      <c r="D48" s="144"/>
      <c r="E48" s="144"/>
      <c r="F48" s="147"/>
      <c r="G48" s="148"/>
      <c r="H48" s="33"/>
      <c r="I48" s="36"/>
      <c r="J48" s="36"/>
      <c r="K48" s="302">
        <f t="shared" si="2"/>
      </c>
      <c r="L48" s="126"/>
      <c r="M48" s="133"/>
      <c r="N48" s="30"/>
      <c r="O48" s="30"/>
      <c r="P48" s="30"/>
      <c r="Q48" s="303">
        <f t="shared" si="3"/>
        <v>0</v>
      </c>
      <c r="R48" s="178">
        <f t="shared" si="4"/>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36"/>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4" sqref="A4"/>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Kings-FY2018-19RER</dc:title>
  <dc:subject/>
  <dc:creator>Donna Ures</dc:creator>
  <cp:keywords>MHSA, RER</cp:keywords>
  <dc:description/>
  <cp:lastModifiedBy>Saelee, Katie (CSD)@DHCS</cp:lastModifiedBy>
  <cp:lastPrinted>2019-01-14T22:40:46Z</cp:lastPrinted>
  <dcterms:created xsi:type="dcterms:W3CDTF">2017-07-05T19:48:18Z</dcterms:created>
  <dcterms:modified xsi:type="dcterms:W3CDTF">2020-02-05T22:24:51Z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583e7c0c-92e4-46eb-95fb-3c0e7cccedd6</vt:lpwstr>
  </property>
  <property fmtid="{D5CDD505-2E9C-101B-9397-08002B2CF9AE}" pid="4" name="Language">
    <vt:lpwstr>English</vt:lpwstr>
  </property>
  <property fmtid="{D5CDD505-2E9C-101B-9397-08002B2CF9AE}" pid="5" name="TAGBusPart">
    <vt:lpwstr/>
  </property>
  <property fmtid="{D5CDD505-2E9C-101B-9397-08002B2CF9AE}" pid="6" name="TAGender">
    <vt:lpwstr/>
  </property>
  <property fmtid="{D5CDD505-2E9C-101B-9397-08002B2CF9AE}" pid="7" name="Remediated">
    <vt:lpwstr>1</vt:lpwstr>
  </property>
  <property fmtid="{D5CDD505-2E9C-101B-9397-08002B2CF9AE}" pid="8" name="Topics">
    <vt:lpwstr/>
  </property>
  <property fmtid="{D5CDD505-2E9C-101B-9397-08002B2CF9AE}" pid="9" name="Reading Level">
    <vt:lpwstr/>
  </property>
  <property fmtid="{D5CDD505-2E9C-101B-9397-08002B2CF9AE}" pid="10" name="TAGEthnicity">
    <vt:lpwstr/>
  </property>
  <property fmtid="{D5CDD505-2E9C-101B-9397-08002B2CF9AE}" pid="11" name="Abstract">
    <vt:lpwstr>Kings FY 18-19 MHSA RER</vt:lpwstr>
  </property>
  <property fmtid="{D5CDD505-2E9C-101B-9397-08002B2CF9AE}" pid="12" name="Organization">
    <vt:lpwstr>103</vt:lpwstr>
  </property>
  <property fmtid="{D5CDD505-2E9C-101B-9397-08002B2CF9AE}" pid="13" name="PublishingContactName">
    <vt:lpwstr>Katie Saelee</vt:lpwstr>
  </property>
  <property fmtid="{D5CDD505-2E9C-101B-9397-08002B2CF9AE}" pid="14" name="TAGAge">
    <vt:lpwstr/>
  </property>
  <property fmtid="{D5CDD505-2E9C-101B-9397-08002B2CF9AE}" pid="15" name="_dlc_DocId">
    <vt:lpwstr>DHCSDOC-1797567310-2247</vt:lpwstr>
  </property>
  <property fmtid="{D5CDD505-2E9C-101B-9397-08002B2CF9AE}" pid="16" name="_dlc_DocIdUrl">
    <vt:lpwstr>https://dhcscagovauthoring/_layouts/15/DocIdRedir.aspx?ID=DHCSDOC-1797567310-2247, DHCSDOC-1797567310-2247</vt:lpwstr>
  </property>
  <property fmtid="{D5CDD505-2E9C-101B-9397-08002B2CF9AE}" pid="17" name="Division">
    <vt:lpwstr>11;#Community Services|c23dee46-a4de-4c29-8bbc-79830d9e7d7c</vt:lpwstr>
  </property>
  <property fmtid="{D5CDD505-2E9C-101B-9397-08002B2CF9AE}" pid="18" name="o68eaf9243684232b2418c37bbb152dc">
    <vt:lpwstr>Community Services|c23dee46-a4de-4c29-8bbc-79830d9e7d7c</vt:lpwstr>
  </property>
  <property fmtid="{D5CDD505-2E9C-101B-9397-08002B2CF9AE}" pid="19" name="TaxCatchAll">
    <vt:lpwstr>11;#Community Services|c23dee46-a4de-4c29-8bbc-79830d9e7d7c</vt:lpwstr>
  </property>
</Properties>
</file>