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584"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<sst xmlns="http://schemas.openxmlformats.org/spreadsheetml/2006/main" count="1624" uniqueCount="866">
  <si>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</si>
  <si>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</si>
  <si>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</si>
  <si>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</si>
  <si>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</si>
  <si>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</si>
  <si>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</si>
  <si>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</si>
  <si>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</si>
  <si>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</si>
  <si>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</si>
  <si>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</si>
  <si>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</si>
  <si>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</si>
  <si>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</si>
  <si>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</si>
  <si>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</si>
  <si>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</si>
  <si>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</si>
  <si>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</si>
  <si>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</si>
  <si>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</si>
  <si>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</si>
  <si>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</si>
  <si>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</si>
  <si>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</si>
  <si>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</si>
  <si>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</si>
  <si>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</si>
  <si>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</si>
  <si>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</si>
  <si>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</si>
  <si>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</si>
  <si>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</si>
  <si>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</si>
  <si>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</si>
  <si>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</si>
  <si>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</si>
  <si>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</si>
  <si>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</si>
  <si>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</si>
  <si>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</si>
  <si>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</si>
  <si>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</si>
  <si>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</si>
  <si>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</si>
  <si>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</si>
  <si>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</si>
  <si>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</si>
  <si>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</si>
  <si>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</si>
  <si>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</si>
  <si>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</si>
  <si>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</si>
  <si>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</si>
  <si>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</si>
  <si>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</si>
  <si>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</si>
  <si>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</si>
  <si>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</si>
  <si>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</si>
  <si>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</si>
  <si>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</si>
  <si>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</si>
  <si>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</si>
  <si>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</si>
  <si>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</si>
  <si>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</si>
  <si>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</si>
  <si>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</si>
  <si>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</si>
  <si>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</si>
  <si>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</si>
  <si>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</si>
  <si>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</si>
  <si>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</si>
  <si>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</si>
  <si>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</si>
  <si>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</si>
  <si>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</si>
  <si>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</si>
  <si>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</si>
  <si>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</si>
  <si>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</si>
  <si>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</si>
  <si>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</si>
  <si>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</si>
  <si>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</si>
  <si>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</si>
  <si>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</si>
  <si>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</si>
  <si>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</si>
  <si>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</si>
  <si>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</si>
  <si>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</si>
  <si>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</si>
  <si>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</si>
  <si>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</si>
  <si>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</si>
  <si>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</si>
  <si>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</si>
  <si>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</si>
  <si>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</si>
  <si>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</si>
  <si>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</si>
  <si>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</si>
  <si>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</si>
  <si>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</si>
  <si>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</si>
  <si>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</si>
  <si>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</si>
  <si>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</si>
  <si>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</si>
  <si>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</si>
  <si>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</si>
  <si>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</si>
  <si>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</si>
  <si>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</si>
  <si>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</si>
  <si>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</si>
  <si>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</si>
  <si>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</si>
  <si>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</si>
  <si>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</si>
  <si>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</si>
  <si>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</si>
  <si>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</si>
  <si>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</si>
  <si>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</si>
  <si>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</si>
  <si>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</si>
  <si>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</si>
  <si>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</si>
  <si>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</si>
  <si>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</si>
  <si>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</si>
  <si>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</si>
  <si>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</si>
  <si>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</si>
  <si>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</si>
  <si>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</si>
  <si>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</si>
  <si>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</si>
  <si>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</si>
  <si>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</si>
  <si>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</si>
  <si>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</si>
  <si>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</si>
  <si>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</si>
  <si>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</si>
  <si>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</si>
  <si>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</si>
  <si>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</si>
  <si>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</si>
  <si>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</si>
  <si>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</si>
  <si>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</si>
  <si>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</si>
  <si>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</si>
  <si>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</si>
  <si>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</si>
  <si>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</si>
  <si>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</si>
  <si>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</si>
  <si>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</si>
  <si>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</si>
  <si>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</si>
  <si>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</si>
  <si>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</si>
  <si>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</si>
  <si>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</si>
  <si>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</si>
  <si>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</si>
  <si>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</si>
  <si>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</si>
  <si>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</si>
  <si>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</si>
  <si>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</si>
  <si>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</si>
  <si>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</si>
  <si>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</si>
  <si>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</si>
  <si>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</si>
  <si>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</si>
  <si>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</si>
  <si>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</si>
  <si>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</si>
  <si>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</si>
  <si>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</si>
  <si>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</si>
  <si>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</si>
  <si>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</si>
  <si>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</si>
  <si>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</si>
  <si>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</si>
  <si>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</si>
  <si>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</si>
  <si>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</si>
  <si>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</si>
  <si>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</si>
  <si>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</si>
  <si>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</si>
  <si>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</si>
  <si>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</si>
  <si>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</si>
  <si>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</si>
  <si>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</si>
  <si>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</si>
  <si>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</si>
  <si>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</si>
  <si>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</si>
  <si>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</si>
  <si>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</si>
  <si>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</si>
  <si>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</si>
  <si>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</si>
  <si>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</si>
  <si>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</si>
  <si>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</si>
  <si>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</si>
  <si>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</si>
  <si>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</si>
  <si>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</si>
  <si>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</si>
  <si>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</si>
  <si>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</si>
  <si>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</si>
  <si>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</si>
  <si>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</si>
  <si>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</si>
  <si>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</si>
  <si>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</si>
  <si>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</si>
  <si>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</si>
  <si>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</si>
  <si>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</si>
  <si>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</si>
  <si>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</si>
  <si>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</si>
  <si>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</si>
  <si>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</si>
  <si>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</si>
  <si>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</si>
  <si>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</si>
  <si>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</si>
  <si>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</si>
  <si>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</si>
  <si>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</si>
  <si>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</si>
  <si>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</si>
  <si>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</si>
  <si>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</si>
  <si>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</si>
  <si>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</si>
  <si>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</si>
  <si>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</si>
  <si>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</si>
  <si>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</si>
  <si>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</si>
  <si>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</si>
  <si>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</si>
  <si>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</si>
  <si>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</si>
  <si>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</si>
  <si>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</si>
  <si>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</si>
  <si>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</si>
  <si>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</si>
  <si>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</si>
  <si>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</si>
  <si>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</si>
  <si>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</si>
  <si>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</si>
  <si>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</si>
  <si>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</si>
  <si>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</si>
  <si>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</si>
  <si>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</si>
  <si>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</si>
  <si>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</si>
  <si>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</si>
  <si>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</si>
  <si>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</si>
  <si>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</si>
  <si>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</si>
  <si>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</si>
  <si>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</si>
  <si>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</si>
  <si>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</si>
  <si>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</si>
  <si>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</si>
  <si>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</si>
  <si>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</si>
  <si>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</si>
  <si>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</si>
  <si>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</si>
  <si>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</si>
  <si>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</si>
  <si>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</si>
  <si>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</si>
  <si>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</si>
  <si>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</si>
  <si>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</si>
  <si>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</si>
  <si>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</si>
  <si>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</si>
  <si>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</si>
  <si>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</si>
  <si>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</si>
  <si>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</si>
  <si>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</si>
  <si>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</si>
  <si>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</si>
  <si>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</si>
  <si>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</si>
  <si>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</si>
  <si>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</si>
  <si>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</si>
  <si>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</si>
  <si>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</si>
  <si>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</si>
  <si>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</si>
  <si>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</si>
  <si>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</si>
  <si>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</si>
  <si>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</si>
  <si>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</si>
  <si>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</si>
  <si>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</si>
  <si>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</si>
  <si>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</si>
  <si>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</si>
  <si>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</si>
  <si>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</si>
  <si>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</si>
  <si>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</si>
  <si>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</si>
  <si>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</si>
  <si>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</si>
  <si>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</si>
  <si>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</si>
  <si>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</si>
  <si>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</si>
  <si>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</si>
  <si>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</si>
  <si>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</si>
  <si>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</si>
  <si>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</si>
  <si>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</si>
  <si>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</si>
  <si>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</si>
  <si>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</si>
  <si>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</si>
  <si>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</si>
  <si>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</si>
  <si>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</si>
  <si>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</si>
  <si>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</si>
  <si>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</si>
  <si>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</si>
  <si>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</si>
  <si>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</si>
  <si>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</si>
  <si>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</si>
  <si>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</si>
  <si>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</si>
  <si>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</si>
  <si>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</si>
  <si>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</si>
  <si>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</si>
  <si>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</si>
  <si>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</si>
  <si>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</si>
  <si>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</si>
  <si>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</si>
  <si>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</si>
  <si>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</si>
  <si>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</si>
  <si>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</si>
  <si>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</si>
  <si>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</si>
  <si>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</si>
  <si>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</si>
  <si>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</si>
  <si>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</si>
  <si>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</si>
  <si>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</si>
  <si>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</si>
  <si>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</si>
  <si>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</si>
  <si>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</si>
  <si>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</si>
  <si>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</si>
  <si>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</si>
  <si>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</si>
  <si>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</si>
  <si>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</si>
  <si>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</si>
  <si>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</si>
  <si>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</si>
  <si>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</si>
  <si>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</si>
  <si>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</si>
  <si>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</si>
  <si>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</si>
  <si>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</si>
  <si>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</si>
  <si>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</si>
  <si>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</si>
  <si>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</si>
  <si>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</si>
  <si>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</si>
  <si>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</si>
  <si>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</si>
  <si>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</si>
  <si>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</si>
  <si>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</si>
  <si>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</si>
  <si>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</si>
  <si>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</si>
  <si>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</si>
  <si>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</si>
  <si>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</si>
  <si>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</si>
  <si>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</si>
  <si>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</si>
  <si>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</si>
  <si>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</si>
  <si>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</si>
  <si>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</si>
  <si>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</si>
  <si>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</si>
  <si>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</si>
  <si>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</si>
  <si>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</si>
  <si>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</si>
  <si>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</si>
  <si>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</si>
  <si>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</si>
  <si>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</si>
  <si>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</si>
  <si>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</si>
  <si>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</si>
  <si>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</si>
  <si>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</si>
  <si>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</si>
  <si>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</si>
  <si>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</si>
  <si>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</si>
  <si>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</si>
  <si>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</si>
  <si>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</si>
  <si>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</si>
  <si>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</si>
  <si>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</si>
  <si>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</si>
  <si>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</si>
  <si>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</si>
  <si>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</si>
  <si>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</si>
  <si>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</si>
  <si>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</si>
  <si>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</si>
  <si>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</si>
  <si>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</si>
  <si>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</si>
  <si>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</si>
  <si>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</si>
  <si>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</si>
  <si>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</si>
  <si>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</si>
  <si>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</si>
  <si>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</si>
  <si>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</si>
  <si>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</si>
  <si>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</si>
  <si>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</si>
  <si>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</si>
  <si>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</si>
  <si>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</si>
  <si>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</si>
  <si>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</si>
  <si>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</si>
  <si>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</si>
  <si>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</si>
  <si>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</si>
  <si>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</si>
  <si>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</si>
  <si>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</si>
  <si>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</si>
  <si>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</si>
  <si>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</si>
  <si>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</si>
  <si>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</si>
  <si>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</si>
  <si>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</si>
  <si>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</si>
  <si>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</si>
  <si>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</si>
  <si>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</si>
  <si>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</si>
  <si>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</si>
  <si>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</si>
  <si>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</si>
  <si>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</si>
  <si>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</si>
  <si>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</si>
  <si>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</si>
  <si>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</si>
  <si>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</si>
  <si>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</si>
  <si>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</si>
  <si>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</si>
  <si>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</si>
  <si>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</si>
  <si>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</si>
  <si>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</si>
  <si>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</si>
  <si>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</si>
  <si>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</si>
  <si>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</si>
  <si>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</si>
  <si>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</si>
  <si>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</si>
  <si>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</si>
  <si>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</si>
  <si>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</si>
  <si>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</si>
  <si>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</si>
  <si>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</si>
  <si>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</si>
  <si>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</si>
  <si>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</si>
  <si>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</si>
  <si>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</si>
  <si>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</si>
  <si>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</si>
  <si>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</si>
  <si>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</si>
  <si>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</si>
  <si>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</si>
  <si>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</si>
  <si>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</si>
  <si>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</si>
  <si>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</si>
  <si>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</si>
  <si>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</si>
  <si>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</si>
  <si>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</si>
  <si>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</si>
  <si>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</si>
  <si>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</si>
  <si>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</si>
  <si>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</si>
  <si>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</si>
  <si>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</si>
  <si>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</si>
  <si>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</si>
  <si>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</si>
  <si>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</si>
  <si>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</si>
  <si>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</si>
  <si>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</si>
  <si>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</si>
  <si>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</si>
  <si>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</si>
  <si>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</si>
  <si>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</si>
  <si>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</si>
  <si>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</si>
  <si>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</si>
  <si>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</si>
  <si>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</si>
  <si>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</si>
  <si>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</si>
  <si>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</si>
  <si>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</si>
  <si>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</si>
  <si>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</si>
  <si>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</si>
  <si>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</si>
  <si>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</si>
  <si>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</si>
  <si>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</si>
  <si>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</si>
  <si>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</si>
  <si>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</si>
  <si>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</si>
  <si>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</si>
  <si>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</si>
  <si>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</si>
  <si>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</si>
  <si>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</si>
  <si>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</si>
  <si>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</si>
  <si>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</si>
  <si>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</si>
  <si>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</si>
  <si>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</si>
  <si>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</si>
  <si>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</si>
  <si>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</si>
  <si>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</si>
  <si>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</si>
  <si>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</si>
  <si>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</si>
  <si>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</si>
  <si>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</si>
  <si>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</si>
  <si>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</si>
  <si>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</si>
  <si>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</si>
  <si>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</si>
  <si>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</si>
  <si>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</si>
  <si>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</si>
  <si>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</si>
  <si>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</si>
  <si>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</si>
  <si>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</si>
  <si>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</si>
  <si>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</si>
  <si>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</si>
  <si>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</si>
  <si>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</si>
  <si>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</si>
  <si>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</si>
  <si>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</si>
  <si>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</si>
  <si>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</si>
  <si>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</si>
  <si>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</si>
  <si>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</si>
  <si>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</si>
  <si>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</si>
  <si>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</si>
  <si>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</si>
  <si>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</si>
  <si>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</si>
  <si>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</si>
  <si>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</si>
  <si>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</si>
  <si>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</si>
  <si>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</si>
  <si>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</si>
  <si>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</si>
  <si>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</si>
  <si>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</si>
  <si>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</si>
  <si>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</si>
  <si>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</si>
  <si>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</si>
  <si>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</si>
  <si>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</si>
  <si>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</si>
  <si>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</si>
  <si>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</si>
  <si>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</si>
  <si>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</si>
  <si>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</si>
  <si>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</si>
  <si>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</si>
  <si>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</si>
  <si>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</si>
  <si>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</si>
  <si>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</si>
  <si>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</si>
  <si>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</si>
  <si>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</si>
  <si>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</si>
  <si>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</si>
  <si>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</si>
  <si>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</si>
  <si>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</si>
  <si>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</si>
  <si>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</si>
  <si>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</si>
  <si>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</si>
  <si>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</si>
  <si>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</si>
  <si>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</si>
  <si>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</si>
  <si>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</si>
  <si>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</si>
  <si>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</si>
  <si>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</si>
  <si>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</si>
  <si>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</si>
  <si>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</si>
  <si>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</si>
  <si>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</si>
  <si>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</si>
  <si>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</si>
  <si>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</si>
  <si>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</si>
  <si>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</si>
  <si>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</si>
  <si>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</si>
  <si>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</si>
  <si>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</si>
  <si>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</si>
  <si>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</si>
  <si>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</si>
  <si>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</si>
  <si>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</si>
  <si>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</si>
  <si>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</si>
  <si>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</si>
  <si>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</si>
  <si>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</si>
  <si>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</si>
  <si>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</si>
  <si>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</si>
  <si>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</si>
  <si>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</si>
  <si>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</si>
  <si>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</si>
  <si>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</si>
  <si>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</si>
  <si>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</si>
  <si>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</si>
  <si>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</si>
  <si>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</si>
  <si>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</si>
  <si>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</si>
  <si>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</si>
  <si>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</si>
  <si>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</si>
  <si>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</si>
  <si>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</si>
  <si>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</si>
  <si>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</si>
  <si>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</si>
  <si>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</si>
  <si>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</si>
  <si>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</si>
  <si>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</si>
  <si>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</si>
  <si>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</si>
  <si>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</si>
  <si>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</si>
  <si>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</si>
  <si>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</si>
  <si>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</si>
  <si>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</si>
  <si>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</si>
  <si>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</si>
  <si>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</si>
  <si>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</si>
  <si>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</si>
  <si>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</si>
  <si>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</si>
  <si>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</si>
  <si>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</si>
  <si>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</si>
  <si>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</si>
  <si>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</si>
  <si>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</si>
  <si>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</si>
  <si>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</si>
  <si>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</si>
  <si>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</si>
  <si>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</si>
  <si>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</si>
  <si>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</si>
  <si>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</si>
  <si>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</si>
  <si>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</si>
  <si>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</si>
  <si>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</si>
  <si>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</si>
  <si>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</si>
  <si>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</si>
  <si>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</si>
  <si>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</si>
  <si>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</si>
  <si>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</si>
  <si>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</si>
  <si>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</si>
  <si>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</si>
  <si>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</si>
  <si>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</si>
  <si>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405 W. 5th Street, Suite 726</t>
  </si>
  <si>
    <t>Santa Ana</t>
  </si>
  <si>
    <t>Ann Quach</t>
  </si>
  <si>
    <t>Aquach@ochca.com</t>
  </si>
  <si>
    <t>(714) 834-7494</t>
  </si>
  <si>
    <t xml:space="preserve"> </t>
  </si>
  <si>
    <t>Adult Crisis Residential</t>
  </si>
  <si>
    <t>Adult Full Service Partnership</t>
  </si>
  <si>
    <t xml:space="preserve">Adult/TAY In-Home Stabilization Services </t>
  </si>
  <si>
    <t>Assisted Outpatient Treament</t>
  </si>
  <si>
    <t xml:space="preserve">Children's CAT </t>
  </si>
  <si>
    <t xml:space="preserve">Children's Crisis Residential </t>
  </si>
  <si>
    <t xml:space="preserve">Children's In-Home Crisis Stabilization </t>
  </si>
  <si>
    <t>Housing and Year Round Emergency Shelter</t>
  </si>
  <si>
    <t xml:space="preserve">OC Children with Co-occurring  Mental Health Disorder </t>
  </si>
  <si>
    <t xml:space="preserve">TAY Crisis Residential </t>
  </si>
  <si>
    <t>Adult and TAY CAT/PERT</t>
  </si>
  <si>
    <t xml:space="preserve">BHS Outreach &amp; Engagement </t>
  </si>
  <si>
    <t>Crisis Stabilization Units</t>
  </si>
  <si>
    <t xml:space="preserve">Supported Employment </t>
  </si>
  <si>
    <t>Bridge Housing for Homeless</t>
  </si>
  <si>
    <t xml:space="preserve">Integrated Community Services </t>
  </si>
  <si>
    <t xml:space="preserve">Youth Core services </t>
  </si>
  <si>
    <t>Adolescent Dual Diagnosis Residential Treatment</t>
  </si>
  <si>
    <t>Mentoring for Children and Youth</t>
  </si>
  <si>
    <t>Transportation</t>
  </si>
  <si>
    <t>Expenditure</t>
  </si>
  <si>
    <t>FY 17-18</t>
  </si>
  <si>
    <t>$866,597.00 was incorrectly reported in Section One, Row 4 Column A. 
$900,000.00 should have been reported in Section One, Row 5 Column A.
$866,597.00 should have been reported in Section One, Row 6 Column A.</t>
  </si>
  <si>
    <t>Per JPA/CalMHSA report received 09/26/19, correct JPA expenditures is $180,018.00.</t>
  </si>
  <si>
    <t>Crisis Prevention Hotline</t>
  </si>
  <si>
    <t>Drop Zone</t>
  </si>
  <si>
    <t xml:space="preserve">Early Intervention Services for Older Adults </t>
  </si>
  <si>
    <t>Survivor Support Services</t>
  </si>
  <si>
    <t>Training, Assessment &amp; Coordination Services</t>
  </si>
  <si>
    <t>Family Support Services</t>
  </si>
  <si>
    <t>OC4VETS</t>
  </si>
  <si>
    <t>Mental Health Community Educational Events</t>
  </si>
  <si>
    <t>Behavioral Health Services for Independent Living</t>
  </si>
  <si>
    <t>Religious Leaders Behavioral Health Training Services (RLBHT)</t>
  </si>
  <si>
    <t>Continuum of Care for Veteran/Military Children and Families</t>
  </si>
  <si>
    <t>Innovation – Mental Health Technology Solutions</t>
  </si>
  <si>
    <t>n/a</t>
  </si>
  <si>
    <t>Technological Needs Projects</t>
  </si>
  <si>
    <t>1st Onset of Psychiatric Illness, OC CREW</t>
  </si>
  <si>
    <t>Outreach &amp; Engagement Services</t>
  </si>
  <si>
    <t>Connect the Tots and School Readiness</t>
  </si>
  <si>
    <t>School-Based Behavioral Health Intervention and Support</t>
  </si>
  <si>
    <t>School-Based Stress Management Services</t>
  </si>
  <si>
    <t>Violence Prevention Education</t>
  </si>
  <si>
    <t>Gang Prevention Services</t>
  </si>
  <si>
    <t>OCLINKS</t>
  </si>
  <si>
    <t>BHS Outreach &amp; Engagement Team</t>
  </si>
  <si>
    <t>Outreach &amp; Engagement Collaborative</t>
  </si>
  <si>
    <t>OC Parent Wellness</t>
  </si>
  <si>
    <t>Stress Free Families</t>
  </si>
  <si>
    <t>School Based Mental Health Services (combined prevention and early intervention)</t>
  </si>
  <si>
    <t>School Based Behavorial Health Intervention &amp; Support - Early Intervention Svcs</t>
  </si>
  <si>
    <t>Community Counseling and Supportive Services</t>
  </si>
  <si>
    <t>OC ACCEPT</t>
  </si>
  <si>
    <t>College Veterans</t>
  </si>
  <si>
    <t>Parent Education Services</t>
  </si>
  <si>
    <t>Children's Support and Parenting Program</t>
  </si>
  <si>
    <t>Warmline</t>
  </si>
  <si>
    <t>Electronic Health Record (E.H.R.)</t>
  </si>
  <si>
    <t>Co-Located Services Facility</t>
  </si>
  <si>
    <t>Youth Core Services Building Upgrades</t>
  </si>
  <si>
    <t>Strong Families - Strong Children: Behavioral Health Services for Military Families (BHSMF)</t>
  </si>
  <si>
    <t>Step Forward: On-Site Engagement in the Collaborative Courts (OECC)</t>
  </si>
  <si>
    <t>Children's Full Service Partnership/Wraparound</t>
  </si>
  <si>
    <t>Children and Youth Behaviorial Health Program of Assertive Community Treatment (CYBH TAY PACT)</t>
  </si>
  <si>
    <t>Transitional Age Youth Full Service Partnership/Wraparound</t>
  </si>
  <si>
    <t>Adult Program of Assertive Community Treatment</t>
  </si>
  <si>
    <t>Older Adult Full Service Partnership</t>
  </si>
  <si>
    <t>Older Adult Program of Assertive Community Treatment</t>
  </si>
  <si>
    <t>Correctional Mental Health - Jail to Community Re_Entry Program</t>
  </si>
  <si>
    <t>The Courtyard (Outreach)</t>
  </si>
  <si>
    <t>Adult/TAY In-Home Stabilization</t>
  </si>
  <si>
    <t xml:space="preserve">Older Adult Services </t>
  </si>
  <si>
    <t>Recovery Center/Clinic Recovery/Open Access</t>
  </si>
  <si>
    <t>Wellness Centers</t>
  </si>
  <si>
    <t>Housing</t>
  </si>
  <si>
    <t>Peer Mentoring</t>
  </si>
  <si>
    <t>Behavioral Health Claims Manager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</si>
</sst>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2">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4"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4"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60" applyFont="1">
      <alignment/>
      <protection/>
    </xf>
    <xf numFmtId="0" fontId="62" fillId="0" borderId="0" xfId="53" applyFont="1" applyAlignment="1">
      <alignment horizontal="right"/>
    </xf>
    <xf numFmtId="0" fontId="16" fillId="0" borderId="0" xfId="59" applyFont="1">
      <alignment/>
      <protection/>
    </xf>
    <xf numFmtId="0" fontId="2" fillId="0" borderId="0" xfId="59" applyFont="1">
      <alignment/>
      <protection/>
    </xf>
    <xf numFmtId="0" fontId="3" fillId="0" borderId="0" xfId="59" applyFont="1">
      <alignment/>
      <protection/>
    </xf>
    <xf numFmtId="170" fontId="3" fillId="0" borderId="0" xfId="59" applyNumberFormat="1" applyFont="1" applyAlignment="1">
      <alignment horizontal="right"/>
      <protection/>
    </xf>
    <xf numFmtId="0" fontId="3" fillId="0" borderId="20" xfId="59" applyFont="1" applyBorder="1" applyAlignment="1">
      <alignment horizontal="left"/>
      <protection/>
    </xf>
    <xf numFmtId="170" fontId="3" fillId="0" borderId="21" xfId="59" applyNumberFormat="1" applyFont="1" applyBorder="1" applyAlignment="1">
      <alignment horizontal="right"/>
      <protection/>
    </xf>
    <xf numFmtId="0" fontId="63" fillId="0" borderId="22" xfId="60" applyFont="1" applyBorder="1">
      <alignment/>
      <protection/>
    </xf>
    <xf numFmtId="0" fontId="3" fillId="0" borderId="17" xfId="59" applyFont="1" applyBorder="1" applyAlignment="1">
      <alignment horizontal="left"/>
      <protection/>
    </xf>
    <xf numFmtId="14" fontId="10" fillId="34" borderId="18" xfId="59" applyNumberFormat="1" applyFont="1" applyFill="1" applyBorder="1" applyAlignment="1">
      <alignment horizontal="right"/>
      <protection/>
    </xf>
    <xf numFmtId="14" fontId="10" fillId="0" borderId="18" xfId="59" applyNumberFormat="1" applyFont="1" applyFill="1" applyBorder="1" applyAlignment="1">
      <alignment horizontal="right"/>
      <protection/>
    </xf>
    <xf numFmtId="170" fontId="3" fillId="0" borderId="18" xfId="59" applyNumberFormat="1" applyFont="1" applyBorder="1" applyAlignment="1">
      <alignment horizontal="right"/>
      <protection/>
    </xf>
    <xf numFmtId="170" fontId="3" fillId="34" borderId="19" xfId="59" applyNumberFormat="1" applyFont="1" applyFill="1" applyBorder="1" applyAlignment="1">
      <alignment horizontal="right"/>
      <protection/>
    </xf>
    <xf numFmtId="0" fontId="3" fillId="0" borderId="15" xfId="59" applyFont="1" applyBorder="1" applyAlignment="1">
      <alignment horizontal="left"/>
      <protection/>
    </xf>
    <xf numFmtId="14" fontId="10" fillId="0" borderId="0" xfId="59" applyNumberFormat="1" applyFont="1" applyBorder="1" applyAlignment="1">
      <alignment horizontal="center"/>
      <protection/>
    </xf>
    <xf numFmtId="170" fontId="3" fillId="0" borderId="0" xfId="59" applyNumberFormat="1" applyFont="1" applyBorder="1" applyAlignment="1">
      <alignment horizontal="center"/>
      <protection/>
    </xf>
    <xf numFmtId="0" fontId="63" fillId="0" borderId="16" xfId="60" applyFont="1" applyBorder="1" applyAlignment="1">
      <alignment horizontal="center"/>
      <protection/>
    </xf>
    <xf numFmtId="0" fontId="64" fillId="0" borderId="15" xfId="60" applyFont="1" applyBorder="1" applyAlignment="1">
      <alignment vertical="center"/>
      <protection/>
    </xf>
    <xf numFmtId="3" fontId="65" fillId="0" borderId="0" xfId="60" applyNumberFormat="1" applyFont="1" applyBorder="1" applyAlignment="1">
      <alignment horizontal="right" vertical="center"/>
      <protection/>
    </xf>
    <xf numFmtId="171" fontId="65" fillId="0" borderId="0" xfId="60" applyNumberFormat="1" applyFont="1" applyBorder="1" applyAlignment="1">
      <alignment horizontal="right" vertical="center"/>
      <protection/>
    </xf>
    <xf numFmtId="171" fontId="63" fillId="0" borderId="16" xfId="60" applyNumberFormat="1" applyFont="1" applyBorder="1" applyAlignment="1">
      <alignment horizont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1" fontId="63" fillId="0" borderId="0" xfId="60" applyNumberFormat="1" applyFont="1" applyBorder="1" applyAlignment="1">
      <alignment vertical="center"/>
      <protection/>
    </xf>
    <xf numFmtId="0" fontId="65" fillId="0" borderId="15" xfId="60" applyFont="1" applyBorder="1" applyAlignment="1">
      <alignment vertical="center"/>
      <protection/>
    </xf>
    <xf numFmtId="0" fontId="65" fillId="0" borderId="17" xfId="60" applyFont="1" applyBorder="1" applyAlignment="1">
      <alignment vertical="center"/>
      <protection/>
    </xf>
    <xf numFmtId="3" fontId="65" fillId="0" borderId="18" xfId="60" applyNumberFormat="1" applyFont="1" applyBorder="1" applyAlignment="1">
      <alignment horizontal="right" vertical="center"/>
      <protection/>
    </xf>
    <xf numFmtId="171" fontId="65" fillId="0" borderId="18" xfId="60" applyNumberFormat="1" applyFont="1" applyBorder="1" applyAlignment="1">
      <alignment horizontal="right" vertical="center"/>
      <protection/>
    </xf>
    <xf numFmtId="0" fontId="66" fillId="0" borderId="20" xfId="60" applyFont="1" applyBorder="1">
      <alignment/>
      <protection/>
    </xf>
    <xf numFmtId="3" fontId="66" fillId="0" borderId="21" xfId="60" applyNumberFormat="1" applyFont="1" applyBorder="1">
      <alignment/>
      <protection/>
    </xf>
    <xf numFmtId="0" fontId="66" fillId="0" borderId="21" xfId="60" applyFont="1" applyBorder="1">
      <alignment/>
      <protection/>
    </xf>
    <xf numFmtId="171" fontId="66" fillId="0" borderId="22" xfId="60" applyNumberFormat="1" applyFont="1" applyBorder="1" applyAlignment="1">
      <alignment horizontal="center"/>
      <protection/>
    </xf>
    <xf numFmtId="0" fontId="66" fillId="0" borderId="15" xfId="60" applyFont="1" applyBorder="1">
      <alignment/>
      <protection/>
    </xf>
    <xf numFmtId="3" fontId="66" fillId="0" borderId="0" xfId="60" applyNumberFormat="1" applyFont="1" applyBorder="1">
      <alignment/>
      <protection/>
    </xf>
    <xf numFmtId="0" fontId="63" fillId="0" borderId="0" xfId="60" applyFont="1" applyBorder="1">
      <alignment/>
      <protection/>
    </xf>
    <xf numFmtId="171" fontId="66" fillId="0" borderId="16" xfId="60" applyNumberFormat="1" applyFont="1" applyBorder="1" applyAlignment="1">
      <alignment horizontal="center"/>
      <protection/>
    </xf>
    <xf numFmtId="0" fontId="66" fillId="0" borderId="17" xfId="0" applyFont="1" applyBorder="1" applyAlignment="1">
      <alignment/>
    </xf>
    <xf numFmtId="3" fontId="66" fillId="0" borderId="18" xfId="60" applyNumberFormat="1" applyFont="1" applyBorder="1">
      <alignment/>
      <protection/>
    </xf>
    <xf numFmtId="0" fontId="63" fillId="0" borderId="18" xfId="60" applyFont="1" applyBorder="1">
      <alignment/>
      <protection/>
    </xf>
    <xf numFmtId="171" fontId="66" fillId="0" borderId="19" xfId="60" applyNumberFormat="1" applyFont="1" applyBorder="1" applyAlignment="1">
      <alignment horizontal="center"/>
      <protection/>
    </xf>
    <xf numFmtId="3" fontId="63" fillId="0" borderId="0" xfId="60" applyNumberFormat="1" applyFont="1" applyBorder="1">
      <alignment/>
      <protection/>
    </xf>
    <xf numFmtId="171" fontId="63" fillId="0" borderId="0" xfId="60"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9" applyFont="1">
      <alignment/>
      <protection/>
    </xf>
    <xf numFmtId="0" fontId="61" fillId="0" borderId="0" xfId="60" applyFont="1">
      <alignment/>
      <protection/>
    </xf>
    <xf numFmtId="0" fontId="3" fillId="0" borderId="0" xfId="61" applyFont="1" applyBorder="1" applyAlignment="1">
      <alignment/>
      <protection/>
    </xf>
    <xf numFmtId="0" fontId="63" fillId="0" borderId="0" xfId="60"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60"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4" applyFont="1" applyFill="1" applyBorder="1" applyAlignment="1" applyProtection="1">
      <alignment horizontal="center" wrapText="1"/>
      <protection/>
    </xf>
    <xf numFmtId="9" fontId="67" fillId="0" borderId="0" xfId="64"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4"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4" applyFont="1" applyFill="1" applyBorder="1" applyAlignment="1" applyProtection="1">
      <alignment horizontal="center" wrapText="1"/>
      <protection/>
    </xf>
    <xf numFmtId="9" fontId="3" fillId="35" borderId="30" xfId="64"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4"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4" applyNumberFormat="1" applyFont="1" applyFill="1" applyBorder="1" applyAlignment="1" applyProtection="1">
      <alignment horizontal="center" vertical="center" wrapText="1"/>
      <protection/>
    </xf>
    <xf numFmtId="0" fontId="3" fillId="0" borderId="24" xfId="64" applyNumberFormat="1" applyFont="1" applyFill="1" applyBorder="1" applyAlignment="1" applyProtection="1">
      <alignment horizontal="center" vertical="center" wrapText="1"/>
      <protection/>
    </xf>
    <xf numFmtId="0" fontId="3" fillId="0" borderId="30" xfId="64" applyNumberFormat="1" applyFont="1" applyFill="1" applyBorder="1" applyAlignment="1" applyProtection="1">
      <alignment horizontal="center" vertical="center" wrapText="1"/>
      <protection/>
    </xf>
    <xf numFmtId="0" fontId="3" fillId="0" borderId="31" xfId="64"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4"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4" applyFont="1" applyFill="1" applyBorder="1" applyAlignment="1" applyProtection="1">
      <alignment horizontal="center" vertical="center" wrapText="1"/>
      <protection/>
    </xf>
    <xf numFmtId="9" fontId="3" fillId="0" borderId="24" xfId="64" applyFont="1" applyFill="1" applyBorder="1" applyAlignment="1" applyProtection="1">
      <alignment horizontal="center" vertical="center" wrapText="1"/>
      <protection/>
    </xf>
    <xf numFmtId="9" fontId="3" fillId="0" borderId="38" xfId="64"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4"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4"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4"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164" fontId="63" fillId="0" borderId="10" xfId="0" applyNumberFormat="1" applyFont="1" applyFill="1" applyBorder="1" applyAlignment="1" applyProtection="1">
      <alignment/>
      <protection locked="0"/>
    </xf>
    <xf numFmtId="9" fontId="63" fillId="0" borderId="10" xfId="64" applyFont="1" applyFill="1" applyBorder="1" applyAlignment="1" applyProtection="1">
      <alignment/>
      <protection locked="0"/>
    </xf>
    <xf numFmtId="164" fontId="63" fillId="0" borderId="10" xfId="0" applyNumberFormat="1" applyFont="1" applyFill="1" applyBorder="1" applyAlignment="1" applyProtection="1">
      <alignment wrapText="1"/>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9" applyFont="1" applyBorder="1" applyAlignment="1">
      <alignment horizontal="center"/>
      <protection/>
    </xf>
    <xf numFmtId="0" fontId="3" fillId="0" borderId="0" xfId="59"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2" xfId="57"/>
    <cellStyle name="Normal 2" xfId="58"/>
    <cellStyle name="Normal 2 2" xfId="59"/>
    <cellStyle name="Normal 3" xfId="60"/>
    <cellStyle name="Normal 6" xfId="61"/>
    <cellStyle name="Note" xfId="62"/>
    <cellStyle name="Output" xfId="63"/>
    <cellStyle name="Percent" xfId="64"/>
    <cellStyle name="Title" xfId="65"/>
    <cellStyle name="Total" xfId="66"/>
    <cellStyle name="Warning Text" xfId="67"/>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31">
      <selection activeCell="E44" sqref="E44"/>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775</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742</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Orange</v>
      </c>
      <c r="G9" s="226" t="s">
        <v>1</v>
      </c>
      <c r="H9" s="264">
        <f>IF(ISBLANK('1. Information'!D9),"",'1. Information'!D9)</f>
        <v>43823</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61116</v>
      </c>
      <c r="G15" s="136">
        <v>0</v>
      </c>
      <c r="H15" s="136">
        <v>0</v>
      </c>
      <c r="I15" s="136">
        <v>0</v>
      </c>
      <c r="J15" s="136">
        <v>0</v>
      </c>
      <c r="K15" s="246">
        <f>SUM(F15:J15)</f>
        <v>61116</v>
      </c>
      <c r="L15" s="175"/>
      <c r="M15" s="175"/>
      <c r="N15" s="175"/>
      <c r="O15" s="27"/>
      <c r="P15" s="27"/>
    </row>
    <row r="16" spans="2:16" ht="15.75">
      <c r="B16" s="300">
        <v>2</v>
      </c>
      <c r="C16" s="308" t="s">
        <v>143</v>
      </c>
      <c r="D16" s="242"/>
      <c r="E16" s="243"/>
      <c r="F16" s="136">
        <v>745116.79</v>
      </c>
      <c r="G16" s="136">
        <v>0</v>
      </c>
      <c r="H16" s="136">
        <v>0</v>
      </c>
      <c r="I16" s="136">
        <v>0</v>
      </c>
      <c r="J16" s="136">
        <v>0</v>
      </c>
      <c r="K16" s="246">
        <f>SUM(F16:J16)</f>
        <v>745116.79</v>
      </c>
      <c r="L16" s="175"/>
      <c r="M16" s="175"/>
      <c r="N16" s="175"/>
      <c r="O16" s="27"/>
      <c r="P16" s="27"/>
    </row>
    <row r="17" spans="2:16" ht="15.75">
      <c r="B17" s="300">
        <v>3</v>
      </c>
      <c r="C17" s="309" t="s">
        <v>238</v>
      </c>
      <c r="D17" s="245"/>
      <c r="E17" s="243"/>
      <c r="F17" s="136">
        <v>6000000</v>
      </c>
      <c r="G17" s="310"/>
      <c r="H17" s="310"/>
      <c r="I17" s="310"/>
      <c r="J17" s="310"/>
      <c r="K17" s="246">
        <f>F17</f>
        <v>6000000</v>
      </c>
      <c r="L17" s="175"/>
      <c r="M17" s="175"/>
      <c r="N17" s="175"/>
      <c r="O17" s="27"/>
      <c r="P17" s="27"/>
    </row>
    <row r="18" spans="2:16" ht="15.75">
      <c r="B18" s="300">
        <v>4</v>
      </c>
      <c r="C18" s="309" t="s">
        <v>293</v>
      </c>
      <c r="D18" s="245"/>
      <c r="E18" s="243"/>
      <c r="F18" s="136">
        <v>4982430</v>
      </c>
      <c r="G18" s="310"/>
      <c r="H18" s="310"/>
      <c r="I18" s="310"/>
      <c r="J18" s="310"/>
      <c r="K18" s="246">
        <f>F18</f>
        <v>4982430</v>
      </c>
      <c r="L18" s="175"/>
      <c r="M18" s="175"/>
      <c r="N18" s="175"/>
      <c r="O18" s="27"/>
      <c r="P18" s="27"/>
    </row>
    <row r="19" spans="2:16" ht="15.75">
      <c r="B19" s="300">
        <v>5</v>
      </c>
      <c r="C19" s="308" t="s">
        <v>144</v>
      </c>
      <c r="D19" s="242"/>
      <c r="E19" s="243"/>
      <c r="F19" s="311">
        <f>SUMIF($K$29:$K$128,"Project Administration",L$29:L$128)</f>
        <v>175685.53999999998</v>
      </c>
      <c r="G19" s="312">
        <f>SUMIF($K$29:$K$128,"Project Administration",M$29:M$128)</f>
        <v>0</v>
      </c>
      <c r="H19" s="311">
        <f>SUMIF($K$29:$K$128,"Project Administration",N$29:N$128)</f>
        <v>0</v>
      </c>
      <c r="I19" s="311">
        <f>SUMIF($K$29:$K$128,"Project Administration",O$29:O$128)</f>
        <v>0</v>
      </c>
      <c r="J19" s="311">
        <f>SUMIF($K$29:$K$128,"Project Administration",P$29:P$128)</f>
        <v>0</v>
      </c>
      <c r="K19" s="246">
        <f>SUM(F19:J19)</f>
        <v>175685.53999999998</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2070296.55</v>
      </c>
      <c r="G21" s="313">
        <f>SUMIF($K$29:$K$128,"Project Direct",M$29:M$128)</f>
        <v>0</v>
      </c>
      <c r="H21" s="310">
        <f>SUMIF($K$29:$K$128,"Project Direct",N$29:N$128)</f>
        <v>0</v>
      </c>
      <c r="I21" s="310">
        <f>SUMIF($K$29:$K$128,"Project Direct",O$29:O$128)</f>
        <v>0</v>
      </c>
      <c r="J21" s="310">
        <f>SUMIF($K$29:$K$128,"Project Direct",P$29:P$128)</f>
        <v>21929</v>
      </c>
      <c r="K21" s="246">
        <f>SUM(F21:J21)</f>
        <v>2092225.55</v>
      </c>
      <c r="L21" s="175"/>
      <c r="M21" s="175"/>
      <c r="N21" s="175"/>
      <c r="O21" s="27"/>
      <c r="P21" s="27"/>
    </row>
    <row r="22" spans="2:16" ht="15.75">
      <c r="B22" s="300">
        <v>8</v>
      </c>
      <c r="C22" s="308" t="s">
        <v>146</v>
      </c>
      <c r="D22" s="314"/>
      <c r="F22" s="315">
        <f>SUM(F19:F21)</f>
        <v>2245982.09</v>
      </c>
      <c r="G22" s="316">
        <f>SUM(G19:G21)</f>
        <v>0</v>
      </c>
      <c r="H22" s="315">
        <f>SUM(H19:H21)</f>
        <v>0</v>
      </c>
      <c r="I22" s="315">
        <f>SUM(I19:I21)</f>
        <v>0</v>
      </c>
      <c r="J22" s="315">
        <f>SUM(J19:J21)</f>
        <v>21929</v>
      </c>
      <c r="K22" s="246">
        <f>SUM(F22:J22)</f>
        <v>2267911.09</v>
      </c>
      <c r="L22" s="175"/>
      <c r="M22" s="175"/>
      <c r="N22" s="175"/>
      <c r="O22" s="27"/>
      <c r="P22" s="27"/>
    </row>
    <row r="23" spans="2:16" ht="30.75" customHeight="1">
      <c r="B23" s="300">
        <v>9</v>
      </c>
      <c r="C23" s="317" t="s">
        <v>239</v>
      </c>
      <c r="D23" s="318"/>
      <c r="E23" s="319"/>
      <c r="F23" s="320">
        <f>SUM(F15:F16,F18:F21)</f>
        <v>8034644.88</v>
      </c>
      <c r="G23" s="320">
        <f>SUM(G15:G16,G19:G21)</f>
        <v>0</v>
      </c>
      <c r="H23" s="320">
        <f>SUM(H15:H16,H19:H21)</f>
        <v>0</v>
      </c>
      <c r="I23" s="320">
        <f>SUM(I15:I16,I19:I21)</f>
        <v>0</v>
      </c>
      <c r="J23" s="320">
        <f>SUM(J15:J16,J19:J21)</f>
        <v>21929</v>
      </c>
      <c r="K23" s="279">
        <f>SUM(F23:J23)</f>
        <v>8056573.88</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30">
      <c r="B29" s="276">
        <v>10</v>
      </c>
      <c r="C29" s="293" t="s">
        <v>23</v>
      </c>
      <c r="D29" s="325">
        <f>IF(Q32&lt;&gt;0,VLOOKUP($E$9,Info_County_Code,2,FALSE),"")</f>
        <v>30</v>
      </c>
      <c r="E29" s="144" t="s">
        <v>821</v>
      </c>
      <c r="F29" s="38"/>
      <c r="G29" s="38">
        <v>41753</v>
      </c>
      <c r="H29" s="38">
        <v>42186</v>
      </c>
      <c r="I29" s="30">
        <v>429032</v>
      </c>
      <c r="J29" s="30">
        <v>1087115</v>
      </c>
      <c r="K29" s="326" t="s">
        <v>140</v>
      </c>
      <c r="L29" s="32">
        <v>35645.82</v>
      </c>
      <c r="M29" s="32">
        <v>0</v>
      </c>
      <c r="N29" s="32">
        <v>0</v>
      </c>
      <c r="O29" s="32">
        <v>0</v>
      </c>
      <c r="P29" s="32">
        <v>0</v>
      </c>
      <c r="Q29" s="246">
        <f>SUM(L29:P29)</f>
        <v>35645.82</v>
      </c>
    </row>
    <row r="30" spans="2:17" ht="30">
      <c r="B30" s="276">
        <v>10</v>
      </c>
      <c r="C30" s="218" t="s">
        <v>25</v>
      </c>
      <c r="D30" s="327">
        <f aca="true" t="shared" si="0" ref="D30:J31">IF(ISBLANK(D29),"",D29)</f>
        <v>30</v>
      </c>
      <c r="E30" s="328" t="str">
        <f t="shared" si="0"/>
        <v>Religious Leaders Behavioral Health Training Services (RLBHT)</v>
      </c>
      <c r="F30" s="329">
        <f t="shared" si="0"/>
      </c>
      <c r="G30" s="329">
        <f t="shared" si="0"/>
        <v>41753</v>
      </c>
      <c r="H30" s="329">
        <f t="shared" si="0"/>
        <v>42186</v>
      </c>
      <c r="I30" s="330">
        <f t="shared" si="0"/>
        <v>429032</v>
      </c>
      <c r="J30" s="330">
        <f t="shared" si="0"/>
        <v>1087115</v>
      </c>
      <c r="K30" s="275" t="s">
        <v>141</v>
      </c>
      <c r="L30" s="32">
        <v>0</v>
      </c>
      <c r="M30" s="32">
        <v>0</v>
      </c>
      <c r="N30" s="32">
        <v>0</v>
      </c>
      <c r="O30" s="32">
        <v>0</v>
      </c>
      <c r="P30" s="32">
        <v>0</v>
      </c>
      <c r="Q30" s="246">
        <f aca="true" t="shared" si="1" ref="Q30:Q60">SUM(L30:P30)</f>
        <v>0</v>
      </c>
    </row>
    <row r="31" spans="2:17" ht="30">
      <c r="B31" s="276">
        <v>10</v>
      </c>
      <c r="C31" s="218" t="s">
        <v>27</v>
      </c>
      <c r="D31" s="327">
        <f aca="true" t="shared" si="2" ref="D31:I31">IF(ISBLANK(D29),"",D29)</f>
        <v>30</v>
      </c>
      <c r="E31" s="331" t="str">
        <f t="shared" si="2"/>
        <v>Religious Leaders Behavioral Health Training Services (RLBHT)</v>
      </c>
      <c r="F31" s="332">
        <f t="shared" si="2"/>
      </c>
      <c r="G31" s="332">
        <f t="shared" si="2"/>
        <v>41753</v>
      </c>
      <c r="H31" s="332">
        <f t="shared" si="2"/>
        <v>42186</v>
      </c>
      <c r="I31" s="275">
        <f t="shared" si="2"/>
        <v>429032</v>
      </c>
      <c r="J31" s="275">
        <f t="shared" si="0"/>
        <v>1087115</v>
      </c>
      <c r="K31" s="275" t="s">
        <v>197</v>
      </c>
      <c r="L31" s="32">
        <v>259450</v>
      </c>
      <c r="M31" s="32">
        <v>0</v>
      </c>
      <c r="N31" s="32">
        <v>0</v>
      </c>
      <c r="O31" s="32">
        <v>0</v>
      </c>
      <c r="P31" s="32">
        <v>0</v>
      </c>
      <c r="Q31" s="246">
        <f t="shared" si="1"/>
        <v>259450</v>
      </c>
    </row>
    <row r="32" spans="2:17" ht="31.5">
      <c r="B32" s="333">
        <v>10</v>
      </c>
      <c r="C32" s="333" t="s">
        <v>202</v>
      </c>
      <c r="D32" s="334">
        <f aca="true" t="shared" si="3" ref="D32:J32">IF(ISBLANK(D29),"",D29)</f>
        <v>30</v>
      </c>
      <c r="E32" s="335" t="str">
        <f t="shared" si="3"/>
        <v>Religious Leaders Behavioral Health Training Services (RLBHT)</v>
      </c>
      <c r="F32" s="336">
        <f t="shared" si="3"/>
      </c>
      <c r="G32" s="336">
        <f t="shared" si="3"/>
        <v>41753</v>
      </c>
      <c r="H32" s="336">
        <f t="shared" si="3"/>
        <v>42186</v>
      </c>
      <c r="I32" s="337">
        <f t="shared" si="3"/>
        <v>429032</v>
      </c>
      <c r="J32" s="337">
        <f t="shared" si="3"/>
        <v>1087115</v>
      </c>
      <c r="K32" s="279" t="s">
        <v>217</v>
      </c>
      <c r="L32" s="338">
        <f>SUM(L29:L31)</f>
        <v>295095.82</v>
      </c>
      <c r="M32" s="338">
        <f>SUM(M29:M31)</f>
        <v>0</v>
      </c>
      <c r="N32" s="339">
        <f>SUM(N29:N31)</f>
        <v>0</v>
      </c>
      <c r="O32" s="339">
        <f>SUM(O29:O31)</f>
        <v>0</v>
      </c>
      <c r="P32" s="340">
        <f>SUM(P29:P31)</f>
        <v>0</v>
      </c>
      <c r="Q32" s="279">
        <f t="shared" si="1"/>
        <v>295095.82</v>
      </c>
    </row>
    <row r="33" spans="2:17" ht="30">
      <c r="B33" s="276">
        <v>11</v>
      </c>
      <c r="C33" s="293" t="s">
        <v>23</v>
      </c>
      <c r="D33" s="325">
        <f>IF(Q36&lt;&gt;0,VLOOKUP($E$9,Info_County_Code,2,FALSE),"")</f>
        <v>30</v>
      </c>
      <c r="E33" s="144" t="s">
        <v>849</v>
      </c>
      <c r="F33" s="38"/>
      <c r="G33" s="38">
        <v>41753</v>
      </c>
      <c r="H33" s="38">
        <v>42186</v>
      </c>
      <c r="I33" s="30">
        <v>737184</v>
      </c>
      <c r="J33" s="30">
        <v>2126045</v>
      </c>
      <c r="K33" s="326" t="str">
        <f>IF(NOT(ISBLANK(E33)),$K$29,"")</f>
        <v>Project Administration</v>
      </c>
      <c r="L33" s="32">
        <v>65722.86</v>
      </c>
      <c r="M33" s="32">
        <v>0</v>
      </c>
      <c r="N33" s="32">
        <v>0</v>
      </c>
      <c r="O33" s="32">
        <v>0</v>
      </c>
      <c r="P33" s="32">
        <v>0</v>
      </c>
      <c r="Q33" s="246">
        <f>SUM(L33:P33)</f>
        <v>65722.86</v>
      </c>
    </row>
    <row r="34" spans="2:17" ht="30">
      <c r="B34" s="276">
        <v>11</v>
      </c>
      <c r="C34" s="218" t="s">
        <v>25</v>
      </c>
      <c r="D34" s="327">
        <f aca="true" t="shared" si="4" ref="D34:J34">IF(ISBLANK(D33),"",D33)</f>
        <v>30</v>
      </c>
      <c r="E34" s="328" t="str">
        <f t="shared" si="4"/>
        <v>Strong Families - Strong Children: Behavioral Health Services for Military Families (BHSMF)</v>
      </c>
      <c r="F34" s="329">
        <f t="shared" si="4"/>
      </c>
      <c r="G34" s="329">
        <f t="shared" si="4"/>
        <v>41753</v>
      </c>
      <c r="H34" s="329">
        <f t="shared" si="4"/>
        <v>42186</v>
      </c>
      <c r="I34" s="330">
        <f t="shared" si="4"/>
        <v>737184</v>
      </c>
      <c r="J34" s="330">
        <f t="shared" si="4"/>
        <v>2126045</v>
      </c>
      <c r="K34" s="275" t="str">
        <f>IF(NOT(ISBLANK(E33)),$K$30,"")</f>
        <v>Project Evaluation</v>
      </c>
      <c r="L34" s="32">
        <v>0</v>
      </c>
      <c r="M34" s="32">
        <v>0</v>
      </c>
      <c r="N34" s="32">
        <v>0</v>
      </c>
      <c r="O34" s="32">
        <v>0</v>
      </c>
      <c r="P34" s="32">
        <v>0</v>
      </c>
      <c r="Q34" s="246">
        <f>SUM(L34:P34)</f>
        <v>0</v>
      </c>
    </row>
    <row r="35" spans="2:17" ht="30">
      <c r="B35" s="276">
        <v>11</v>
      </c>
      <c r="C35" s="218" t="s">
        <v>27</v>
      </c>
      <c r="D35" s="327">
        <f aca="true" t="shared" si="5" ref="D35:J35">IF(ISBLANK(D33),"",D33)</f>
        <v>30</v>
      </c>
      <c r="E35" s="331" t="str">
        <f t="shared" si="5"/>
        <v>Strong Families - Strong Children: Behavioral Health Services for Military Families (BHSMF)</v>
      </c>
      <c r="F35" s="332">
        <f t="shared" si="5"/>
      </c>
      <c r="G35" s="332">
        <f t="shared" si="5"/>
        <v>41753</v>
      </c>
      <c r="H35" s="332">
        <f t="shared" si="5"/>
        <v>42186</v>
      </c>
      <c r="I35" s="275">
        <f t="shared" si="5"/>
        <v>737184</v>
      </c>
      <c r="J35" s="275">
        <f t="shared" si="5"/>
        <v>2126045</v>
      </c>
      <c r="K35" s="275" t="str">
        <f>IF(NOT(ISBLANK(E33)),$K$31,"")</f>
        <v>Project Direct</v>
      </c>
      <c r="L35" s="32">
        <v>478367.39</v>
      </c>
      <c r="M35" s="32">
        <v>0</v>
      </c>
      <c r="N35" s="32">
        <v>0</v>
      </c>
      <c r="O35" s="32">
        <v>0</v>
      </c>
      <c r="P35" s="32">
        <v>0</v>
      </c>
      <c r="Q35" s="246">
        <f>SUM(L35:P35)</f>
        <v>478367.39</v>
      </c>
    </row>
    <row r="36" spans="2:17" ht="31.5">
      <c r="B36" s="333">
        <v>11</v>
      </c>
      <c r="C36" s="333" t="s">
        <v>202</v>
      </c>
      <c r="D36" s="334">
        <f aca="true" t="shared" si="6" ref="D36:J36">IF(ISBLANK(D33),"",D33)</f>
        <v>30</v>
      </c>
      <c r="E36" s="335" t="str">
        <f t="shared" si="6"/>
        <v>Strong Families - Strong Children: Behavioral Health Services for Military Families (BHSMF)</v>
      </c>
      <c r="F36" s="336">
        <f t="shared" si="6"/>
      </c>
      <c r="G36" s="336">
        <f t="shared" si="6"/>
        <v>41753</v>
      </c>
      <c r="H36" s="336">
        <f t="shared" si="6"/>
        <v>42186</v>
      </c>
      <c r="I36" s="337">
        <f t="shared" si="6"/>
        <v>737184</v>
      </c>
      <c r="J36" s="337">
        <f t="shared" si="6"/>
        <v>2126045</v>
      </c>
      <c r="K36" s="279" t="str">
        <f>IF(NOT(ISBLANK(E33)),$K$32,"")</f>
        <v>Project Subtotal</v>
      </c>
      <c r="L36" s="338">
        <f>SUM(L33:L35)</f>
        <v>544090.25</v>
      </c>
      <c r="M36" s="338">
        <f>SUM(M33:M35)</f>
        <v>0</v>
      </c>
      <c r="N36" s="339">
        <f>SUM(N33:N35)</f>
        <v>0</v>
      </c>
      <c r="O36" s="339">
        <f>SUM(O33:O35)</f>
        <v>0</v>
      </c>
      <c r="P36" s="340">
        <f>SUM(P33:P35)</f>
        <v>0</v>
      </c>
      <c r="Q36" s="279">
        <f>SUM(L36:P36)</f>
        <v>544090.25</v>
      </c>
    </row>
    <row r="37" spans="2:17" ht="30">
      <c r="B37" s="276">
        <v>12</v>
      </c>
      <c r="C37" s="293" t="s">
        <v>23</v>
      </c>
      <c r="D37" s="325">
        <f>IF(Q40&lt;&gt;0,VLOOKUP($E$9,Info_County_Code,2,FALSE),"")</f>
        <v>30</v>
      </c>
      <c r="E37" s="144" t="s">
        <v>822</v>
      </c>
      <c r="F37" s="38"/>
      <c r="G37" s="38">
        <v>42817</v>
      </c>
      <c r="H37" s="38">
        <v>43282</v>
      </c>
      <c r="I37" s="30">
        <v>3087777</v>
      </c>
      <c r="J37" s="30" t="s">
        <v>824</v>
      </c>
      <c r="K37" s="326" t="str">
        <f>IF(NOT(ISBLANK(E37)),$K$29,"")</f>
        <v>Project Administration</v>
      </c>
      <c r="L37" s="32">
        <v>0</v>
      </c>
      <c r="M37" s="32">
        <v>0</v>
      </c>
      <c r="N37" s="32">
        <v>0</v>
      </c>
      <c r="O37" s="32">
        <v>0</v>
      </c>
      <c r="P37" s="32">
        <v>0</v>
      </c>
      <c r="Q37" s="246">
        <f t="shared" si="1"/>
        <v>0</v>
      </c>
    </row>
    <row r="38" spans="2:17" ht="30">
      <c r="B38" s="276">
        <v>12</v>
      </c>
      <c r="C38" s="218" t="s">
        <v>25</v>
      </c>
      <c r="D38" s="327">
        <f aca="true" t="shared" si="7" ref="D38:J38">IF(ISBLANK(D37),"",D37)</f>
        <v>30</v>
      </c>
      <c r="E38" s="328" t="str">
        <f t="shared" si="7"/>
        <v>Continuum of Care for Veteran/Military Children and Families</v>
      </c>
      <c r="F38" s="329">
        <f t="shared" si="7"/>
      </c>
      <c r="G38" s="329">
        <f t="shared" si="7"/>
        <v>42817</v>
      </c>
      <c r="H38" s="329">
        <f t="shared" si="7"/>
        <v>43282</v>
      </c>
      <c r="I38" s="330">
        <f t="shared" si="7"/>
        <v>3087777</v>
      </c>
      <c r="J38" s="330" t="str">
        <f t="shared" si="7"/>
        <v>n/a</v>
      </c>
      <c r="K38" s="275" t="str">
        <f>IF(NOT(ISBLANK(E37)),$K$30,"")</f>
        <v>Project Evaluation</v>
      </c>
      <c r="L38" s="32">
        <v>0</v>
      </c>
      <c r="M38" s="32">
        <v>0</v>
      </c>
      <c r="N38" s="32">
        <v>0</v>
      </c>
      <c r="O38" s="32">
        <v>0</v>
      </c>
      <c r="P38" s="32">
        <v>0</v>
      </c>
      <c r="Q38" s="246">
        <f t="shared" si="1"/>
        <v>0</v>
      </c>
    </row>
    <row r="39" spans="2:17" ht="30">
      <c r="B39" s="276">
        <v>12</v>
      </c>
      <c r="C39" s="218" t="s">
        <v>27</v>
      </c>
      <c r="D39" s="327">
        <f aca="true" t="shared" si="8" ref="D39:J39">IF(ISBLANK(D37),"",D37)</f>
        <v>30</v>
      </c>
      <c r="E39" s="331" t="str">
        <f t="shared" si="8"/>
        <v>Continuum of Care for Veteran/Military Children and Families</v>
      </c>
      <c r="F39" s="332">
        <f t="shared" si="8"/>
      </c>
      <c r="G39" s="332">
        <f t="shared" si="8"/>
        <v>42817</v>
      </c>
      <c r="H39" s="332">
        <f t="shared" si="8"/>
        <v>43282</v>
      </c>
      <c r="I39" s="275">
        <f t="shared" si="8"/>
        <v>3087777</v>
      </c>
      <c r="J39" s="275" t="str">
        <f t="shared" si="8"/>
        <v>n/a</v>
      </c>
      <c r="K39" s="275" t="str">
        <f>IF(NOT(ISBLANK(E37)),$K$31,"")</f>
        <v>Project Direct</v>
      </c>
      <c r="L39" s="32">
        <v>636166.33</v>
      </c>
      <c r="M39" s="32">
        <v>0</v>
      </c>
      <c r="N39" s="32">
        <v>0</v>
      </c>
      <c r="O39" s="32">
        <v>0</v>
      </c>
      <c r="P39" s="32">
        <v>0</v>
      </c>
      <c r="Q39" s="246">
        <f t="shared" si="1"/>
        <v>636166.33</v>
      </c>
    </row>
    <row r="40" spans="2:17" ht="31.5">
      <c r="B40" s="333">
        <v>12</v>
      </c>
      <c r="C40" s="333" t="s">
        <v>202</v>
      </c>
      <c r="D40" s="334">
        <f aca="true" t="shared" si="9" ref="D40:J40">IF(ISBLANK(D37),"",D37)</f>
        <v>30</v>
      </c>
      <c r="E40" s="335" t="str">
        <f t="shared" si="9"/>
        <v>Continuum of Care for Veteran/Military Children and Families</v>
      </c>
      <c r="F40" s="336">
        <f t="shared" si="9"/>
      </c>
      <c r="G40" s="336">
        <f t="shared" si="9"/>
        <v>42817</v>
      </c>
      <c r="H40" s="336">
        <f t="shared" si="9"/>
        <v>43282</v>
      </c>
      <c r="I40" s="337">
        <f t="shared" si="9"/>
        <v>3087777</v>
      </c>
      <c r="J40" s="337" t="str">
        <f t="shared" si="9"/>
        <v>n/a</v>
      </c>
      <c r="K40" s="279" t="str">
        <f>IF(NOT(ISBLANK(E37)),$K$32,"")</f>
        <v>Project Subtotal</v>
      </c>
      <c r="L40" s="338">
        <f>SUM(L37:L39)</f>
        <v>636166.33</v>
      </c>
      <c r="M40" s="338">
        <f>SUM(M37:M39)</f>
        <v>0</v>
      </c>
      <c r="N40" s="339">
        <f>SUM(N37:N39)</f>
        <v>0</v>
      </c>
      <c r="O40" s="339">
        <f>SUM(O37:O39)</f>
        <v>0</v>
      </c>
      <c r="P40" s="340">
        <f>SUM(P37:P39)</f>
        <v>0</v>
      </c>
      <c r="Q40" s="279">
        <f t="shared" si="1"/>
        <v>636166.33</v>
      </c>
    </row>
    <row r="41" spans="2:17" ht="30">
      <c r="B41" s="276">
        <v>13</v>
      </c>
      <c r="C41" s="293" t="s">
        <v>23</v>
      </c>
      <c r="D41" s="325">
        <f>IF(Q44&lt;&gt;0,VLOOKUP($E$9,Info_County_Code,2,FALSE),"")</f>
        <v>30</v>
      </c>
      <c r="E41" s="144" t="s">
        <v>850</v>
      </c>
      <c r="F41" s="38"/>
      <c r="G41" s="38">
        <v>41753</v>
      </c>
      <c r="H41" s="38">
        <v>42339</v>
      </c>
      <c r="I41" s="30">
        <v>370261</v>
      </c>
      <c r="J41" s="415">
        <v>1437348</v>
      </c>
      <c r="K41" s="326" t="str">
        <f>IF(NOT(ISBLANK(E41)),$K$29,"")</f>
        <v>Project Administration</v>
      </c>
      <c r="L41" s="32">
        <v>30888.59</v>
      </c>
      <c r="M41" s="32">
        <v>0</v>
      </c>
      <c r="N41" s="30">
        <v>0</v>
      </c>
      <c r="O41" s="30">
        <v>0</v>
      </c>
      <c r="P41" s="34">
        <v>0</v>
      </c>
      <c r="Q41" s="246">
        <f t="shared" si="1"/>
        <v>30888.59</v>
      </c>
    </row>
    <row r="42" spans="2:17" ht="30">
      <c r="B42" s="276">
        <v>13</v>
      </c>
      <c r="C42" s="218" t="s">
        <v>25</v>
      </c>
      <c r="D42" s="327">
        <f>IF(ISBLANK(D41),"",D41)</f>
        <v>30</v>
      </c>
      <c r="E42" s="328" t="str">
        <f aca="true" t="shared" si="10" ref="E42:J42">IF(ISBLANK(E41),"",E41)</f>
        <v>Step Forward: On-Site Engagement in the Collaborative Courts (OECC)</v>
      </c>
      <c r="F42" s="329">
        <f t="shared" si="10"/>
      </c>
      <c r="G42" s="329">
        <f t="shared" si="10"/>
        <v>41753</v>
      </c>
      <c r="H42" s="329">
        <f t="shared" si="10"/>
        <v>42339</v>
      </c>
      <c r="I42" s="330">
        <f t="shared" si="10"/>
        <v>370261</v>
      </c>
      <c r="J42" s="330">
        <f t="shared" si="10"/>
        <v>1437348</v>
      </c>
      <c r="K42" s="275" t="str">
        <f>IF(NOT(ISBLANK(E41)),$K$30,"")</f>
        <v>Project Evaluation</v>
      </c>
      <c r="L42" s="32">
        <v>0</v>
      </c>
      <c r="M42" s="32">
        <v>0</v>
      </c>
      <c r="N42" s="30">
        <v>0</v>
      </c>
      <c r="O42" s="30">
        <v>0</v>
      </c>
      <c r="P42" s="34">
        <v>0</v>
      </c>
      <c r="Q42" s="246">
        <f t="shared" si="1"/>
        <v>0</v>
      </c>
    </row>
    <row r="43" spans="2:17" ht="30">
      <c r="B43" s="276">
        <v>13</v>
      </c>
      <c r="C43" s="218" t="s">
        <v>27</v>
      </c>
      <c r="D43" s="327">
        <f>IF(ISBLANK(D41),"",D41)</f>
        <v>30</v>
      </c>
      <c r="E43" s="331" t="str">
        <f aca="true" t="shared" si="11" ref="E43:J43">IF(ISBLANK(E41),"",E41)</f>
        <v>Step Forward: On-Site Engagement in the Collaborative Courts (OECC)</v>
      </c>
      <c r="F43" s="332">
        <f t="shared" si="11"/>
      </c>
      <c r="G43" s="332">
        <f t="shared" si="11"/>
        <v>41753</v>
      </c>
      <c r="H43" s="332">
        <f t="shared" si="11"/>
        <v>42339</v>
      </c>
      <c r="I43" s="275">
        <f t="shared" si="11"/>
        <v>370261</v>
      </c>
      <c r="J43" s="275">
        <f t="shared" si="11"/>
        <v>1437348</v>
      </c>
      <c r="K43" s="275" t="str">
        <f>IF(NOT(ISBLANK(E41)),$K$31,"")</f>
        <v>Project Direct</v>
      </c>
      <c r="L43" s="32">
        <v>224824.27</v>
      </c>
      <c r="M43" s="32">
        <v>0</v>
      </c>
      <c r="N43" s="30">
        <v>0</v>
      </c>
      <c r="O43" s="30">
        <v>0</v>
      </c>
      <c r="P43" s="34">
        <v>0</v>
      </c>
      <c r="Q43" s="246">
        <f t="shared" si="1"/>
        <v>224824.27</v>
      </c>
    </row>
    <row r="44" spans="2:17" ht="31.5">
      <c r="B44" s="333">
        <v>13</v>
      </c>
      <c r="C44" s="333" t="s">
        <v>202</v>
      </c>
      <c r="D44" s="334">
        <f>IF(ISBLANK(D41),"",D41)</f>
        <v>30</v>
      </c>
      <c r="E44" s="335" t="str">
        <f aca="true" t="shared" si="12" ref="E44:J44">IF(ISBLANK(E41),"",E41)</f>
        <v>Step Forward: On-Site Engagement in the Collaborative Courts (OECC)</v>
      </c>
      <c r="F44" s="336">
        <f t="shared" si="12"/>
      </c>
      <c r="G44" s="336">
        <f t="shared" si="12"/>
        <v>41753</v>
      </c>
      <c r="H44" s="336">
        <f t="shared" si="12"/>
        <v>42339</v>
      </c>
      <c r="I44" s="337">
        <f t="shared" si="12"/>
        <v>370261</v>
      </c>
      <c r="J44" s="337">
        <f t="shared" si="12"/>
        <v>1437348</v>
      </c>
      <c r="K44" s="279" t="str">
        <f>IF(NOT(ISBLANK(E41)),$K$32,"")</f>
        <v>Project Subtotal</v>
      </c>
      <c r="L44" s="338">
        <f>SUM(L41:L43)</f>
        <v>255712.86</v>
      </c>
      <c r="M44" s="338">
        <f>SUM(M41:M43)</f>
        <v>0</v>
      </c>
      <c r="N44" s="339">
        <f>SUM(N41:N43)</f>
        <v>0</v>
      </c>
      <c r="O44" s="339">
        <f>SUM(O41:O43)</f>
        <v>0</v>
      </c>
      <c r="P44" s="340">
        <f>SUM(P41:P43)</f>
        <v>0</v>
      </c>
      <c r="Q44" s="279">
        <f t="shared" si="1"/>
        <v>255712.86</v>
      </c>
    </row>
    <row r="45" spans="2:17" ht="15">
      <c r="B45" s="276">
        <v>14</v>
      </c>
      <c r="C45" s="293" t="s">
        <v>23</v>
      </c>
      <c r="D45" s="325">
        <f>IF(Q48&lt;&gt;0,VLOOKUP($E$9,Info_County_Code,2,FALSE),"")</f>
        <v>30</v>
      </c>
      <c r="E45" s="144" t="s">
        <v>820</v>
      </c>
      <c r="F45" s="38"/>
      <c r="G45" s="38">
        <v>41753</v>
      </c>
      <c r="H45" s="38">
        <v>42917</v>
      </c>
      <c r="I45" s="30">
        <v>1343866</v>
      </c>
      <c r="J45" s="415" t="s">
        <v>824</v>
      </c>
      <c r="K45" s="326" t="str">
        <f>IF(NOT(ISBLANK(E45)),$K$29,"")</f>
        <v>Project Administration</v>
      </c>
      <c r="L45" s="32">
        <v>43428.27</v>
      </c>
      <c r="M45" s="32">
        <v>0</v>
      </c>
      <c r="N45" s="32">
        <v>0</v>
      </c>
      <c r="O45" s="32">
        <v>0</v>
      </c>
      <c r="P45" s="32">
        <v>0</v>
      </c>
      <c r="Q45" s="246">
        <f t="shared" si="1"/>
        <v>43428.27</v>
      </c>
    </row>
    <row r="46" spans="2:17" ht="15">
      <c r="B46" s="276">
        <v>14</v>
      </c>
      <c r="C46" s="218" t="s">
        <v>25</v>
      </c>
      <c r="D46" s="327">
        <f>IF(ISBLANK(D45),"",D45)</f>
        <v>30</v>
      </c>
      <c r="E46" s="328" t="str">
        <f aca="true" t="shared" si="13" ref="E46:J46">IF(ISBLANK(E45),"",E45)</f>
        <v>Behavioral Health Services for Independent Living</v>
      </c>
      <c r="F46" s="329">
        <f t="shared" si="13"/>
      </c>
      <c r="G46" s="329">
        <f t="shared" si="13"/>
        <v>41753</v>
      </c>
      <c r="H46" s="329">
        <f t="shared" si="13"/>
        <v>42917</v>
      </c>
      <c r="I46" s="330">
        <f t="shared" si="13"/>
        <v>1343866</v>
      </c>
      <c r="J46" s="330" t="str">
        <f t="shared" si="13"/>
        <v>n/a</v>
      </c>
      <c r="K46" s="275" t="str">
        <f>IF(NOT(ISBLANK(E45)),$K$30,"")</f>
        <v>Project Evaluation</v>
      </c>
      <c r="L46" s="32">
        <v>0</v>
      </c>
      <c r="M46" s="32">
        <v>0</v>
      </c>
      <c r="N46" s="32">
        <v>0</v>
      </c>
      <c r="O46" s="32">
        <v>0</v>
      </c>
      <c r="P46" s="32">
        <v>0</v>
      </c>
      <c r="Q46" s="246">
        <f t="shared" si="1"/>
        <v>0</v>
      </c>
    </row>
    <row r="47" spans="2:17" ht="15">
      <c r="B47" s="276">
        <v>14</v>
      </c>
      <c r="C47" s="218" t="s">
        <v>27</v>
      </c>
      <c r="D47" s="327">
        <f>IF(ISBLANK(D45),"",D45)</f>
        <v>30</v>
      </c>
      <c r="E47" s="331" t="str">
        <f aca="true" t="shared" si="14" ref="E47:J47">IF(ISBLANK(E45),"",E45)</f>
        <v>Behavioral Health Services for Independent Living</v>
      </c>
      <c r="F47" s="332">
        <f t="shared" si="14"/>
      </c>
      <c r="G47" s="332">
        <f t="shared" si="14"/>
        <v>41753</v>
      </c>
      <c r="H47" s="332">
        <f t="shared" si="14"/>
        <v>42917</v>
      </c>
      <c r="I47" s="275">
        <f t="shared" si="14"/>
        <v>1343866</v>
      </c>
      <c r="J47" s="275" t="str">
        <f t="shared" si="14"/>
        <v>n/a</v>
      </c>
      <c r="K47" s="275" t="str">
        <f>IF(NOT(ISBLANK(E45)),$K$31,"")</f>
        <v>Project Direct</v>
      </c>
      <c r="L47" s="32">
        <v>316095</v>
      </c>
      <c r="M47" s="32">
        <v>0</v>
      </c>
      <c r="N47" s="32">
        <v>0</v>
      </c>
      <c r="O47" s="32">
        <v>0</v>
      </c>
      <c r="P47" s="32">
        <v>21929</v>
      </c>
      <c r="Q47" s="246">
        <f t="shared" si="1"/>
        <v>338024</v>
      </c>
    </row>
    <row r="48" spans="2:17" ht="31.5">
      <c r="B48" s="333">
        <v>14</v>
      </c>
      <c r="C48" s="333" t="s">
        <v>202</v>
      </c>
      <c r="D48" s="334">
        <f>IF(ISBLANK(D45),"",D45)</f>
        <v>30</v>
      </c>
      <c r="E48" s="335" t="str">
        <f aca="true" t="shared" si="15" ref="E48:J48">IF(ISBLANK(E45),"",E45)</f>
        <v>Behavioral Health Services for Independent Living</v>
      </c>
      <c r="F48" s="336">
        <f t="shared" si="15"/>
      </c>
      <c r="G48" s="336">
        <f t="shared" si="15"/>
        <v>41753</v>
      </c>
      <c r="H48" s="336">
        <f t="shared" si="15"/>
        <v>42917</v>
      </c>
      <c r="I48" s="337">
        <f t="shared" si="15"/>
        <v>1343866</v>
      </c>
      <c r="J48" s="337" t="str">
        <f t="shared" si="15"/>
        <v>n/a</v>
      </c>
      <c r="K48" s="279" t="str">
        <f>IF(NOT(ISBLANK(E45)),$K$32,"")</f>
        <v>Project Subtotal</v>
      </c>
      <c r="L48" s="338">
        <f>SUM(L45:L47)</f>
        <v>359523.27</v>
      </c>
      <c r="M48" s="338">
        <f>SUM(M45:M47)</f>
        <v>0</v>
      </c>
      <c r="N48" s="339">
        <f>SUM(N45:N47)</f>
        <v>0</v>
      </c>
      <c r="O48" s="339">
        <f>SUM(O45:O47)</f>
        <v>0</v>
      </c>
      <c r="P48" s="340">
        <f>SUM(P45:P47)</f>
        <v>21929</v>
      </c>
      <c r="Q48" s="279">
        <f t="shared" si="1"/>
        <v>381452.27</v>
      </c>
    </row>
    <row r="49" spans="2:17" ht="15">
      <c r="B49" s="276">
        <v>15</v>
      </c>
      <c r="C49" s="293" t="s">
        <v>23</v>
      </c>
      <c r="D49" s="325">
        <f>IF(Q52&lt;&gt;0,VLOOKUP($E$9,Info_County_Code,2,FALSE),"")</f>
        <v>30</v>
      </c>
      <c r="E49" s="144" t="s">
        <v>823</v>
      </c>
      <c r="F49" s="38"/>
      <c r="G49" s="38">
        <v>43216</v>
      </c>
      <c r="H49" s="38">
        <v>43217</v>
      </c>
      <c r="I49" s="30">
        <v>24000000</v>
      </c>
      <c r="J49" s="415" t="s">
        <v>824</v>
      </c>
      <c r="K49" s="326" t="str">
        <f>IF(NOT(ISBLANK(E49)),$K$29,"")</f>
        <v>Project Administration</v>
      </c>
      <c r="L49" s="32">
        <v>0</v>
      </c>
      <c r="M49" s="32">
        <v>0</v>
      </c>
      <c r="N49" s="30">
        <v>0</v>
      </c>
      <c r="O49" s="30">
        <v>0</v>
      </c>
      <c r="P49" s="34">
        <v>0</v>
      </c>
      <c r="Q49" s="246">
        <f t="shared" si="1"/>
        <v>0</v>
      </c>
    </row>
    <row r="50" spans="2:17" ht="15">
      <c r="B50" s="276">
        <v>15</v>
      </c>
      <c r="C50" s="218" t="s">
        <v>25</v>
      </c>
      <c r="D50" s="327">
        <f aca="true" t="shared" si="16" ref="D50:J50">IF(ISBLANK(D49),"",D49)</f>
        <v>30</v>
      </c>
      <c r="E50" s="328" t="str">
        <f t="shared" si="16"/>
        <v>Innovation – Mental Health Technology Solutions</v>
      </c>
      <c r="F50" s="329">
        <f t="shared" si="16"/>
      </c>
      <c r="G50" s="329">
        <f t="shared" si="16"/>
        <v>43216</v>
      </c>
      <c r="H50" s="329">
        <f t="shared" si="16"/>
        <v>43217</v>
      </c>
      <c r="I50" s="330">
        <f t="shared" si="16"/>
        <v>24000000</v>
      </c>
      <c r="J50" s="330" t="str">
        <f t="shared" si="16"/>
        <v>n/a</v>
      </c>
      <c r="K50" s="275" t="str">
        <f>IF(NOT(ISBLANK(E49)),$K$30,"")</f>
        <v>Project Evaluation</v>
      </c>
      <c r="L50" s="32">
        <v>0</v>
      </c>
      <c r="M50" s="32">
        <v>0</v>
      </c>
      <c r="N50" s="30">
        <v>0</v>
      </c>
      <c r="O50" s="30">
        <v>0</v>
      </c>
      <c r="P50" s="34">
        <v>0</v>
      </c>
      <c r="Q50" s="246">
        <f t="shared" si="1"/>
        <v>0</v>
      </c>
    </row>
    <row r="51" spans="2:17" ht="15">
      <c r="B51" s="276">
        <v>15</v>
      </c>
      <c r="C51" s="218" t="s">
        <v>27</v>
      </c>
      <c r="D51" s="327">
        <f aca="true" t="shared" si="17" ref="D51:J51">IF(ISBLANK(D49),"",D49)</f>
        <v>30</v>
      </c>
      <c r="E51" s="331" t="str">
        <f t="shared" si="17"/>
        <v>Innovation – Mental Health Technology Solutions</v>
      </c>
      <c r="F51" s="332">
        <f t="shared" si="17"/>
      </c>
      <c r="G51" s="332">
        <f t="shared" si="17"/>
        <v>43216</v>
      </c>
      <c r="H51" s="332">
        <f t="shared" si="17"/>
        <v>43217</v>
      </c>
      <c r="I51" s="275">
        <f t="shared" si="17"/>
        <v>24000000</v>
      </c>
      <c r="J51" s="275" t="str">
        <f t="shared" si="17"/>
        <v>n/a</v>
      </c>
      <c r="K51" s="275" t="str">
        <f>IF(NOT(ISBLANK(E49)),$K$31,"")</f>
        <v>Project Direct</v>
      </c>
      <c r="L51" s="32">
        <v>155393.56</v>
      </c>
      <c r="M51" s="32">
        <v>0</v>
      </c>
      <c r="N51" s="30">
        <v>0</v>
      </c>
      <c r="O51" s="30">
        <v>0</v>
      </c>
      <c r="P51" s="34">
        <v>0</v>
      </c>
      <c r="Q51" s="246">
        <f t="shared" si="1"/>
        <v>155393.56</v>
      </c>
    </row>
    <row r="52" spans="2:17" ht="31.5">
      <c r="B52" s="333">
        <v>15</v>
      </c>
      <c r="C52" s="333" t="s">
        <v>202</v>
      </c>
      <c r="D52" s="334">
        <f aca="true" t="shared" si="18" ref="D52:J52">IF(ISBLANK(D49),"",D49)</f>
        <v>30</v>
      </c>
      <c r="E52" s="335" t="str">
        <f t="shared" si="18"/>
        <v>Innovation – Mental Health Technology Solutions</v>
      </c>
      <c r="F52" s="336">
        <f t="shared" si="18"/>
      </c>
      <c r="G52" s="336">
        <f t="shared" si="18"/>
        <v>43216</v>
      </c>
      <c r="H52" s="336">
        <f t="shared" si="18"/>
        <v>43217</v>
      </c>
      <c r="I52" s="337">
        <f t="shared" si="18"/>
        <v>24000000</v>
      </c>
      <c r="J52" s="337" t="str">
        <f t="shared" si="18"/>
        <v>n/a</v>
      </c>
      <c r="K52" s="279" t="str">
        <f>IF(NOT(ISBLANK(E49)),$K$32,"")</f>
        <v>Project Subtotal</v>
      </c>
      <c r="L52" s="338">
        <f>SUM(L49:L51)</f>
        <v>155393.56</v>
      </c>
      <c r="M52" s="338">
        <f>SUM(M49:M51)</f>
        <v>0</v>
      </c>
      <c r="N52" s="339">
        <f>SUM(N49:N51)</f>
        <v>0</v>
      </c>
      <c r="O52" s="339">
        <f>SUM(O49:O51)</f>
        <v>0</v>
      </c>
      <c r="P52" s="340">
        <f>SUM(P49:P51)</f>
        <v>0</v>
      </c>
      <c r="Q52" s="279">
        <f t="shared" si="1"/>
        <v>155393.56</v>
      </c>
    </row>
    <row r="53" spans="2:17" ht="15">
      <c r="B53" s="276">
        <v>16</v>
      </c>
      <c r="C53" s="293" t="s">
        <v>23</v>
      </c>
      <c r="D53" s="325">
        <f>IF(Q56&lt;&gt;0,VLOOKUP($E$9,Info_County_Code,2,FALSE),"")</f>
      </c>
      <c r="E53" s="144"/>
      <c r="F53" s="38"/>
      <c r="G53" s="38"/>
      <c r="H53" s="38"/>
      <c r="I53" s="30"/>
      <c r="J53" s="30"/>
      <c r="K53" s="326">
        <f>IF(NOT(ISBLANK(E53)),$K$29,"")</f>
      </c>
      <c r="L53" s="32"/>
      <c r="M53" s="32"/>
      <c r="N53" s="32"/>
      <c r="O53" s="32"/>
      <c r="P53" s="32"/>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2"/>
      <c r="O54" s="32"/>
      <c r="P54" s="32"/>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2"/>
      <c r="O55" s="32"/>
      <c r="P55" s="32"/>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2"/>
      <c r="O57" s="32"/>
      <c r="P57" s="32"/>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2"/>
      <c r="O58" s="32"/>
      <c r="P58" s="32"/>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2"/>
      <c r="O59" s="32"/>
      <c r="P59" s="32"/>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2"/>
      <c r="O61" s="32"/>
      <c r="P61" s="32"/>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2"/>
      <c r="O62" s="32"/>
      <c r="P62" s="32"/>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2"/>
      <c r="O63" s="32"/>
      <c r="P63" s="32"/>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2"/>
      <c r="O65" s="32"/>
      <c r="P65" s="32"/>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2"/>
      <c r="O66" s="32"/>
      <c r="P66" s="32"/>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2"/>
      <c r="O67" s="32"/>
      <c r="P67" s="32"/>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2"/>
      <c r="O69" s="32"/>
      <c r="P69" s="32"/>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2"/>
      <c r="O70" s="32"/>
      <c r="P70" s="32"/>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2"/>
      <c r="O71" s="32"/>
      <c r="P71" s="32"/>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2"/>
      <c r="O73" s="32"/>
      <c r="P73" s="32"/>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2"/>
      <c r="O74" s="32"/>
      <c r="P74" s="32"/>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2"/>
      <c r="O75" s="32"/>
      <c r="P75" s="32"/>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2"/>
      <c r="O77" s="32"/>
      <c r="P77" s="32"/>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2"/>
      <c r="O78" s="32"/>
      <c r="P78" s="32"/>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2"/>
      <c r="O79" s="32"/>
      <c r="P79" s="32"/>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415"/>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415"/>
      <c r="K85" s="326">
        <f>IF(NOT(ISBLANK(E85)),$K$29,"")</f>
      </c>
      <c r="L85" s="32"/>
      <c r="M85" s="32"/>
      <c r="N85" s="32"/>
      <c r="O85" s="32"/>
      <c r="P85" s="32"/>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2"/>
      <c r="O86" s="32"/>
      <c r="P86" s="32"/>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2"/>
      <c r="O87" s="32"/>
      <c r="P87" s="32"/>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415"/>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91">
      <selection activeCell="A113" sqref="A113"/>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772</v>
      </c>
    </row>
    <row r="2" ht="15.75">
      <c r="A2" s="385" t="s">
        <v>313</v>
      </c>
    </row>
    <row r="3" ht="15.75">
      <c r="A3" s="385" t="s">
        <v>312</v>
      </c>
    </row>
    <row r="4" ht="15.75">
      <c r="A4" s="385" t="s">
        <v>484</v>
      </c>
    </row>
    <row r="5" ht="15.75">
      <c r="A5" s="385" t="s">
        <v>485</v>
      </c>
    </row>
    <row r="6" ht="15.75">
      <c r="A6" s="385" t="s">
        <v>486</v>
      </c>
    </row>
    <row r="7" ht="15.75">
      <c r="A7" s="385" t="s">
        <v>736</v>
      </c>
    </row>
    <row r="8" ht="45.75">
      <c r="A8" s="385" t="s">
        <v>487</v>
      </c>
    </row>
    <row r="9" ht="15.75">
      <c r="A9" s="385" t="s">
        <v>428</v>
      </c>
    </row>
    <row r="10" ht="120.75">
      <c r="A10" s="385" t="s">
        <v>488</v>
      </c>
    </row>
    <row r="11" ht="15.75">
      <c r="A11" s="385" t="s">
        <v>489</v>
      </c>
    </row>
    <row r="12" ht="15.75">
      <c r="A12" s="385" t="s">
        <v>490</v>
      </c>
    </row>
    <row r="13" ht="15.75">
      <c r="A13" s="385" t="s">
        <v>757</v>
      </c>
    </row>
    <row r="14" ht="15.75">
      <c r="A14" s="385" t="s">
        <v>491</v>
      </c>
    </row>
    <row r="15" ht="15.75">
      <c r="A15" s="385" t="s">
        <v>423</v>
      </c>
    </row>
    <row r="16" ht="30.75">
      <c r="A16" s="385" t="s">
        <v>492</v>
      </c>
    </row>
    <row r="17" ht="15.75">
      <c r="A17" s="385" t="s">
        <v>325</v>
      </c>
    </row>
    <row r="18" ht="15.75">
      <c r="A18" s="385" t="s">
        <v>433</v>
      </c>
    </row>
    <row r="19" ht="15.75">
      <c r="A19" s="385" t="s">
        <v>434</v>
      </c>
    </row>
    <row r="20" ht="15.75">
      <c r="A20" s="385" t="s">
        <v>435</v>
      </c>
    </row>
    <row r="21" ht="15.75">
      <c r="A21" s="385" t="s">
        <v>493</v>
      </c>
    </row>
    <row r="22" ht="45.75">
      <c r="A22" s="385" t="s">
        <v>494</v>
      </c>
    </row>
    <row r="23" ht="15.75">
      <c r="A23" s="385" t="s">
        <v>451</v>
      </c>
    </row>
    <row r="24" ht="15.75">
      <c r="A24" s="385" t="s">
        <v>452</v>
      </c>
    </row>
    <row r="25" ht="15.75">
      <c r="A25" s="385" t="s">
        <v>453</v>
      </c>
    </row>
    <row r="26" ht="15.75">
      <c r="A26" s="385" t="s">
        <v>454</v>
      </c>
    </row>
    <row r="27" ht="15.75">
      <c r="A27" s="385" t="s">
        <v>455</v>
      </c>
    </row>
    <row r="28" ht="30.75">
      <c r="A28" s="385" t="s">
        <v>495</v>
      </c>
    </row>
    <row r="29" ht="30.75">
      <c r="A29" s="385" t="s">
        <v>496</v>
      </c>
    </row>
    <row r="30" ht="30.75">
      <c r="A30" s="385" t="s">
        <v>497</v>
      </c>
    </row>
    <row r="31" ht="30.75">
      <c r="A31" s="385" t="s">
        <v>498</v>
      </c>
    </row>
    <row r="32" ht="30.75">
      <c r="A32" s="385" t="s">
        <v>499</v>
      </c>
    </row>
    <row r="33" ht="15.75">
      <c r="A33" s="385" t="s">
        <v>500</v>
      </c>
    </row>
    <row r="34" ht="30.75">
      <c r="A34" s="385" t="s">
        <v>501</v>
      </c>
    </row>
    <row r="35" ht="30.75">
      <c r="A35" s="385" t="s">
        <v>502</v>
      </c>
    </row>
    <row r="36" ht="30.75">
      <c r="A36" s="385" t="s">
        <v>503</v>
      </c>
    </row>
    <row r="37" ht="30.75">
      <c r="A37" s="385" t="s">
        <v>504</v>
      </c>
    </row>
    <row r="38" ht="30.75">
      <c r="A38" s="385" t="s">
        <v>505</v>
      </c>
    </row>
    <row r="39" ht="15.75">
      <c r="A39" s="385" t="s">
        <v>506</v>
      </c>
    </row>
    <row r="40" ht="30.75">
      <c r="A40" s="385" t="s">
        <v>507</v>
      </c>
    </row>
    <row r="41" ht="30.75">
      <c r="A41" s="385" t="s">
        <v>508</v>
      </c>
    </row>
    <row r="42" ht="30.75">
      <c r="A42" s="385" t="s">
        <v>509</v>
      </c>
    </row>
    <row r="43" ht="30.75">
      <c r="A43" s="385" t="s">
        <v>510</v>
      </c>
    </row>
    <row r="44" ht="30.75">
      <c r="A44" s="385" t="s">
        <v>511</v>
      </c>
    </row>
    <row r="45" ht="15.75">
      <c r="A45" s="385" t="s">
        <v>512</v>
      </c>
    </row>
    <row r="46" ht="15.75">
      <c r="A46" s="385" t="s">
        <v>513</v>
      </c>
    </row>
    <row r="47" ht="15.75">
      <c r="A47" s="385" t="s">
        <v>514</v>
      </c>
    </row>
    <row r="48" ht="15.75">
      <c r="A48" s="385" t="s">
        <v>515</v>
      </c>
    </row>
    <row r="49" ht="15.75">
      <c r="A49" s="385" t="s">
        <v>516</v>
      </c>
    </row>
    <row r="50" ht="15.75">
      <c r="A50" s="385" t="s">
        <v>517</v>
      </c>
    </row>
    <row r="51" ht="15.75">
      <c r="A51" s="385" t="s">
        <v>469</v>
      </c>
    </row>
    <row r="52" ht="15.75">
      <c r="A52" s="385" t="s">
        <v>762</v>
      </c>
    </row>
    <row r="53" ht="15.75">
      <c r="A53" s="385" t="s">
        <v>763</v>
      </c>
    </row>
    <row r="54" ht="15.75">
      <c r="A54" s="385" t="s">
        <v>764</v>
      </c>
    </row>
    <row r="55" ht="15.75">
      <c r="A55" s="385" t="s">
        <v>765</v>
      </c>
    </row>
    <row r="56" ht="15.75">
      <c r="A56" s="385" t="s">
        <v>766</v>
      </c>
    </row>
    <row r="57" ht="15.75">
      <c r="A57" s="385" t="s">
        <v>518</v>
      </c>
    </row>
    <row r="58" ht="45.75">
      <c r="A58" s="385" t="s">
        <v>519</v>
      </c>
    </row>
    <row r="59" ht="75.75">
      <c r="A59" s="385" t="s">
        <v>520</v>
      </c>
    </row>
    <row r="60" ht="75.75">
      <c r="A60" s="385" t="s">
        <v>521</v>
      </c>
    </row>
    <row r="61" ht="15.75">
      <c r="A61" s="385" t="s">
        <v>522</v>
      </c>
    </row>
    <row r="62" ht="45.75">
      <c r="A62" s="385" t="s">
        <v>523</v>
      </c>
    </row>
    <row r="63" ht="45.75">
      <c r="A63" s="385" t="s">
        <v>524</v>
      </c>
    </row>
    <row r="64" ht="75.75">
      <c r="A64" s="385" t="s">
        <v>525</v>
      </c>
    </row>
    <row r="65" ht="15.75">
      <c r="A65" s="385" t="s">
        <v>526</v>
      </c>
    </row>
    <row r="66" ht="30.75">
      <c r="A66" s="385" t="s">
        <v>527</v>
      </c>
    </row>
    <row r="67" ht="30.75">
      <c r="A67" s="385" t="s">
        <v>528</v>
      </c>
    </row>
    <row r="68" ht="30.75">
      <c r="A68" s="385" t="s">
        <v>529</v>
      </c>
    </row>
    <row r="69" ht="30.75">
      <c r="A69" s="385" t="s">
        <v>530</v>
      </c>
    </row>
    <row r="70" ht="30.75">
      <c r="A70" s="385" t="s">
        <v>531</v>
      </c>
    </row>
    <row r="71" ht="15.75">
      <c r="A71" s="385" t="s">
        <v>532</v>
      </c>
    </row>
    <row r="72" ht="45.75">
      <c r="A72" s="385" t="s">
        <v>533</v>
      </c>
    </row>
    <row r="73" ht="15.75">
      <c r="A73" s="385" t="s">
        <v>534</v>
      </c>
    </row>
    <row r="74" ht="15.75">
      <c r="A74" s="385" t="s">
        <v>535</v>
      </c>
    </row>
    <row r="75" ht="15.75">
      <c r="A75" s="385" t="s">
        <v>536</v>
      </c>
    </row>
    <row r="76" ht="15.75">
      <c r="A76" s="385" t="s">
        <v>537</v>
      </c>
    </row>
    <row r="77" ht="15.75">
      <c r="A77" s="385" t="s">
        <v>538</v>
      </c>
    </row>
    <row r="78" ht="15.75">
      <c r="A78" s="385" t="s">
        <v>539</v>
      </c>
    </row>
    <row r="79" ht="15.75">
      <c r="A79" s="385" t="s">
        <v>540</v>
      </c>
    </row>
    <row r="80" ht="30.75">
      <c r="A80" s="385" t="s">
        <v>541</v>
      </c>
    </row>
    <row r="81" ht="30.75">
      <c r="A81" s="385" t="s">
        <v>542</v>
      </c>
    </row>
    <row r="82" ht="30.75">
      <c r="A82" s="385" t="s">
        <v>543</v>
      </c>
    </row>
    <row r="83" ht="30.75">
      <c r="A83" s="385" t="s">
        <v>544</v>
      </c>
    </row>
    <row r="84" ht="30.75">
      <c r="A84" s="385" t="s">
        <v>545</v>
      </c>
    </row>
    <row r="85" ht="15.75">
      <c r="A85" s="385" t="s">
        <v>546</v>
      </c>
    </row>
    <row r="86" ht="45.75">
      <c r="A86" s="385" t="s">
        <v>547</v>
      </c>
    </row>
    <row r="87" ht="15.75">
      <c r="A87" s="385" t="s">
        <v>548</v>
      </c>
    </row>
    <row r="88" ht="15.75">
      <c r="A88" s="385" t="s">
        <v>549</v>
      </c>
    </row>
    <row r="89" ht="15.75">
      <c r="A89" s="385" t="s">
        <v>550</v>
      </c>
    </row>
    <row r="90" ht="15.75">
      <c r="A90" s="385" t="s">
        <v>551</v>
      </c>
    </row>
    <row r="91" ht="15.75">
      <c r="A91" s="385" t="s">
        <v>552</v>
      </c>
    </row>
    <row r="92" ht="15.75">
      <c r="A92" s="385" t="s">
        <v>553</v>
      </c>
    </row>
    <row r="93" ht="15.75">
      <c r="A93" s="385" t="s">
        <v>554</v>
      </c>
    </row>
    <row r="94" ht="30.75">
      <c r="A94" s="385" t="s">
        <v>555</v>
      </c>
    </row>
    <row r="95" ht="30.75">
      <c r="A95" s="385" t="s">
        <v>556</v>
      </c>
    </row>
    <row r="96" ht="30.75">
      <c r="A96" s="385" t="s">
        <v>557</v>
      </c>
    </row>
    <row r="97" ht="30.75">
      <c r="A97" s="385" t="s">
        <v>558</v>
      </c>
    </row>
    <row r="98" ht="30.75">
      <c r="A98" s="385" t="s">
        <v>559</v>
      </c>
    </row>
    <row r="99" ht="15.75">
      <c r="A99" s="385" t="s">
        <v>560</v>
      </c>
    </row>
    <row r="100" ht="45.75">
      <c r="A100" s="385" t="s">
        <v>561</v>
      </c>
    </row>
    <row r="101" ht="15.75">
      <c r="A101" s="385" t="s">
        <v>562</v>
      </c>
    </row>
    <row r="102" ht="15.75">
      <c r="A102" s="385" t="s">
        <v>563</v>
      </c>
    </row>
    <row r="103" ht="15.75">
      <c r="A103" s="385" t="s">
        <v>564</v>
      </c>
    </row>
    <row r="104" ht="15.75">
      <c r="A104" s="385" t="s">
        <v>565</v>
      </c>
    </row>
    <row r="105" ht="15.75">
      <c r="A105" s="385" t="s">
        <v>566</v>
      </c>
    </row>
    <row r="106" ht="15.75">
      <c r="A106" s="385" t="s">
        <v>567</v>
      </c>
    </row>
    <row r="107" ht="15.75">
      <c r="A107" s="385" t="s">
        <v>568</v>
      </c>
    </row>
    <row r="108" ht="15.75">
      <c r="A108" s="385" t="s">
        <v>569</v>
      </c>
    </row>
    <row r="109" ht="15.75">
      <c r="A109" s="385" t="s">
        <v>570</v>
      </c>
    </row>
    <row r="110" ht="15.75">
      <c r="A110" s="385" t="s">
        <v>571</v>
      </c>
    </row>
    <row r="111" ht="15.75">
      <c r="A111" s="385" t="s">
        <v>572</v>
      </c>
    </row>
    <row r="112" ht="15.75">
      <c r="A112" s="385" t="s">
        <v>573</v>
      </c>
    </row>
    <row r="113" ht="15.75">
      <c r="A113" s="385" t="s">
        <v>574</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D32" sqref="D3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776</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743</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Orange</v>
      </c>
      <c r="F9" s="226" t="s">
        <v>1</v>
      </c>
      <c r="G9" s="346">
        <f>IF(ISBLANK('1. Information'!D9),"",'1. Information'!D9)</f>
        <v>43823</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v>0</v>
      </c>
      <c r="H15" s="136">
        <v>0</v>
      </c>
      <c r="I15" s="136">
        <v>0</v>
      </c>
      <c r="J15" s="136">
        <v>0</v>
      </c>
      <c r="K15" s="241">
        <f>SUM(F15:J15)</f>
        <v>0</v>
      </c>
      <c r="L15" s="175"/>
      <c r="M15" s="175"/>
      <c r="N15" s="27"/>
      <c r="O15" s="27"/>
    </row>
    <row r="16" spans="1:15" ht="15.75">
      <c r="A16" s="27"/>
      <c r="B16" s="300">
        <v>2</v>
      </c>
      <c r="C16" s="163" t="s">
        <v>14</v>
      </c>
      <c r="D16" s="242"/>
      <c r="E16" s="350"/>
      <c r="F16" s="136">
        <v>0</v>
      </c>
      <c r="G16" s="136">
        <v>0</v>
      </c>
      <c r="H16" s="136">
        <v>0</v>
      </c>
      <c r="I16" s="136">
        <v>0</v>
      </c>
      <c r="J16" s="136">
        <v>0</v>
      </c>
      <c r="K16" s="241">
        <f aca="true" t="shared" si="0" ref="K16:K21">SUM(F16:J16)</f>
        <v>0</v>
      </c>
      <c r="L16" s="175"/>
      <c r="M16" s="175"/>
      <c r="N16" s="27"/>
      <c r="O16" s="27"/>
    </row>
    <row r="17" spans="1:15" ht="15.75">
      <c r="A17" s="27"/>
      <c r="B17" s="300">
        <v>3</v>
      </c>
      <c r="C17" s="163" t="s">
        <v>198</v>
      </c>
      <c r="D17" s="242"/>
      <c r="E17" s="350"/>
      <c r="F17" s="136">
        <v>454348.64</v>
      </c>
      <c r="G17" s="136">
        <v>0</v>
      </c>
      <c r="H17" s="136">
        <v>0</v>
      </c>
      <c r="I17" s="136">
        <v>0</v>
      </c>
      <c r="J17" s="136">
        <v>0</v>
      </c>
      <c r="K17" s="241">
        <f t="shared" si="0"/>
        <v>454348.64</v>
      </c>
      <c r="L17" s="175"/>
      <c r="M17" s="175"/>
      <c r="N17" s="27"/>
      <c r="O17" s="27"/>
    </row>
    <row r="18" spans="1:15" ht="15.75">
      <c r="A18" s="27"/>
      <c r="B18" s="300">
        <v>4</v>
      </c>
      <c r="C18" s="163" t="s">
        <v>189</v>
      </c>
      <c r="D18" s="242"/>
      <c r="E18" s="350"/>
      <c r="F18" s="136">
        <v>0</v>
      </c>
      <c r="G18" s="275"/>
      <c r="H18" s="275"/>
      <c r="I18" s="275"/>
      <c r="J18" s="275"/>
      <c r="K18" s="241">
        <f>F18</f>
        <v>0</v>
      </c>
      <c r="L18" s="175"/>
      <c r="M18" s="175"/>
      <c r="N18" s="27"/>
      <c r="O18" s="27"/>
    </row>
    <row r="19" spans="1:15" ht="15.75">
      <c r="A19" s="27"/>
      <c r="B19" s="300">
        <v>5</v>
      </c>
      <c r="C19" s="163" t="s">
        <v>296</v>
      </c>
      <c r="D19" s="242"/>
      <c r="E19" s="350"/>
      <c r="F19" s="136">
        <v>0</v>
      </c>
      <c r="G19" s="275"/>
      <c r="H19" s="275"/>
      <c r="I19" s="275"/>
      <c r="J19" s="275"/>
      <c r="K19" s="241">
        <f>F19</f>
        <v>0</v>
      </c>
      <c r="L19" s="175"/>
      <c r="M19" s="175"/>
      <c r="N19" s="27"/>
      <c r="O19" s="27"/>
    </row>
    <row r="20" spans="1:15" ht="15.75">
      <c r="A20" s="27"/>
      <c r="B20" s="300">
        <v>6</v>
      </c>
      <c r="C20" s="242" t="s">
        <v>153</v>
      </c>
      <c r="D20" s="245"/>
      <c r="E20" s="243"/>
      <c r="F20" s="330">
        <f>SUM(E28:E32)</f>
        <v>3836193.84</v>
      </c>
      <c r="G20" s="351">
        <f>SUM(F28:F32)</f>
        <v>0</v>
      </c>
      <c r="H20" s="330">
        <f>SUM(G28:G32)</f>
        <v>0</v>
      </c>
      <c r="I20" s="330">
        <f>SUM(H28:H32)</f>
        <v>0</v>
      </c>
      <c r="J20" s="330">
        <f>SUM(I28:I32)</f>
        <v>683.11</v>
      </c>
      <c r="K20" s="246">
        <f t="shared" si="0"/>
        <v>3836876.9499999997</v>
      </c>
      <c r="L20" s="175"/>
      <c r="M20" s="175"/>
      <c r="N20" s="27"/>
      <c r="O20" s="27"/>
    </row>
    <row r="21" spans="1:15" ht="30.75" customHeight="1">
      <c r="A21" s="27"/>
      <c r="B21" s="300">
        <v>7</v>
      </c>
      <c r="C21" s="277" t="s">
        <v>188</v>
      </c>
      <c r="D21" s="277"/>
      <c r="E21" s="277"/>
      <c r="F21" s="279">
        <f>SUM(F15:F17,F19:F20)</f>
        <v>4290542.4799999995</v>
      </c>
      <c r="G21" s="251">
        <f>SUM(G15:G17,G20)</f>
        <v>0</v>
      </c>
      <c r="H21" s="250">
        <f>SUM(H15:H17,H20)</f>
        <v>0</v>
      </c>
      <c r="I21" s="250">
        <f>SUM(I15:I17,I20)</f>
        <v>0</v>
      </c>
      <c r="J21" s="250">
        <f>SUM(J15:J17,J20)</f>
        <v>683.11</v>
      </c>
      <c r="K21" s="279">
        <f t="shared" si="0"/>
        <v>4291225.59</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30</v>
      </c>
      <c r="D28" s="355" t="s">
        <v>98</v>
      </c>
      <c r="E28" s="31">
        <v>1433186.77</v>
      </c>
      <c r="F28" s="32">
        <v>0</v>
      </c>
      <c r="G28" s="31">
        <v>0</v>
      </c>
      <c r="H28" s="31">
        <v>0</v>
      </c>
      <c r="I28" s="128">
        <v>0</v>
      </c>
      <c r="J28" s="275">
        <f>SUM(E28:I28)</f>
        <v>1433186.77</v>
      </c>
      <c r="K28" s="175"/>
      <c r="L28" s="175"/>
      <c r="M28" s="175"/>
      <c r="N28" s="175"/>
      <c r="O28" s="175"/>
      <c r="P28" s="175"/>
      <c r="Q28" s="175"/>
      <c r="R28" s="175"/>
    </row>
    <row r="29" spans="1:18" ht="15.75">
      <c r="A29" s="27"/>
      <c r="B29" s="300">
        <v>9</v>
      </c>
      <c r="C29" s="301">
        <f>IF(J29&lt;&gt;0,VLOOKUP($D$9,Info_County_Code,2,FALSE),"")</f>
        <v>30</v>
      </c>
      <c r="D29" s="355" t="s">
        <v>99</v>
      </c>
      <c r="E29" s="31">
        <v>1038591.69</v>
      </c>
      <c r="F29" s="32">
        <v>0</v>
      </c>
      <c r="G29" s="31">
        <v>0</v>
      </c>
      <c r="H29" s="31">
        <v>0</v>
      </c>
      <c r="I29" s="128">
        <v>0</v>
      </c>
      <c r="J29" s="275">
        <f>SUM(E29:I29)</f>
        <v>1038591.69</v>
      </c>
      <c r="K29" s="175"/>
      <c r="L29" s="175"/>
      <c r="M29" s="175"/>
      <c r="N29" s="175"/>
      <c r="O29" s="175"/>
      <c r="P29" s="175"/>
      <c r="Q29" s="175"/>
      <c r="R29" s="175"/>
    </row>
    <row r="30" spans="1:18" ht="15.75">
      <c r="A30" s="27"/>
      <c r="B30" s="300">
        <v>10</v>
      </c>
      <c r="C30" s="301">
        <f>IF(J30&lt;&gt;0,VLOOKUP($D$9,Info_County_Code,2,FALSE),"")</f>
        <v>30</v>
      </c>
      <c r="D30" s="219" t="s">
        <v>295</v>
      </c>
      <c r="E30" s="31">
        <v>862092.52</v>
      </c>
      <c r="F30" s="32">
        <v>0</v>
      </c>
      <c r="G30" s="31">
        <v>0</v>
      </c>
      <c r="H30" s="31">
        <v>0</v>
      </c>
      <c r="I30" s="128">
        <v>683.11</v>
      </c>
      <c r="J30" s="275">
        <f>SUM(E30:I30)</f>
        <v>862775.63</v>
      </c>
      <c r="K30" s="175"/>
      <c r="L30" s="175"/>
      <c r="M30" s="175"/>
      <c r="N30" s="175"/>
      <c r="O30" s="175"/>
      <c r="P30" s="175"/>
      <c r="Q30" s="175"/>
      <c r="R30" s="175"/>
    </row>
    <row r="31" spans="1:18" ht="15.75">
      <c r="A31" s="27"/>
      <c r="B31" s="354">
        <v>11</v>
      </c>
      <c r="C31" s="301">
        <f>IF(J31&lt;&gt;0,VLOOKUP($D$9,Info_County_Code,2,FALSE),"")</f>
        <v>30</v>
      </c>
      <c r="D31" s="355" t="s">
        <v>101</v>
      </c>
      <c r="E31" s="31">
        <v>156354.78</v>
      </c>
      <c r="F31" s="32">
        <v>0</v>
      </c>
      <c r="G31" s="31">
        <v>0</v>
      </c>
      <c r="H31" s="31">
        <v>0</v>
      </c>
      <c r="I31" s="128">
        <v>0</v>
      </c>
      <c r="J31" s="275">
        <f>SUM(E31:I31)</f>
        <v>156354.78</v>
      </c>
      <c r="K31" s="175"/>
      <c r="L31" s="175"/>
      <c r="M31" s="175"/>
      <c r="N31" s="175"/>
      <c r="O31" s="175"/>
      <c r="P31" s="175"/>
      <c r="Q31" s="175"/>
      <c r="R31" s="175"/>
    </row>
    <row r="32" spans="1:18" ht="15.75">
      <c r="A32" s="27"/>
      <c r="B32" s="300">
        <v>12</v>
      </c>
      <c r="C32" s="301">
        <f>IF(J32&lt;&gt;0,VLOOKUP($D$9,Info_County_Code,2,FALSE),"")</f>
        <v>30</v>
      </c>
      <c r="D32" s="355" t="s">
        <v>102</v>
      </c>
      <c r="E32" s="31">
        <v>345968.08</v>
      </c>
      <c r="F32" s="32">
        <v>0</v>
      </c>
      <c r="G32" s="31">
        <v>0</v>
      </c>
      <c r="H32" s="31">
        <v>0</v>
      </c>
      <c r="I32" s="128">
        <v>0</v>
      </c>
      <c r="J32" s="275">
        <f>SUM(E32:I32)</f>
        <v>345968.08</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horizontalCentered="1"/>
  <pageMargins left="0.25" right="0.25" top="0.75" bottom="0.75" header="0.3" footer="0.3"/>
  <pageSetup fitToHeight="0" fitToWidth="0" horizontalDpi="600" verticalDpi="600" orientation="landscape" paperSize="5" scale="60"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79">
      <selection activeCell="A85" sqref="A85"/>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777</v>
      </c>
    </row>
    <row r="2" ht="15.75">
      <c r="A2" s="385" t="s">
        <v>313</v>
      </c>
    </row>
    <row r="3" ht="15.75">
      <c r="A3" s="385" t="s">
        <v>312</v>
      </c>
    </row>
    <row r="4" ht="15.75">
      <c r="A4" s="385" t="s">
        <v>575</v>
      </c>
    </row>
    <row r="5" ht="15.75">
      <c r="A5" s="385" t="s">
        <v>576</v>
      </c>
    </row>
    <row r="6" ht="15.75">
      <c r="A6" s="385" t="s">
        <v>577</v>
      </c>
    </row>
    <row r="7" ht="15.75">
      <c r="A7" s="385" t="s">
        <v>735</v>
      </c>
    </row>
    <row r="8" ht="45.75">
      <c r="A8" s="385" t="s">
        <v>578</v>
      </c>
    </row>
    <row r="9" ht="15.75">
      <c r="A9" s="385" t="s">
        <v>428</v>
      </c>
    </row>
    <row r="10" ht="15.75">
      <c r="A10" s="385" t="s">
        <v>579</v>
      </c>
    </row>
    <row r="11" ht="15.75">
      <c r="A11" s="385" t="s">
        <v>580</v>
      </c>
    </row>
    <row r="12" ht="15.75">
      <c r="A12" s="385" t="s">
        <v>581</v>
      </c>
    </row>
    <row r="13" ht="15.75">
      <c r="A13" s="385" t="s">
        <v>752</v>
      </c>
    </row>
    <row r="14" ht="15.75">
      <c r="A14" s="385" t="s">
        <v>582</v>
      </c>
    </row>
    <row r="15" ht="15.75">
      <c r="A15" s="385" t="s">
        <v>423</v>
      </c>
    </row>
    <row r="16" ht="135.75">
      <c r="A16" s="385" t="s">
        <v>583</v>
      </c>
    </row>
    <row r="17" ht="15.75">
      <c r="A17" s="385" t="s">
        <v>584</v>
      </c>
    </row>
    <row r="18" ht="15.75">
      <c r="A18" s="385" t="s">
        <v>585</v>
      </c>
    </row>
    <row r="19" ht="15.75">
      <c r="A19" s="385" t="s">
        <v>753</v>
      </c>
    </row>
    <row r="20" ht="15.75">
      <c r="A20" s="385" t="s">
        <v>586</v>
      </c>
    </row>
    <row r="21" ht="15.75">
      <c r="A21" s="385" t="s">
        <v>449</v>
      </c>
    </row>
    <row r="22" ht="30.75">
      <c r="A22" s="385" t="s">
        <v>587</v>
      </c>
    </row>
    <row r="23" ht="15.75">
      <c r="A23" s="385" t="s">
        <v>451</v>
      </c>
    </row>
    <row r="24" ht="15.75">
      <c r="A24" s="385" t="s">
        <v>452</v>
      </c>
    </row>
    <row r="25" ht="15.75">
      <c r="A25" s="385" t="s">
        <v>453</v>
      </c>
    </row>
    <row r="26" ht="15.75">
      <c r="A26" s="385" t="s">
        <v>454</v>
      </c>
    </row>
    <row r="27" ht="15.75">
      <c r="A27" s="385" t="s">
        <v>455</v>
      </c>
    </row>
    <row r="28" ht="30.75">
      <c r="A28" s="385" t="s">
        <v>588</v>
      </c>
    </row>
    <row r="29" ht="15.75">
      <c r="A29" s="385" t="s">
        <v>330</v>
      </c>
    </row>
    <row r="30" ht="15.75">
      <c r="A30" s="385" t="s">
        <v>420</v>
      </c>
    </row>
    <row r="31" ht="15.75">
      <c r="A31" s="385" t="s">
        <v>419</v>
      </c>
    </row>
    <row r="32" ht="15.75">
      <c r="A32" s="385" t="s">
        <v>418</v>
      </c>
    </row>
    <row r="33" ht="15.75">
      <c r="A33" s="385" t="s">
        <v>417</v>
      </c>
    </row>
    <row r="34" ht="15.75">
      <c r="A34" s="385" t="s">
        <v>589</v>
      </c>
    </row>
    <row r="35" ht="15.75">
      <c r="A35" s="385" t="s">
        <v>590</v>
      </c>
    </row>
    <row r="36" ht="15.75">
      <c r="A36" s="385" t="s">
        <v>591</v>
      </c>
    </row>
    <row r="37" ht="15.75">
      <c r="A37" s="385" t="s">
        <v>592</v>
      </c>
    </row>
    <row r="38" ht="15.75">
      <c r="A38" s="385" t="s">
        <v>593</v>
      </c>
    </row>
    <row r="39" ht="15.75">
      <c r="A39" s="385" t="s">
        <v>594</v>
      </c>
    </row>
    <row r="40" ht="15.75">
      <c r="A40" s="385" t="s">
        <v>595</v>
      </c>
    </row>
    <row r="41" ht="15.75">
      <c r="A41" s="385" t="s">
        <v>596</v>
      </c>
    </row>
    <row r="42" ht="15.75">
      <c r="A42" s="385" t="s">
        <v>597</v>
      </c>
    </row>
    <row r="43" ht="15.75">
      <c r="A43" s="385" t="s">
        <v>598</v>
      </c>
    </row>
    <row r="44" ht="15.75">
      <c r="A44" s="385" t="s">
        <v>599</v>
      </c>
    </row>
    <row r="45" ht="15.75">
      <c r="A45" s="385" t="s">
        <v>600</v>
      </c>
    </row>
    <row r="46" ht="45.75">
      <c r="A46" s="385" t="s">
        <v>601</v>
      </c>
    </row>
    <row r="47" ht="15.75">
      <c r="A47" s="385" t="s">
        <v>602</v>
      </c>
    </row>
    <row r="48" ht="30.75">
      <c r="A48" s="385" t="s">
        <v>603</v>
      </c>
    </row>
    <row r="49" ht="30.75">
      <c r="A49" s="385" t="s">
        <v>604</v>
      </c>
    </row>
    <row r="50" ht="30.75">
      <c r="A50" s="385" t="s">
        <v>605</v>
      </c>
    </row>
    <row r="51" ht="30.75">
      <c r="A51" s="385" t="s">
        <v>606</v>
      </c>
    </row>
    <row r="52" ht="30.75">
      <c r="A52" s="385" t="s">
        <v>607</v>
      </c>
    </row>
    <row r="53" ht="15.75">
      <c r="A53" s="385" t="s">
        <v>608</v>
      </c>
    </row>
    <row r="54" ht="45.75">
      <c r="A54" s="385" t="s">
        <v>609</v>
      </c>
    </row>
    <row r="55" ht="15.75">
      <c r="A55" s="385" t="s">
        <v>610</v>
      </c>
    </row>
    <row r="56" ht="30.75">
      <c r="A56" s="385" t="s">
        <v>611</v>
      </c>
    </row>
    <row r="57" ht="30.75">
      <c r="A57" s="385" t="s">
        <v>612</v>
      </c>
    </row>
    <row r="58" ht="30.75">
      <c r="A58" s="385" t="s">
        <v>613</v>
      </c>
    </row>
    <row r="59" ht="30.75">
      <c r="A59" s="385" t="s">
        <v>614</v>
      </c>
    </row>
    <row r="60" ht="30.75">
      <c r="A60" s="385" t="s">
        <v>615</v>
      </c>
    </row>
    <row r="61" ht="15.75">
      <c r="A61" s="385" t="s">
        <v>616</v>
      </c>
    </row>
    <row r="62" ht="45.75">
      <c r="A62" s="385" t="s">
        <v>617</v>
      </c>
    </row>
    <row r="63" ht="15.75">
      <c r="A63" s="385" t="s">
        <v>618</v>
      </c>
    </row>
    <row r="64" ht="30.75">
      <c r="A64" s="385" t="s">
        <v>619</v>
      </c>
    </row>
    <row r="65" ht="30.75">
      <c r="A65" s="385" t="s">
        <v>620</v>
      </c>
    </row>
    <row r="66" ht="30.75">
      <c r="A66" s="385" t="s">
        <v>621</v>
      </c>
    </row>
    <row r="67" ht="30.75">
      <c r="A67" s="385" t="s">
        <v>622</v>
      </c>
    </row>
    <row r="68" ht="30.75">
      <c r="A68" s="385" t="s">
        <v>623</v>
      </c>
    </row>
    <row r="69" ht="15.75">
      <c r="A69" s="385" t="s">
        <v>624</v>
      </c>
    </row>
    <row r="70" ht="45.75">
      <c r="A70" s="385" t="s">
        <v>625</v>
      </c>
    </row>
    <row r="71" ht="15.75">
      <c r="A71" s="385" t="s">
        <v>626</v>
      </c>
    </row>
    <row r="72" ht="30.75">
      <c r="A72" s="385" t="s">
        <v>627</v>
      </c>
    </row>
    <row r="73" ht="30.75">
      <c r="A73" s="385" t="s">
        <v>628</v>
      </c>
    </row>
    <row r="74" ht="30.75">
      <c r="A74" s="385" t="s">
        <v>629</v>
      </c>
    </row>
    <row r="75" ht="30.75">
      <c r="A75" s="385" t="s">
        <v>630</v>
      </c>
    </row>
    <row r="76" ht="30.75">
      <c r="A76" s="385" t="s">
        <v>631</v>
      </c>
    </row>
    <row r="77" ht="15.75">
      <c r="A77" s="385" t="s">
        <v>632</v>
      </c>
    </row>
    <row r="78" ht="45.75">
      <c r="A78" s="385" t="s">
        <v>633</v>
      </c>
    </row>
    <row r="79" ht="15.75">
      <c r="A79" s="385" t="s">
        <v>634</v>
      </c>
    </row>
    <row r="80" ht="30.75">
      <c r="A80" s="385" t="s">
        <v>635</v>
      </c>
    </row>
    <row r="81" ht="30.75">
      <c r="A81" s="385" t="s">
        <v>636</v>
      </c>
    </row>
    <row r="82" ht="30.75">
      <c r="A82" s="385" t="s">
        <v>637</v>
      </c>
    </row>
    <row r="83" ht="30.75">
      <c r="A83" s="385" t="s">
        <v>638</v>
      </c>
    </row>
    <row r="84" ht="30.75">
      <c r="A84" s="385" t="s">
        <v>639</v>
      </c>
    </row>
    <row r="85" ht="15.75">
      <c r="A85" s="385" t="s">
        <v>640</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G33" sqref="G33"/>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778</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744</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Orange</v>
      </c>
      <c r="E9" s="8"/>
      <c r="F9" s="162" t="s">
        <v>1</v>
      </c>
      <c r="G9" s="264">
        <f>IF(ISBLANK('1. Information'!D9),"",'1. Information'!D9)</f>
        <v>43823</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v>0</v>
      </c>
      <c r="H15" s="136">
        <v>0</v>
      </c>
      <c r="I15" s="136">
        <v>0</v>
      </c>
      <c r="J15" s="136">
        <v>0</v>
      </c>
      <c r="K15" s="326">
        <f>SUM(F15:J15)</f>
        <v>0</v>
      </c>
      <c r="L15" s="175"/>
      <c r="M15" s="175"/>
      <c r="U15" s="27"/>
      <c r="V15" s="27"/>
      <c r="W15" s="27"/>
    </row>
    <row r="16" spans="2:23" ht="15.75">
      <c r="B16" s="300">
        <v>2</v>
      </c>
      <c r="C16" s="162" t="s">
        <v>309</v>
      </c>
      <c r="D16" s="225"/>
      <c r="E16" s="358"/>
      <c r="F16" s="136">
        <v>0</v>
      </c>
      <c r="G16" s="136">
        <v>0</v>
      </c>
      <c r="H16" s="136">
        <v>0</v>
      </c>
      <c r="I16" s="136">
        <v>0</v>
      </c>
      <c r="J16" s="136">
        <v>0</v>
      </c>
      <c r="K16" s="326">
        <f>SUM(F16:J16)</f>
        <v>0</v>
      </c>
      <c r="L16" s="175"/>
      <c r="M16" s="175"/>
      <c r="U16" s="27"/>
      <c r="V16" s="27"/>
      <c r="W16" s="27"/>
    </row>
    <row r="17" spans="2:23" ht="15.75">
      <c r="B17" s="300">
        <v>3</v>
      </c>
      <c r="C17" s="162" t="s">
        <v>311</v>
      </c>
      <c r="D17" s="225"/>
      <c r="E17" s="358"/>
      <c r="F17" s="136">
        <v>276015.9</v>
      </c>
      <c r="G17" s="136">
        <v>0</v>
      </c>
      <c r="H17" s="136">
        <v>0</v>
      </c>
      <c r="I17" s="136">
        <v>0</v>
      </c>
      <c r="J17" s="136">
        <v>0</v>
      </c>
      <c r="K17" s="326">
        <f>SUM(F17:J17)</f>
        <v>276015.9</v>
      </c>
      <c r="L17" s="175"/>
      <c r="M17" s="175"/>
      <c r="U17" s="27"/>
      <c r="V17" s="27"/>
      <c r="W17" s="27"/>
    </row>
    <row r="18" spans="1:15" s="25" customFormat="1" ht="15.75">
      <c r="A18" s="27"/>
      <c r="B18" s="300">
        <v>4</v>
      </c>
      <c r="C18" s="163" t="s">
        <v>641</v>
      </c>
      <c r="D18" s="242"/>
      <c r="E18" s="350"/>
      <c r="F18" s="136">
        <v>0</v>
      </c>
      <c r="G18" s="275"/>
      <c r="H18" s="275"/>
      <c r="I18" s="275"/>
      <c r="J18" s="275"/>
      <c r="K18" s="241">
        <f>F18</f>
        <v>0</v>
      </c>
      <c r="L18" s="175"/>
      <c r="M18" s="175"/>
      <c r="N18" s="27"/>
      <c r="O18" s="27"/>
    </row>
    <row r="19" spans="1:15" s="25" customFormat="1" ht="15.75">
      <c r="A19" s="27"/>
      <c r="B19" s="300">
        <v>5</v>
      </c>
      <c r="C19" s="163" t="s">
        <v>642</v>
      </c>
      <c r="D19" s="242"/>
      <c r="E19" s="350"/>
      <c r="F19" s="136">
        <v>0</v>
      </c>
      <c r="G19" s="275"/>
      <c r="H19" s="275"/>
      <c r="I19" s="275"/>
      <c r="J19" s="275"/>
      <c r="K19" s="241">
        <f>F19</f>
        <v>0</v>
      </c>
      <c r="L19" s="175"/>
      <c r="M19" s="175"/>
      <c r="N19" s="27"/>
      <c r="O19" s="27"/>
    </row>
    <row r="20" spans="2:23" ht="15.75">
      <c r="B20" s="300">
        <v>6</v>
      </c>
      <c r="C20" s="162" t="s">
        <v>310</v>
      </c>
      <c r="D20" s="225"/>
      <c r="E20" s="240"/>
      <c r="F20" s="351">
        <f>SUM(G27:G46)</f>
        <v>16398845.459999999</v>
      </c>
      <c r="G20" s="351">
        <f>SUM(H27:H46)</f>
        <v>0</v>
      </c>
      <c r="H20" s="330">
        <f>SUM(I27:I46)</f>
        <v>0</v>
      </c>
      <c r="I20" s="330">
        <f>SUM(J27:J46)</f>
        <v>0</v>
      </c>
      <c r="J20" s="275">
        <f>SUM(K27:K46)</f>
        <v>569.53</v>
      </c>
      <c r="K20" s="326">
        <f>SUM(F20:J20)</f>
        <v>16399414.989999998</v>
      </c>
      <c r="L20" s="175"/>
      <c r="M20" s="175"/>
      <c r="U20" s="27"/>
      <c r="V20" s="27"/>
      <c r="W20" s="27"/>
    </row>
    <row r="21" spans="2:23" ht="30.75" customHeight="1">
      <c r="B21" s="300">
        <v>7</v>
      </c>
      <c r="C21" s="359" t="s">
        <v>767</v>
      </c>
      <c r="D21" s="360"/>
      <c r="E21" s="361"/>
      <c r="F21" s="279">
        <f>SUM(F15:F17,F19:F20)</f>
        <v>16674861.36</v>
      </c>
      <c r="G21" s="251">
        <f>SUM(G15:G17,G20)</f>
        <v>0</v>
      </c>
      <c r="H21" s="251">
        <f>SUM(H15:H17,H20)</f>
        <v>0</v>
      </c>
      <c r="I21" s="251">
        <f>SUM(I15:I17,I20)</f>
        <v>0</v>
      </c>
      <c r="J21" s="251">
        <f>SUM(J15:J17,J20)</f>
        <v>569.53</v>
      </c>
      <c r="K21" s="250">
        <f>SUM(F21:J21)</f>
        <v>16675430.889999999</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30</v>
      </c>
      <c r="D27" s="144" t="s">
        <v>847</v>
      </c>
      <c r="E27" s="144"/>
      <c r="F27" s="127" t="s">
        <v>154</v>
      </c>
      <c r="G27" s="126">
        <v>9359007.94</v>
      </c>
      <c r="H27" s="126">
        <v>0</v>
      </c>
      <c r="I27" s="126">
        <v>0</v>
      </c>
      <c r="J27" s="129">
        <v>0</v>
      </c>
      <c r="K27" s="126">
        <v>0</v>
      </c>
      <c r="L27" s="364">
        <f>SUM(G27:K27)</f>
        <v>9359007.94</v>
      </c>
      <c r="M27" s="175"/>
      <c r="U27" s="27"/>
      <c r="V27" s="27"/>
      <c r="W27" s="27"/>
    </row>
    <row r="28" spans="2:23" ht="15.75">
      <c r="B28" s="300">
        <v>9</v>
      </c>
      <c r="C28" s="301">
        <f t="shared" si="0"/>
        <v>30</v>
      </c>
      <c r="D28" s="144" t="s">
        <v>848</v>
      </c>
      <c r="E28" s="144"/>
      <c r="F28" s="127" t="s">
        <v>154</v>
      </c>
      <c r="G28" s="126">
        <v>200000</v>
      </c>
      <c r="H28" s="126">
        <v>0</v>
      </c>
      <c r="I28" s="126">
        <v>0</v>
      </c>
      <c r="J28" s="129">
        <v>0</v>
      </c>
      <c r="K28" s="126">
        <v>0</v>
      </c>
      <c r="L28" s="364">
        <f aca="true" t="shared" si="1" ref="L28:L46">SUM(G28:K28)</f>
        <v>200000</v>
      </c>
      <c r="M28" s="175"/>
      <c r="U28" s="27"/>
      <c r="V28" s="27"/>
      <c r="W28" s="27"/>
    </row>
    <row r="29" spans="2:23" ht="15.75">
      <c r="B29" s="300">
        <v>10</v>
      </c>
      <c r="C29" s="301">
        <f t="shared" si="0"/>
        <v>30</v>
      </c>
      <c r="D29" s="144" t="s">
        <v>846</v>
      </c>
      <c r="E29" s="144" t="s">
        <v>825</v>
      </c>
      <c r="F29" s="127" t="s">
        <v>155</v>
      </c>
      <c r="G29" s="126">
        <v>6839837.52</v>
      </c>
      <c r="H29" s="126">
        <v>0</v>
      </c>
      <c r="I29" s="126">
        <v>0</v>
      </c>
      <c r="J29" s="129">
        <v>0</v>
      </c>
      <c r="K29" s="126">
        <v>569.53</v>
      </c>
      <c r="L29" s="364">
        <f t="shared" si="1"/>
        <v>6840407.05</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CFTN_Project_Type</formula1>
    </dataValidation>
    <dataValidation allowBlank="1" showInputMessage="1" showErrorMessage="1" prompt="Type in Prior Program Name. " sqref="E27:E46"/>
    <dataValidation allowBlank="1" showInputMessage="1" showErrorMessage="1" prompt="Type in Program Name. " sqref="D27:D46"/>
  </dataValidations>
  <printOptions horizontalCentered="1"/>
  <pageMargins left="0.25" right="0.25" top="0.75" bottom="0.75" header="0.3" footer="0.3"/>
  <pageSetup fitToHeight="0" fitToWidth="0" horizontalDpi="600" verticalDpi="600" orientation="landscape" paperSize="5" scale="60" r:id="rId1"/>
  <headerFooter>
    <oddFooter>&amp;C&amp;"Arial,Regular"&amp;12Page &amp;P of &amp;N</oddFooter>
  </headerFooter>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49">
      <selection activeCell="A55" sqref="A55"/>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772</v>
      </c>
    </row>
    <row r="2" ht="15.75">
      <c r="A2" s="385" t="s">
        <v>313</v>
      </c>
    </row>
    <row r="3" ht="15.75">
      <c r="A3" s="385" t="s">
        <v>312</v>
      </c>
    </row>
    <row r="4" ht="15.75">
      <c r="A4" s="385" t="s">
        <v>643</v>
      </c>
    </row>
    <row r="5" ht="15.75">
      <c r="A5" s="385" t="s">
        <v>644</v>
      </c>
    </row>
    <row r="6" ht="15.75">
      <c r="A6" s="385" t="s">
        <v>645</v>
      </c>
    </row>
    <row r="7" ht="15.75">
      <c r="A7" s="385" t="s">
        <v>737</v>
      </c>
    </row>
    <row r="8" ht="45.75">
      <c r="A8" s="385" t="s">
        <v>646</v>
      </c>
    </row>
    <row r="9" ht="15.75">
      <c r="A9" s="385" t="s">
        <v>428</v>
      </c>
    </row>
    <row r="10" ht="15.75">
      <c r="A10" s="385" t="s">
        <v>647</v>
      </c>
    </row>
    <row r="11" ht="15.75">
      <c r="A11" s="385" t="s">
        <v>648</v>
      </c>
    </row>
    <row r="12" ht="15.75">
      <c r="A12" s="385" t="s">
        <v>649</v>
      </c>
    </row>
    <row r="13" ht="15.75">
      <c r="A13" s="385" t="s">
        <v>754</v>
      </c>
    </row>
    <row r="14" ht="15.75">
      <c r="A14" s="385" t="s">
        <v>650</v>
      </c>
    </row>
    <row r="15" ht="15.75">
      <c r="A15" s="385" t="s">
        <v>423</v>
      </c>
    </row>
    <row r="16" ht="135.75">
      <c r="A16" s="385" t="s">
        <v>651</v>
      </c>
    </row>
    <row r="17" ht="15.75">
      <c r="A17" s="385" t="s">
        <v>652</v>
      </c>
    </row>
    <row r="18" ht="15.75">
      <c r="A18" s="385" t="s">
        <v>653</v>
      </c>
    </row>
    <row r="19" ht="15.75">
      <c r="A19" s="385" t="s">
        <v>755</v>
      </c>
    </row>
    <row r="20" ht="15.75">
      <c r="A20" s="385" t="s">
        <v>654</v>
      </c>
    </row>
    <row r="21" ht="15.75">
      <c r="A21" s="385" t="s">
        <v>449</v>
      </c>
    </row>
    <row r="22" ht="30.75">
      <c r="A22" s="385" t="s">
        <v>655</v>
      </c>
    </row>
    <row r="23" ht="15.75">
      <c r="A23" s="385" t="s">
        <v>451</v>
      </c>
    </row>
    <row r="24" ht="15.75">
      <c r="A24" s="385" t="s">
        <v>452</v>
      </c>
    </row>
    <row r="25" ht="15.75">
      <c r="A25" s="385" t="s">
        <v>453</v>
      </c>
    </row>
    <row r="26" ht="15.75">
      <c r="A26" s="385" t="s">
        <v>454</v>
      </c>
    </row>
    <row r="27" ht="15.75">
      <c r="A27" s="385" t="s">
        <v>455</v>
      </c>
    </row>
    <row r="28" ht="30.75">
      <c r="A28" s="385" t="s">
        <v>656</v>
      </c>
    </row>
    <row r="29" ht="15.75">
      <c r="A29" s="385" t="s">
        <v>330</v>
      </c>
    </row>
    <row r="30" ht="15.75">
      <c r="A30" s="385" t="s">
        <v>420</v>
      </c>
    </row>
    <row r="31" ht="15.75">
      <c r="A31" s="385" t="s">
        <v>419</v>
      </c>
    </row>
    <row r="32" ht="15.75">
      <c r="A32" s="385" t="s">
        <v>418</v>
      </c>
    </row>
    <row r="33" ht="15.75">
      <c r="A33" s="385" t="s">
        <v>417</v>
      </c>
    </row>
    <row r="34" ht="15.75">
      <c r="A34" s="385" t="s">
        <v>657</v>
      </c>
    </row>
    <row r="35" ht="15.75">
      <c r="A35" s="385" t="s">
        <v>658</v>
      </c>
    </row>
    <row r="36" ht="15.75">
      <c r="A36" s="385" t="s">
        <v>659</v>
      </c>
    </row>
    <row r="37" ht="15.75">
      <c r="A37" s="385" t="s">
        <v>660</v>
      </c>
    </row>
    <row r="38" ht="15.75">
      <c r="A38" s="385" t="s">
        <v>661</v>
      </c>
    </row>
    <row r="39" ht="15.75">
      <c r="A39" s="385" t="s">
        <v>594</v>
      </c>
    </row>
    <row r="40" ht="15.75">
      <c r="A40" s="385" t="s">
        <v>595</v>
      </c>
    </row>
    <row r="41" ht="15.75">
      <c r="A41" s="385" t="s">
        <v>596</v>
      </c>
    </row>
    <row r="42" ht="15.75">
      <c r="A42" s="385" t="s">
        <v>597</v>
      </c>
    </row>
    <row r="43" ht="15.75">
      <c r="A43" s="385" t="s">
        <v>598</v>
      </c>
    </row>
    <row r="44" ht="15.75">
      <c r="A44" s="385" t="s">
        <v>599</v>
      </c>
    </row>
    <row r="45" ht="15.75">
      <c r="A45" s="385" t="s">
        <v>600</v>
      </c>
    </row>
    <row r="46" ht="45.75">
      <c r="A46" s="385" t="s">
        <v>662</v>
      </c>
    </row>
    <row r="47" ht="61.5" customHeight="1">
      <c r="A47" s="385" t="s">
        <v>663</v>
      </c>
    </row>
    <row r="48" ht="78" customHeight="1">
      <c r="A48" s="385" t="s">
        <v>664</v>
      </c>
    </row>
    <row r="49" ht="15">
      <c r="A49" s="401" t="s">
        <v>665</v>
      </c>
    </row>
    <row r="50" ht="30.75">
      <c r="A50" s="385" t="s">
        <v>666</v>
      </c>
    </row>
    <row r="51" ht="30.75">
      <c r="A51" s="385" t="s">
        <v>667</v>
      </c>
    </row>
    <row r="52" ht="30.75">
      <c r="A52" s="385" t="s">
        <v>668</v>
      </c>
    </row>
    <row r="53" ht="30.75">
      <c r="A53" s="385" t="s">
        <v>669</v>
      </c>
    </row>
    <row r="54" ht="30.75">
      <c r="A54" s="385" t="s">
        <v>670</v>
      </c>
    </row>
    <row r="55" ht="15.75">
      <c r="A55" s="385" t="s">
        <v>671</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16" sqref="D16"/>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779</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745</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Orange</v>
      </c>
      <c r="E9" s="2"/>
      <c r="F9" s="365" t="s">
        <v>156</v>
      </c>
      <c r="G9" s="264">
        <f>IF(ISBLANK('1. Information'!D9),"",'1. Information'!D9)</f>
        <v>43823</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672</v>
      </c>
      <c r="E14" s="296" t="s">
        <v>673</v>
      </c>
      <c r="F14" s="296" t="s">
        <v>300</v>
      </c>
      <c r="G14" s="296" t="s">
        <v>104</v>
      </c>
      <c r="H14" s="296" t="s">
        <v>105</v>
      </c>
    </row>
    <row r="15" spans="2:8" ht="90">
      <c r="B15" s="300">
        <v>1</v>
      </c>
      <c r="C15" s="301">
        <f aca="true" t="shared" si="0" ref="C15:C44">IF(G15&lt;&gt;0,VLOOKUP($D$9,Info_County_Code,2,FALSE),"")</f>
        <v>30</v>
      </c>
      <c r="D15" s="40" t="s">
        <v>29</v>
      </c>
      <c r="E15" s="40" t="s">
        <v>808</v>
      </c>
      <c r="F15" s="150" t="s">
        <v>809</v>
      </c>
      <c r="G15" s="132">
        <v>866597</v>
      </c>
      <c r="H15" s="134" t="s">
        <v>810</v>
      </c>
    </row>
    <row r="16" spans="2:8" ht="30">
      <c r="B16" s="300">
        <v>2</v>
      </c>
      <c r="C16" s="301">
        <f t="shared" si="0"/>
        <v>30</v>
      </c>
      <c r="D16" s="40" t="s">
        <v>30</v>
      </c>
      <c r="E16" s="40" t="s">
        <v>808</v>
      </c>
      <c r="F16" s="150" t="s">
        <v>809</v>
      </c>
      <c r="G16" s="132">
        <v>201031</v>
      </c>
      <c r="H16" s="134" t="s">
        <v>811</v>
      </c>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672</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horizontalCentered="1"/>
  <pageMargins left="0.25" right="0.25" top="0.75" bottom="0.75" header="0.3" footer="0.3"/>
  <pageSetup horizontalDpi="600" verticalDpi="600" orientation="landscape" paperSize="5" scale="60" r:id="rId1"/>
  <headerFooter>
    <oddFooter>&amp;C&amp;"Arial,Regular"&amp;12Page &amp;P of &amp;N</oddFooter>
  </headerFooter>
  <rowBreaks count="1" manualBreakCount="1">
    <brk id="45" max="255"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13" sqref="A13"/>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772</v>
      </c>
    </row>
    <row r="2" ht="15.75">
      <c r="A2" s="385" t="s">
        <v>313</v>
      </c>
    </row>
    <row r="3" ht="15.75">
      <c r="A3" s="385" t="s">
        <v>312</v>
      </c>
    </row>
    <row r="4" ht="45.75">
      <c r="A4" s="385" t="s">
        <v>675</v>
      </c>
    </row>
    <row r="5" ht="30.75">
      <c r="A5" s="385" t="s">
        <v>676</v>
      </c>
    </row>
    <row r="6" ht="15.75">
      <c r="A6" s="385" t="s">
        <v>677</v>
      </c>
    </row>
    <row r="7" ht="15.75">
      <c r="A7" s="385" t="s">
        <v>678</v>
      </c>
    </row>
    <row r="8" ht="30.75">
      <c r="A8" s="385" t="s">
        <v>679</v>
      </c>
    </row>
    <row r="9" ht="15.75">
      <c r="A9" s="385" t="s">
        <v>680</v>
      </c>
    </row>
    <row r="10" ht="15.75">
      <c r="A10" s="385" t="s">
        <v>681</v>
      </c>
    </row>
    <row r="11" ht="15.75">
      <c r="A11" s="385" t="s">
        <v>682</v>
      </c>
    </row>
    <row r="12" ht="30.75">
      <c r="A12" s="385" t="s">
        <v>683</v>
      </c>
    </row>
    <row r="13" ht="15.75">
      <c r="A13" s="385" t="s">
        <v>684</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779</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746</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Orange</v>
      </c>
      <c r="F9" s="226" t="s">
        <v>1</v>
      </c>
      <c r="G9" s="346">
        <f>IF(ISBLANK('1. Information'!D9),"",'1. Information'!D9)</f>
        <v>43823</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672</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772</v>
      </c>
    </row>
    <row r="2" ht="15.75">
      <c r="A2" s="385" t="s">
        <v>313</v>
      </c>
    </row>
    <row r="3" ht="15.75">
      <c r="A3" s="385" t="s">
        <v>312</v>
      </c>
    </row>
    <row r="4" ht="45.75">
      <c r="A4" s="385" t="s">
        <v>685</v>
      </c>
    </row>
    <row r="5" ht="30.75">
      <c r="A5" s="385" t="s">
        <v>686</v>
      </c>
    </row>
    <row r="6" ht="90.75">
      <c r="A6" s="385" t="s">
        <v>687</v>
      </c>
    </row>
    <row r="7" ht="30.75">
      <c r="A7" s="385" t="s">
        <v>688</v>
      </c>
    </row>
    <row r="8" ht="30.75">
      <c r="A8" s="385" t="s">
        <v>689</v>
      </c>
    </row>
    <row r="9" ht="30.75">
      <c r="A9" s="385" t="s">
        <v>690</v>
      </c>
    </row>
    <row r="10" ht="15.75">
      <c r="A10" s="385" t="s">
        <v>768</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769</v>
      </c>
      <c r="B1" s="378" t="s">
        <v>277</v>
      </c>
      <c r="C1" s="27"/>
      <c r="D1" s="27"/>
      <c r="E1" s="387" t="s">
        <v>275</v>
      </c>
    </row>
    <row r="2" spans="2:5" ht="15.75" thickBot="1">
      <c r="B2" s="379" t="s">
        <v>276</v>
      </c>
      <c r="C2" s="200"/>
      <c r="D2" s="200"/>
      <c r="E2" s="201"/>
    </row>
    <row r="3" spans="2:5" ht="15">
      <c r="B3" s="122"/>
      <c r="E3" s="171"/>
    </row>
    <row r="4" spans="2:4" ht="15.75">
      <c r="B4" s="381" t="s">
        <v>738</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43823</v>
      </c>
    </row>
    <row r="10" spans="2:4" ht="34.5" customHeight="1">
      <c r="B10" s="203">
        <v>2</v>
      </c>
      <c r="C10" s="205" t="s">
        <v>303</v>
      </c>
      <c r="D10" s="151" t="s">
        <v>781</v>
      </c>
    </row>
    <row r="11" spans="2:4" ht="34.5" customHeight="1">
      <c r="B11" s="203">
        <v>3</v>
      </c>
      <c r="C11" s="204" t="s">
        <v>0</v>
      </c>
      <c r="D11" s="135" t="s">
        <v>65</v>
      </c>
    </row>
    <row r="12" spans="2:4" ht="34.5" customHeight="1">
      <c r="B12" s="203">
        <v>4</v>
      </c>
      <c r="C12" s="206" t="s">
        <v>113</v>
      </c>
      <c r="D12" s="182">
        <f>IF(ISBLANK(D11),"",VLOOKUP(D11,Info_County_Code,2))</f>
        <v>30</v>
      </c>
    </row>
    <row r="13" spans="2:4" ht="34.5" customHeight="1">
      <c r="B13" s="203">
        <v>5</v>
      </c>
      <c r="C13" s="204" t="s">
        <v>114</v>
      </c>
      <c r="D13" s="412" t="s">
        <v>782</v>
      </c>
    </row>
    <row r="14" spans="2:4" ht="34.5" customHeight="1">
      <c r="B14" s="203">
        <v>6</v>
      </c>
      <c r="C14" s="204" t="s">
        <v>115</v>
      </c>
      <c r="D14" s="135" t="s">
        <v>783</v>
      </c>
    </row>
    <row r="15" spans="2:4" ht="34.5" customHeight="1">
      <c r="B15" s="203">
        <v>7</v>
      </c>
      <c r="C15" s="204" t="s">
        <v>116</v>
      </c>
      <c r="D15" s="172">
        <v>92701</v>
      </c>
    </row>
    <row r="16" spans="2:4" ht="34.5" customHeight="1">
      <c r="B16" s="203">
        <v>8</v>
      </c>
      <c r="C16" s="207" t="s">
        <v>162</v>
      </c>
      <c r="D16" s="183" t="str">
        <f>IF(ISBLANK(D11),"",VLOOKUP(D11,County_Population,5,FALSE))</f>
        <v>Yes</v>
      </c>
    </row>
    <row r="17" spans="2:4" ht="34.5" customHeight="1">
      <c r="B17" s="203">
        <v>9</v>
      </c>
      <c r="C17" s="204" t="s">
        <v>112</v>
      </c>
      <c r="D17" s="135" t="s">
        <v>784</v>
      </c>
    </row>
    <row r="18" spans="2:4" ht="34.5" customHeight="1">
      <c r="B18" s="203">
        <v>10</v>
      </c>
      <c r="C18" s="208" t="s">
        <v>167</v>
      </c>
      <c r="D18" s="413" t="s">
        <v>865</v>
      </c>
    </row>
    <row r="19" spans="2:4" ht="34.5" customHeight="1">
      <c r="B19" s="203">
        <v>11</v>
      </c>
      <c r="C19" s="208" t="s">
        <v>184</v>
      </c>
      <c r="D19" s="413" t="s">
        <v>785</v>
      </c>
    </row>
    <row r="20" spans="2:4" ht="34.5" customHeight="1">
      <c r="B20" s="203">
        <v>12</v>
      </c>
      <c r="C20" s="209" t="s">
        <v>280</v>
      </c>
      <c r="D20" s="414" t="s">
        <v>786</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horizontalCentered="1"/>
  <pageMargins left="0.25" right="0.25" top="0.75" bottom="0.75" header="0.3" footer="0.3"/>
  <pageSetup horizontalDpi="600" verticalDpi="600" orientation="landscape" paperSize="5" scale="60"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780</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747</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Orange</v>
      </c>
      <c r="F9" s="226" t="s">
        <v>1</v>
      </c>
      <c r="G9" s="346">
        <f>IF(ISBLANK('1. Information'!D9),"",'1. Information'!D9)</f>
        <v>43823</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672</v>
      </c>
      <c r="D12" s="365" t="s">
        <v>696</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772</v>
      </c>
    </row>
    <row r="2" ht="15.75">
      <c r="A2" s="385" t="s">
        <v>313</v>
      </c>
    </row>
    <row r="3" ht="15.75">
      <c r="A3" s="385" t="s">
        <v>312</v>
      </c>
    </row>
    <row r="4" ht="15.75">
      <c r="A4" s="385" t="s">
        <v>691</v>
      </c>
    </row>
    <row r="5" ht="15.75">
      <c r="A5" s="385" t="s">
        <v>692</v>
      </c>
    </row>
    <row r="6" ht="15.75">
      <c r="A6" s="385" t="s">
        <v>693</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Orange</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D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8" t="s">
        <v>148</v>
      </c>
      <c r="B1" s="419"/>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1" t="s">
        <v>171</v>
      </c>
      <c r="B2" s="421"/>
      <c r="C2" s="421"/>
      <c r="D2" s="421"/>
      <c r="E2" s="421"/>
    </row>
    <row r="3" spans="1:5" ht="14.25" customHeight="1">
      <c r="A3" s="421" t="s">
        <v>235</v>
      </c>
      <c r="B3" s="421"/>
      <c r="C3" s="421"/>
      <c r="D3" s="421"/>
      <c r="E3" s="421"/>
    </row>
    <row r="4" spans="1:4" ht="14.25" customHeight="1" thickBot="1">
      <c r="A4" s="57"/>
      <c r="B4" s="58"/>
      <c r="C4" s="59"/>
      <c r="D4" s="60"/>
    </row>
    <row r="5" spans="1:5" ht="14.25" customHeight="1">
      <c r="A5" s="61" t="s">
        <v>172</v>
      </c>
      <c r="B5" s="420" t="s">
        <v>173</v>
      </c>
      <c r="C5" s="420"/>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770</v>
      </c>
    </row>
    <row r="2" ht="18" customHeight="1">
      <c r="A2" s="385" t="s">
        <v>697</v>
      </c>
    </row>
    <row r="3" ht="15.75">
      <c r="A3" s="385" t="s">
        <v>698</v>
      </c>
    </row>
    <row r="4" ht="30.75">
      <c r="A4" s="385" t="s">
        <v>699</v>
      </c>
    </row>
    <row r="5" ht="30.75">
      <c r="A5" s="386" t="s">
        <v>700</v>
      </c>
    </row>
    <row r="6" ht="30.75">
      <c r="A6" s="386" t="s">
        <v>701</v>
      </c>
    </row>
    <row r="7" ht="30.75" customHeight="1">
      <c r="A7" s="386" t="s">
        <v>702</v>
      </c>
    </row>
    <row r="8" ht="30.75">
      <c r="A8" s="386" t="s">
        <v>703</v>
      </c>
    </row>
    <row r="9" ht="45.75">
      <c r="A9" s="386" t="s">
        <v>704</v>
      </c>
    </row>
    <row r="10" ht="15.75">
      <c r="A10" s="386" t="s">
        <v>705</v>
      </c>
    </row>
    <row r="11" ht="15.75">
      <c r="A11" s="386" t="s">
        <v>706</v>
      </c>
    </row>
    <row r="12" ht="30.75">
      <c r="A12" s="386" t="s">
        <v>707</v>
      </c>
    </row>
    <row r="13" ht="30.75">
      <c r="A13" s="386" t="s">
        <v>708</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A7">
      <selection activeCell="D46" sqref="D46"/>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771</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739</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Orange</v>
      </c>
      <c r="F9" s="210" t="s">
        <v>1</v>
      </c>
      <c r="G9" s="185">
        <f>IF(ISBLANK('1. Information'!D9),"",'1. Information'!D9)</f>
        <v>43823</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3868981.0800000005</v>
      </c>
      <c r="E14" s="149">
        <v>967249.3099999999</v>
      </c>
      <c r="F14" s="149">
        <v>254539.25</v>
      </c>
      <c r="G14" s="149">
        <v>0</v>
      </c>
      <c r="H14" s="149">
        <v>0</v>
      </c>
      <c r="I14" s="186">
        <f>SUM(D14:H14)</f>
        <v>5090769.640000001</v>
      </c>
    </row>
    <row r="15" spans="2:9" ht="15">
      <c r="B15" s="218">
        <v>2</v>
      </c>
      <c r="C15" s="219" t="s">
        <v>278</v>
      </c>
      <c r="D15" s="164">
        <v>0</v>
      </c>
      <c r="E15" s="164">
        <v>0</v>
      </c>
      <c r="F15" s="164">
        <v>0</v>
      </c>
      <c r="G15" s="164">
        <v>0</v>
      </c>
      <c r="H15" s="164">
        <v>0</v>
      </c>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59578548</v>
      </c>
      <c r="G19" s="122"/>
      <c r="H19" s="122"/>
      <c r="I19" s="122"/>
    </row>
    <row r="20" spans="2:9" ht="15">
      <c r="B20" s="216">
        <v>4</v>
      </c>
      <c r="C20" s="220" t="s">
        <v>22</v>
      </c>
      <c r="D20" s="149">
        <v>0</v>
      </c>
      <c r="E20" s="149">
        <v>0</v>
      </c>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59578548</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-26234015</v>
      </c>
      <c r="E27" s="188">
        <f>'3. CSS'!F21</f>
        <v>0</v>
      </c>
      <c r="F27" s="186">
        <f>'3. CSS'!F22</f>
        <v>5085282</v>
      </c>
      <c r="G27" s="194">
        <f>'3. CSS'!F23</f>
        <v>21148733</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136189810</v>
      </c>
      <c r="E31" s="194">
        <f>'4. PEI'!F22</f>
        <v>34097211.08</v>
      </c>
      <c r="F31" s="194">
        <f>'5. INN'!F23</f>
        <v>8034644.88</v>
      </c>
      <c r="G31" s="194">
        <f>'6. WET'!F21</f>
        <v>4290542.4799999995</v>
      </c>
      <c r="H31" s="194">
        <f>'7. CFTN'!F21</f>
        <v>16674861.36</v>
      </c>
      <c r="I31" s="194">
        <f>SUM(D31:H31)</f>
        <v>199287069.79999995</v>
      </c>
    </row>
    <row r="32" spans="2:9" ht="15">
      <c r="B32" s="211">
        <v>10</v>
      </c>
      <c r="C32" s="223" t="s">
        <v>4</v>
      </c>
      <c r="D32" s="189">
        <f>'3. CSS'!G27</f>
        <v>22868420.899999995</v>
      </c>
      <c r="E32" s="189">
        <f>'4. PEI'!G22</f>
        <v>0</v>
      </c>
      <c r="F32" s="189">
        <f>'5. INN'!G23</f>
        <v>0</v>
      </c>
      <c r="G32" s="189">
        <f>'6. WET'!G21</f>
        <v>0</v>
      </c>
      <c r="H32" s="189">
        <f>'7. CFTN'!G21</f>
        <v>0</v>
      </c>
      <c r="I32" s="194">
        <f>SUM(D32:H32)</f>
        <v>22868420.899999995</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180735.61000000002</v>
      </c>
      <c r="E34" s="189">
        <f>'4. PEI'!I22</f>
        <v>-1.39</v>
      </c>
      <c r="F34" s="189">
        <f>'5. INN'!I23</f>
        <v>0</v>
      </c>
      <c r="G34" s="189">
        <f>'6. WET'!I21</f>
        <v>0</v>
      </c>
      <c r="H34" s="189">
        <f>'7. CFTN'!I21</f>
        <v>0</v>
      </c>
      <c r="I34" s="194">
        <f>SUM(D34:H34)</f>
        <v>180734.22</v>
      </c>
    </row>
    <row r="35" spans="2:9" ht="15">
      <c r="B35" s="211">
        <v>13</v>
      </c>
      <c r="C35" s="223" t="s">
        <v>12</v>
      </c>
      <c r="D35" s="189">
        <f>'3. CSS'!J27</f>
        <v>1844815.4700000002</v>
      </c>
      <c r="E35" s="189">
        <f>'4. PEI'!J22</f>
        <v>35750.89</v>
      </c>
      <c r="F35" s="189">
        <f>'5. INN'!J23</f>
        <v>21929</v>
      </c>
      <c r="G35" s="189">
        <f>'6. WET'!J21</f>
        <v>683.11</v>
      </c>
      <c r="H35" s="189">
        <f>'7. CFTN'!J21</f>
        <v>569.53</v>
      </c>
      <c r="I35" s="194">
        <f>SUM(D35:H35)</f>
        <v>1903748.0000000002</v>
      </c>
    </row>
    <row r="36" spans="2:9" ht="15.75">
      <c r="B36" s="211">
        <v>14</v>
      </c>
      <c r="C36" s="224" t="s">
        <v>21</v>
      </c>
      <c r="D36" s="195">
        <f>SUM(D31:D35)</f>
        <v>161083781.98000002</v>
      </c>
      <c r="E36" s="195">
        <f>SUM(E31:E35)</f>
        <v>34132960.58</v>
      </c>
      <c r="F36" s="195">
        <f>SUM(F31:F35)</f>
        <v>8056573.88</v>
      </c>
      <c r="G36" s="195">
        <f>SUM(G31:G35)</f>
        <v>4291225.59</v>
      </c>
      <c r="H36" s="195">
        <f>SUM(H31:H35)</f>
        <v>16675430.889999999</v>
      </c>
      <c r="I36" s="196">
        <f>SUM(D36:H36)</f>
        <v>224239972.92</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1416376.7799999998</v>
      </c>
      <c r="E40" s="154"/>
      <c r="F40" s="120"/>
      <c r="H40" s="120"/>
      <c r="I40" s="122"/>
    </row>
    <row r="41" spans="2:9" ht="15.75">
      <c r="B41" s="211">
        <v>16</v>
      </c>
      <c r="C41" s="162" t="s">
        <v>19</v>
      </c>
      <c r="D41" s="197">
        <f>'3. CSS'!F16+'4. PEI'!F16+'5. INN'!F20+'6. WET'!F16+'7. CFTN'!F16</f>
        <v>872840.16</v>
      </c>
      <c r="E41" s="121"/>
      <c r="F41" s="120"/>
      <c r="G41" s="120"/>
      <c r="H41" s="120"/>
      <c r="I41" s="122"/>
    </row>
    <row r="42" spans="2:9" ht="15.75">
      <c r="B42" s="211">
        <v>17</v>
      </c>
      <c r="C42" s="162" t="s">
        <v>20</v>
      </c>
      <c r="D42" s="198">
        <f>'3. CSS'!F17+'4. PEI'!F17+'5. INN'!F16+'5. INN'!F19+'6. WET'!F17+'7. CFTN'!F17</f>
        <v>21876013.729999997</v>
      </c>
      <c r="E42" s="121"/>
      <c r="F42" s="120"/>
      <c r="G42" s="120"/>
      <c r="H42" s="120"/>
      <c r="I42" s="122"/>
    </row>
    <row r="43" spans="2:4" ht="15.75">
      <c r="B43" s="211">
        <v>18</v>
      </c>
      <c r="C43" s="225" t="s">
        <v>243</v>
      </c>
      <c r="D43" s="149">
        <v>0</v>
      </c>
    </row>
    <row r="44" spans="2:4" ht="15.75">
      <c r="B44" s="211">
        <v>19</v>
      </c>
      <c r="C44" s="162" t="s">
        <v>244</v>
      </c>
      <c r="D44" s="199">
        <f>'4. PEI'!F18</f>
        <v>0</v>
      </c>
    </row>
    <row r="45" spans="2:4" ht="15.75">
      <c r="B45" s="211">
        <v>20</v>
      </c>
      <c r="C45" s="225" t="s">
        <v>245</v>
      </c>
      <c r="D45" s="149">
        <v>25000007.32</v>
      </c>
    </row>
    <row r="46" spans="2:5" ht="15.75">
      <c r="B46" s="211">
        <v>21</v>
      </c>
      <c r="C46" s="162" t="s">
        <v>249</v>
      </c>
      <c r="D46" s="149">
        <v>4153879.49</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horizontalCentered="1"/>
  <pageMargins left="0.25" right="0.25" top="0.75" bottom="0.75" header="0.3" footer="0.3"/>
  <pageSetup fitToHeight="1" fitToWidth="1" horizontalDpi="600" verticalDpi="600" orientation="landscape" paperSize="5" scale="60"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70">
      <selection activeCell="A80" sqref="A80"/>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772</v>
      </c>
    </row>
    <row r="2" ht="15.75">
      <c r="A2" s="385" t="s">
        <v>313</v>
      </c>
    </row>
    <row r="3" ht="15.75">
      <c r="A3" s="385" t="s">
        <v>312</v>
      </c>
    </row>
    <row r="4" ht="15.75">
      <c r="A4" s="385" t="s">
        <v>787</v>
      </c>
    </row>
    <row r="5" ht="15.75">
      <c r="A5" s="386" t="s">
        <v>314</v>
      </c>
    </row>
    <row r="6" ht="15.75">
      <c r="A6" s="386" t="s">
        <v>315</v>
      </c>
    </row>
    <row r="7" ht="15.75">
      <c r="A7" s="386" t="s">
        <v>316</v>
      </c>
    </row>
    <row r="8" ht="15.75">
      <c r="A8" s="386" t="s">
        <v>317</v>
      </c>
    </row>
    <row r="9" ht="15.75">
      <c r="A9" s="386" t="s">
        <v>694</v>
      </c>
    </row>
    <row r="10" ht="60">
      <c r="A10" s="394" t="s">
        <v>318</v>
      </c>
    </row>
    <row r="11" ht="30.75">
      <c r="A11" s="386" t="s">
        <v>319</v>
      </c>
    </row>
    <row r="12" ht="30.75">
      <c r="A12" s="386" t="s">
        <v>320</v>
      </c>
    </row>
    <row r="13" ht="30.75">
      <c r="A13" s="386" t="s">
        <v>321</v>
      </c>
    </row>
    <row r="14" ht="30.75">
      <c r="A14" s="386" t="s">
        <v>322</v>
      </c>
    </row>
    <row r="15" ht="30.75">
      <c r="A15" s="386" t="s">
        <v>323</v>
      </c>
    </row>
    <row r="16" ht="15.75">
      <c r="A16" s="386" t="s">
        <v>423</v>
      </c>
    </row>
    <row r="17" ht="15.75">
      <c r="A17" s="385" t="s">
        <v>324</v>
      </c>
    </row>
    <row r="18" ht="15.75">
      <c r="A18" s="385" t="s">
        <v>325</v>
      </c>
    </row>
    <row r="19" ht="30.75">
      <c r="A19" s="385" t="s">
        <v>326</v>
      </c>
    </row>
    <row r="20" ht="15.75">
      <c r="A20" s="385" t="s">
        <v>327</v>
      </c>
    </row>
    <row r="21" ht="15.75">
      <c r="A21" s="385" t="s">
        <v>328</v>
      </c>
    </row>
    <row r="22" ht="15.75">
      <c r="A22" s="385" t="s">
        <v>727</v>
      </c>
    </row>
    <row r="23" ht="15.75">
      <c r="A23" s="385" t="s">
        <v>329</v>
      </c>
    </row>
    <row r="24" ht="15.75">
      <c r="A24" s="385" t="s">
        <v>330</v>
      </c>
    </row>
    <row r="25" ht="15.75">
      <c r="A25" s="385" t="s">
        <v>331</v>
      </c>
    </row>
    <row r="26" ht="15.75">
      <c r="A26" s="385" t="s">
        <v>332</v>
      </c>
    </row>
    <row r="27" ht="15.75">
      <c r="A27" s="385" t="s">
        <v>333</v>
      </c>
    </row>
    <row r="28" ht="15" customHeight="1">
      <c r="A28" s="385" t="s">
        <v>748</v>
      </c>
    </row>
    <row r="29" ht="15" customHeight="1">
      <c r="A29" s="385" t="s">
        <v>334</v>
      </c>
    </row>
    <row r="30" ht="15" customHeight="1">
      <c r="A30" s="385" t="s">
        <v>335</v>
      </c>
    </row>
    <row r="31" ht="30.75">
      <c r="A31" s="385" t="s">
        <v>749</v>
      </c>
    </row>
    <row r="32" ht="30.75">
      <c r="A32" s="385" t="s">
        <v>336</v>
      </c>
    </row>
    <row r="33" ht="15.75">
      <c r="A33" s="385" t="s">
        <v>337</v>
      </c>
    </row>
    <row r="34" ht="15.75">
      <c r="A34" s="385" t="s">
        <v>338</v>
      </c>
    </row>
    <row r="35" ht="15.75">
      <c r="A35" s="385" t="s">
        <v>339</v>
      </c>
    </row>
    <row r="36" ht="15.75">
      <c r="A36" s="385" t="s">
        <v>340</v>
      </c>
    </row>
    <row r="37" ht="15.75">
      <c r="A37" s="385" t="s">
        <v>341</v>
      </c>
    </row>
    <row r="38" ht="15.75">
      <c r="A38" s="385" t="s">
        <v>342</v>
      </c>
    </row>
    <row r="39" ht="15.75">
      <c r="A39" s="385" t="s">
        <v>343</v>
      </c>
    </row>
    <row r="40" ht="15.75">
      <c r="A40" s="385" t="s">
        <v>344</v>
      </c>
    </row>
    <row r="41" ht="15.75">
      <c r="A41" s="385" t="s">
        <v>345</v>
      </c>
    </row>
    <row r="42" ht="15.75">
      <c r="A42" s="385" t="s">
        <v>346</v>
      </c>
    </row>
    <row r="43" ht="15.75">
      <c r="A43" s="385" t="s">
        <v>347</v>
      </c>
    </row>
    <row r="44" ht="15.75">
      <c r="A44" s="385" t="s">
        <v>348</v>
      </c>
    </row>
    <row r="45" ht="15.75">
      <c r="A45" s="385" t="s">
        <v>349</v>
      </c>
    </row>
    <row r="46" ht="15.75">
      <c r="A46" s="385" t="s">
        <v>350</v>
      </c>
    </row>
    <row r="47" ht="15.75">
      <c r="A47" s="385" t="s">
        <v>351</v>
      </c>
    </row>
    <row r="48" ht="15.75">
      <c r="A48" s="385" t="s">
        <v>352</v>
      </c>
    </row>
    <row r="49" ht="15.75">
      <c r="A49" s="385" t="s">
        <v>353</v>
      </c>
    </row>
    <row r="50" ht="15.75">
      <c r="A50" s="385" t="s">
        <v>354</v>
      </c>
    </row>
    <row r="51" ht="15.75">
      <c r="A51" s="385" t="s">
        <v>355</v>
      </c>
    </row>
    <row r="52" ht="15.75">
      <c r="A52" s="385" t="s">
        <v>356</v>
      </c>
    </row>
    <row r="53" ht="15.75">
      <c r="A53" s="385" t="s">
        <v>357</v>
      </c>
    </row>
    <row r="54" ht="15.75">
      <c r="A54" s="385" t="s">
        <v>358</v>
      </c>
    </row>
    <row r="55" ht="15.75">
      <c r="A55" s="385" t="s">
        <v>359</v>
      </c>
    </row>
    <row r="56" ht="15.75">
      <c r="A56" s="385" t="s">
        <v>360</v>
      </c>
    </row>
    <row r="57" ht="15.75">
      <c r="A57" s="385" t="s">
        <v>361</v>
      </c>
    </row>
    <row r="58" ht="15.75">
      <c r="A58" s="385" t="s">
        <v>362</v>
      </c>
    </row>
    <row r="59" ht="15.75">
      <c r="A59" s="385" t="s">
        <v>363</v>
      </c>
    </row>
    <row r="60" ht="15.75">
      <c r="A60" s="385" t="s">
        <v>364</v>
      </c>
    </row>
    <row r="61" ht="15.75">
      <c r="A61" s="385" t="s">
        <v>365</v>
      </c>
    </row>
    <row r="62" ht="15.75">
      <c r="A62" s="385" t="s">
        <v>366</v>
      </c>
    </row>
    <row r="63" ht="15.75">
      <c r="A63" s="385" t="s">
        <v>367</v>
      </c>
    </row>
    <row r="64" ht="15.75">
      <c r="A64" s="385" t="s">
        <v>368</v>
      </c>
    </row>
    <row r="65" ht="15.75">
      <c r="A65" s="385" t="s">
        <v>369</v>
      </c>
    </row>
    <row r="66" ht="15.75">
      <c r="A66" s="385" t="s">
        <v>370</v>
      </c>
    </row>
    <row r="67" ht="15.75">
      <c r="A67" s="385" t="s">
        <v>371</v>
      </c>
    </row>
    <row r="68" ht="15.75">
      <c r="A68" s="385" t="s">
        <v>372</v>
      </c>
    </row>
    <row r="69" ht="15.75">
      <c r="A69" s="385" t="s">
        <v>373</v>
      </c>
    </row>
    <row r="70" ht="15.75">
      <c r="A70" s="385" t="s">
        <v>374</v>
      </c>
    </row>
    <row r="71" ht="15.75">
      <c r="A71" s="385" t="s">
        <v>375</v>
      </c>
    </row>
    <row r="72" ht="15.75">
      <c r="A72" s="385" t="s">
        <v>376</v>
      </c>
    </row>
    <row r="73" ht="15.75">
      <c r="A73" s="385" t="s">
        <v>728</v>
      </c>
    </row>
    <row r="74" ht="45.75" customHeight="1">
      <c r="A74" s="385" t="s">
        <v>377</v>
      </c>
    </row>
    <row r="75" ht="47.25" customHeight="1">
      <c r="A75" s="385" t="s">
        <v>378</v>
      </c>
    </row>
    <row r="76" ht="49.5" customHeight="1">
      <c r="A76" s="385" t="s">
        <v>379</v>
      </c>
    </row>
    <row r="77" ht="30.75">
      <c r="A77" s="385" t="s">
        <v>380</v>
      </c>
    </row>
    <row r="78" ht="15.75">
      <c r="A78" s="385" t="s">
        <v>729</v>
      </c>
    </row>
    <row r="79" ht="30.75">
      <c r="A79" s="385" t="s">
        <v>381</v>
      </c>
    </row>
    <row r="80" ht="60.75">
      <c r="A80" s="385" t="s">
        <v>382</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9">
      <selection activeCell="D83" sqref="D83"/>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773</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740</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Orange</v>
      </c>
      <c r="E9" s="123"/>
      <c r="F9" s="226" t="s">
        <v>1</v>
      </c>
      <c r="G9" s="227">
        <f>IF(ISBLANK('1. Information'!D9),"",'1. Information'!D9)</f>
        <v>43823</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1088671.68</v>
      </c>
      <c r="G15" s="136">
        <v>0</v>
      </c>
      <c r="H15" s="136">
        <v>0</v>
      </c>
      <c r="I15" s="136">
        <v>0</v>
      </c>
      <c r="J15" s="136">
        <v>0</v>
      </c>
      <c r="K15" s="241">
        <f>SUM(F15:J15)</f>
        <v>1088671.68</v>
      </c>
      <c r="L15" s="175"/>
    </row>
    <row r="16" spans="1:12" ht="15" customHeight="1">
      <c r="A16" s="123"/>
      <c r="B16" s="234">
        <v>2</v>
      </c>
      <c r="C16" s="163" t="s">
        <v>7</v>
      </c>
      <c r="D16" s="242"/>
      <c r="E16" s="243"/>
      <c r="F16" s="136">
        <v>668284.14</v>
      </c>
      <c r="G16" s="136">
        <v>0</v>
      </c>
      <c r="H16" s="136">
        <v>0</v>
      </c>
      <c r="I16" s="136">
        <v>0</v>
      </c>
      <c r="J16" s="136">
        <v>0</v>
      </c>
      <c r="K16" s="241">
        <f>SUM(F16:J16)</f>
        <v>668284.14</v>
      </c>
      <c r="L16" s="175"/>
    </row>
    <row r="17" spans="1:12" ht="15.75" customHeight="1">
      <c r="A17" s="123"/>
      <c r="B17" s="234">
        <v>3</v>
      </c>
      <c r="C17" s="163" t="s">
        <v>117</v>
      </c>
      <c r="D17" s="242"/>
      <c r="E17" s="243"/>
      <c r="F17" s="136">
        <v>15290736.8</v>
      </c>
      <c r="G17" s="136">
        <v>1942766.89</v>
      </c>
      <c r="H17" s="136">
        <v>0</v>
      </c>
      <c r="I17" s="136">
        <v>0</v>
      </c>
      <c r="J17" s="136">
        <v>271.81</v>
      </c>
      <c r="K17" s="241">
        <f>SUM(F17:J17)</f>
        <v>17233775.5</v>
      </c>
      <c r="L17" s="175"/>
    </row>
    <row r="18" spans="1:12" ht="15.75">
      <c r="A18" s="123"/>
      <c r="B18" s="234">
        <v>4</v>
      </c>
      <c r="C18" s="163" t="s">
        <v>187</v>
      </c>
      <c r="D18" s="242"/>
      <c r="E18" s="243"/>
      <c r="F18" s="136">
        <v>0</v>
      </c>
      <c r="G18" s="244"/>
      <c r="H18" s="244"/>
      <c r="I18" s="244"/>
      <c r="J18" s="244"/>
      <c r="K18" s="241">
        <f>F18</f>
        <v>0</v>
      </c>
      <c r="L18" s="175"/>
    </row>
    <row r="19" spans="1:12" ht="15.75">
      <c r="A19" s="123"/>
      <c r="B19" s="234">
        <v>5</v>
      </c>
      <c r="C19" s="163" t="s">
        <v>284</v>
      </c>
      <c r="D19" s="242"/>
      <c r="E19" s="243"/>
      <c r="F19" s="136">
        <v>0</v>
      </c>
      <c r="G19" s="244"/>
      <c r="H19" s="244"/>
      <c r="I19" s="244"/>
      <c r="J19" s="244"/>
      <c r="K19" s="241">
        <f aca="true" t="shared" si="0" ref="K19:K24">F19</f>
        <v>0</v>
      </c>
      <c r="L19" s="175"/>
    </row>
    <row r="20" spans="1:12" ht="15.75" customHeight="1">
      <c r="A20" s="123"/>
      <c r="B20" s="234">
        <v>6</v>
      </c>
      <c r="C20" s="163" t="s">
        <v>186</v>
      </c>
      <c r="D20" s="242"/>
      <c r="E20" s="243"/>
      <c r="F20" s="136">
        <v>25000007.32</v>
      </c>
      <c r="G20" s="244"/>
      <c r="H20" s="244"/>
      <c r="I20" s="244"/>
      <c r="J20" s="244"/>
      <c r="K20" s="241">
        <f t="shared" si="0"/>
        <v>25000007.32</v>
      </c>
      <c r="L20" s="175"/>
    </row>
    <row r="21" spans="1:12" ht="15.75">
      <c r="A21" s="124"/>
      <c r="B21" s="218">
        <v>7</v>
      </c>
      <c r="C21" s="242" t="s">
        <v>247</v>
      </c>
      <c r="D21" s="245"/>
      <c r="E21" s="243"/>
      <c r="F21" s="136">
        <v>0</v>
      </c>
      <c r="G21" s="246"/>
      <c r="H21" s="246"/>
      <c r="I21" s="246"/>
      <c r="J21" s="246"/>
      <c r="K21" s="241">
        <f t="shared" si="0"/>
        <v>0</v>
      </c>
      <c r="L21" s="175"/>
    </row>
    <row r="22" spans="1:12" ht="15.75">
      <c r="A22" s="124"/>
      <c r="B22" s="218">
        <v>8</v>
      </c>
      <c r="C22" s="242" t="s">
        <v>192</v>
      </c>
      <c r="D22" s="245"/>
      <c r="E22" s="243"/>
      <c r="F22" s="136">
        <v>5085282</v>
      </c>
      <c r="G22" s="246"/>
      <c r="H22" s="246"/>
      <c r="I22" s="246"/>
      <c r="J22" s="246"/>
      <c r="K22" s="241">
        <f t="shared" si="0"/>
        <v>5085282</v>
      </c>
      <c r="L22" s="175"/>
    </row>
    <row r="23" spans="1:12" ht="15.75">
      <c r="A23" s="124"/>
      <c r="B23" s="218">
        <v>9</v>
      </c>
      <c r="C23" s="242" t="s">
        <v>193</v>
      </c>
      <c r="D23" s="245"/>
      <c r="E23" s="243"/>
      <c r="F23" s="136">
        <v>21148733</v>
      </c>
      <c r="G23" s="246"/>
      <c r="H23" s="246"/>
      <c r="I23" s="246"/>
      <c r="J23" s="246"/>
      <c r="K23" s="241">
        <f t="shared" si="0"/>
        <v>21148733</v>
      </c>
      <c r="L23" s="175"/>
    </row>
    <row r="24" spans="1:12" ht="15.75">
      <c r="A24" s="124"/>
      <c r="B24" s="218">
        <v>10</v>
      </c>
      <c r="C24" s="242" t="s">
        <v>191</v>
      </c>
      <c r="D24" s="245"/>
      <c r="E24" s="243"/>
      <c r="F24" s="136">
        <v>0</v>
      </c>
      <c r="G24" s="246"/>
      <c r="H24" s="246"/>
      <c r="I24" s="246"/>
      <c r="J24" s="246"/>
      <c r="K24" s="241">
        <f t="shared" si="0"/>
        <v>0</v>
      </c>
      <c r="L24" s="175"/>
    </row>
    <row r="25" spans="1:12" ht="15.75" customHeight="1">
      <c r="A25" s="123"/>
      <c r="B25" s="234">
        <v>11</v>
      </c>
      <c r="C25" s="163" t="s">
        <v>123</v>
      </c>
      <c r="D25" s="242"/>
      <c r="E25" s="243"/>
      <c r="F25" s="244">
        <f>SUM(G34:G133)</f>
        <v>94142110.06</v>
      </c>
      <c r="G25" s="246">
        <f>SUM(H34:H133)</f>
        <v>20925654.009999994</v>
      </c>
      <c r="H25" s="246">
        <f>SUM(I34:I133)</f>
        <v>0</v>
      </c>
      <c r="I25" s="246">
        <f>SUM(J34:J133)</f>
        <v>180735.61000000002</v>
      </c>
      <c r="J25" s="246">
        <f>SUM(K34:K133)</f>
        <v>1844543.6600000001</v>
      </c>
      <c r="K25" s="246">
        <f>SUM(F25:J25)</f>
        <v>117093043.33999999</v>
      </c>
      <c r="L25" s="175"/>
    </row>
    <row r="26" spans="1:12" ht="30.75" customHeight="1">
      <c r="A26" s="123"/>
      <c r="B26" s="234">
        <v>12</v>
      </c>
      <c r="C26" s="247" t="s">
        <v>190</v>
      </c>
      <c r="D26" s="248"/>
      <c r="E26" s="249"/>
      <c r="F26" s="250">
        <f>SUM(F15:F17,F19:F25)</f>
        <v>162423825</v>
      </c>
      <c r="G26" s="250">
        <f>SUM(G15:G17,G25)</f>
        <v>22868420.899999995</v>
      </c>
      <c r="H26" s="251">
        <f>SUM(H15:H17,H25)</f>
        <v>0</v>
      </c>
      <c r="I26" s="250">
        <f>SUM(I15:I17,I25)</f>
        <v>180735.61000000002</v>
      </c>
      <c r="J26" s="250">
        <f>SUM(J15:J17,J25)</f>
        <v>1844815.4700000002</v>
      </c>
      <c r="K26" s="250">
        <f>SUM(F26:J26)</f>
        <v>187317796.98000002</v>
      </c>
      <c r="L26" s="175"/>
    </row>
    <row r="27" spans="1:12" ht="30.75" customHeight="1">
      <c r="A27" s="123"/>
      <c r="B27" s="234">
        <v>13</v>
      </c>
      <c r="C27" s="252" t="s">
        <v>674</v>
      </c>
      <c r="D27" s="252"/>
      <c r="E27" s="252"/>
      <c r="F27" s="250">
        <f>SUM(F15:F17,F19,F20,F25)</f>
        <v>136189810</v>
      </c>
      <c r="G27" s="250">
        <f>SUM(G15:G17,G25)</f>
        <v>22868420.899999995</v>
      </c>
      <c r="H27" s="250">
        <f>SUM(H15:H17,H25)</f>
        <v>0</v>
      </c>
      <c r="I27" s="250">
        <f>SUM(I15:I17,I25)</f>
        <v>180735.61000000002</v>
      </c>
      <c r="J27" s="250">
        <f>SUM(J15:J17,J25)</f>
        <v>1844815.4700000002</v>
      </c>
      <c r="K27" s="250">
        <f>SUM(F27:J27)</f>
        <v>161083781.98000002</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30</v>
      </c>
      <c r="D34" s="144" t="s">
        <v>851</v>
      </c>
      <c r="E34" s="144"/>
      <c r="F34" s="127" t="s">
        <v>95</v>
      </c>
      <c r="G34" s="126">
        <v>9570291.19</v>
      </c>
      <c r="H34" s="126">
        <v>1430665.3399999999</v>
      </c>
      <c r="I34" s="126">
        <v>0</v>
      </c>
      <c r="J34" s="129">
        <v>0</v>
      </c>
      <c r="K34" s="126">
        <v>219260.91</v>
      </c>
      <c r="L34" s="246">
        <f>SUM(G34:K34)</f>
        <v>11220217.44</v>
      </c>
    </row>
    <row r="35" spans="1:12" ht="45.75">
      <c r="A35" s="123"/>
      <c r="B35" s="262">
        <v>15</v>
      </c>
      <c r="C35" s="263">
        <f t="shared" si="1"/>
        <v>30</v>
      </c>
      <c r="D35" s="144" t="s">
        <v>852</v>
      </c>
      <c r="E35" s="144"/>
      <c r="F35" s="127" t="s">
        <v>95</v>
      </c>
      <c r="G35" s="126">
        <v>589447.02</v>
      </c>
      <c r="H35" s="126">
        <v>389688.48</v>
      </c>
      <c r="I35" s="126">
        <v>0</v>
      </c>
      <c r="J35" s="129">
        <v>0</v>
      </c>
      <c r="K35" s="126">
        <v>54360.7</v>
      </c>
      <c r="L35" s="246">
        <f aca="true" t="shared" si="2" ref="L35:L98">SUM(G35:K35)</f>
        <v>1033496.2</v>
      </c>
    </row>
    <row r="36" spans="1:12" ht="30.75">
      <c r="A36" s="123"/>
      <c r="B36" s="262">
        <v>16</v>
      </c>
      <c r="C36" s="263">
        <f t="shared" si="1"/>
        <v>30</v>
      </c>
      <c r="D36" s="144" t="s">
        <v>853</v>
      </c>
      <c r="E36" s="144"/>
      <c r="F36" s="127" t="s">
        <v>95</v>
      </c>
      <c r="G36" s="126">
        <v>6501554.1899999995</v>
      </c>
      <c r="H36" s="126">
        <v>1621663.67</v>
      </c>
      <c r="I36" s="126">
        <v>0</v>
      </c>
      <c r="J36" s="129">
        <v>1821.25</v>
      </c>
      <c r="K36" s="126">
        <v>151682.58000000002</v>
      </c>
      <c r="L36" s="246">
        <f t="shared" si="2"/>
        <v>8276721.6899999995</v>
      </c>
    </row>
    <row r="37" spans="1:12" ht="15.75">
      <c r="A37" s="123"/>
      <c r="B37" s="262">
        <v>17</v>
      </c>
      <c r="C37" s="263">
        <f t="shared" si="1"/>
        <v>30</v>
      </c>
      <c r="D37" s="144" t="s">
        <v>789</v>
      </c>
      <c r="E37" s="144"/>
      <c r="F37" s="127" t="s">
        <v>95</v>
      </c>
      <c r="G37" s="126">
        <v>20265318.79</v>
      </c>
      <c r="H37" s="126">
        <v>3550264.38</v>
      </c>
      <c r="I37" s="126">
        <v>0</v>
      </c>
      <c r="J37" s="129">
        <v>33084.1</v>
      </c>
      <c r="K37" s="126">
        <v>210211.44999999998</v>
      </c>
      <c r="L37" s="246">
        <f t="shared" si="2"/>
        <v>24058878.72</v>
      </c>
    </row>
    <row r="38" spans="1:12" ht="30.75">
      <c r="A38" s="123"/>
      <c r="B38" s="262">
        <v>18</v>
      </c>
      <c r="C38" s="263">
        <f t="shared" si="1"/>
        <v>30</v>
      </c>
      <c r="D38" s="144" t="s">
        <v>854</v>
      </c>
      <c r="E38" s="144"/>
      <c r="F38" s="127" t="s">
        <v>95</v>
      </c>
      <c r="G38" s="126">
        <v>7315685.989999999</v>
      </c>
      <c r="H38" s="126">
        <v>2547807.86</v>
      </c>
      <c r="I38" s="126">
        <v>0</v>
      </c>
      <c r="J38" s="129">
        <v>15174.140000000001</v>
      </c>
      <c r="K38" s="126">
        <v>141551.12</v>
      </c>
      <c r="L38" s="246">
        <f t="shared" si="2"/>
        <v>10020219.11</v>
      </c>
    </row>
    <row r="39" spans="1:12" ht="15.75">
      <c r="A39" s="123"/>
      <c r="B39" s="262">
        <v>19</v>
      </c>
      <c r="C39" s="263">
        <f t="shared" si="1"/>
        <v>30</v>
      </c>
      <c r="D39" s="144" t="s">
        <v>791</v>
      </c>
      <c r="E39" s="144"/>
      <c r="F39" s="127" t="s">
        <v>95</v>
      </c>
      <c r="G39" s="126">
        <v>4198564.74</v>
      </c>
      <c r="H39" s="126">
        <v>651224.92</v>
      </c>
      <c r="I39" s="126">
        <v>0</v>
      </c>
      <c r="J39" s="129">
        <v>64881.64</v>
      </c>
      <c r="K39" s="126">
        <v>36390.65</v>
      </c>
      <c r="L39" s="246">
        <f t="shared" si="2"/>
        <v>4951061.95</v>
      </c>
    </row>
    <row r="40" spans="1:12" ht="15.75">
      <c r="A40" s="123"/>
      <c r="B40" s="262">
        <v>20</v>
      </c>
      <c r="C40" s="263">
        <f t="shared" si="1"/>
        <v>30</v>
      </c>
      <c r="D40" s="144" t="s">
        <v>855</v>
      </c>
      <c r="E40" s="144"/>
      <c r="F40" s="127" t="s">
        <v>95</v>
      </c>
      <c r="G40" s="126">
        <v>1989306.38</v>
      </c>
      <c r="H40" s="126">
        <v>560226.3</v>
      </c>
      <c r="I40" s="126">
        <v>0</v>
      </c>
      <c r="J40" s="129">
        <v>953.08</v>
      </c>
      <c r="K40" s="126">
        <v>34606.61</v>
      </c>
      <c r="L40" s="246">
        <f t="shared" si="2"/>
        <v>2585092.3699999996</v>
      </c>
    </row>
    <row r="41" spans="1:12" ht="30.75">
      <c r="A41" s="123"/>
      <c r="B41" s="262">
        <v>21</v>
      </c>
      <c r="C41" s="263">
        <f t="shared" si="1"/>
        <v>30</v>
      </c>
      <c r="D41" s="144" t="s">
        <v>856</v>
      </c>
      <c r="E41" s="144"/>
      <c r="F41" s="127" t="s">
        <v>95</v>
      </c>
      <c r="G41" s="126">
        <v>644897.93</v>
      </c>
      <c r="H41" s="126">
        <v>151214.07</v>
      </c>
      <c r="I41" s="126">
        <v>0</v>
      </c>
      <c r="J41" s="129">
        <v>0</v>
      </c>
      <c r="K41" s="126">
        <v>6207.93</v>
      </c>
      <c r="L41" s="246">
        <f t="shared" si="2"/>
        <v>802319.93</v>
      </c>
    </row>
    <row r="42" spans="1:12" ht="15.75">
      <c r="A42" s="123"/>
      <c r="B42" s="262">
        <v>22</v>
      </c>
      <c r="C42" s="263">
        <f t="shared" si="1"/>
        <v>30</v>
      </c>
      <c r="D42" s="144" t="s">
        <v>799</v>
      </c>
      <c r="E42" s="144"/>
      <c r="F42" s="127" t="s">
        <v>95</v>
      </c>
      <c r="G42" s="126">
        <f>1236612.64+116266.5</f>
        <v>1352879.14</v>
      </c>
      <c r="H42" s="126">
        <v>25.82</v>
      </c>
      <c r="I42" s="126">
        <v>0</v>
      </c>
      <c r="J42" s="129">
        <v>0</v>
      </c>
      <c r="K42" s="126">
        <v>18.41</v>
      </c>
      <c r="L42" s="246">
        <f t="shared" si="2"/>
        <v>1352923.3699999999</v>
      </c>
    </row>
    <row r="43" spans="1:12" ht="30.75">
      <c r="A43" s="123"/>
      <c r="B43" s="262">
        <v>23</v>
      </c>
      <c r="C43" s="263">
        <f t="shared" si="1"/>
        <v>30</v>
      </c>
      <c r="D43" s="144" t="s">
        <v>857</v>
      </c>
      <c r="E43" s="144"/>
      <c r="F43" s="127" t="s">
        <v>96</v>
      </c>
      <c r="G43" s="126">
        <v>119258.97</v>
      </c>
      <c r="H43" s="126">
        <v>0</v>
      </c>
      <c r="I43" s="126">
        <v>0</v>
      </c>
      <c r="J43" s="129">
        <v>0</v>
      </c>
      <c r="K43" s="126">
        <v>0</v>
      </c>
      <c r="L43" s="246">
        <f t="shared" si="2"/>
        <v>119258.97</v>
      </c>
    </row>
    <row r="44" spans="1:12" ht="15.75">
      <c r="A44" s="123"/>
      <c r="B44" s="262">
        <v>24</v>
      </c>
      <c r="C44" s="263">
        <f t="shared" si="1"/>
        <v>30</v>
      </c>
      <c r="D44" s="144" t="s">
        <v>858</v>
      </c>
      <c r="E44" s="144"/>
      <c r="F44" s="127" t="s">
        <v>95</v>
      </c>
      <c r="G44" s="126">
        <v>36886.4</v>
      </c>
      <c r="H44" s="126">
        <v>0</v>
      </c>
      <c r="I44" s="126">
        <v>0</v>
      </c>
      <c r="J44" s="129">
        <v>0</v>
      </c>
      <c r="K44" s="126">
        <v>94.05</v>
      </c>
      <c r="L44" s="246">
        <f t="shared" si="2"/>
        <v>36980.450000000004</v>
      </c>
    </row>
    <row r="45" spans="1:12" ht="15.75">
      <c r="A45" s="123"/>
      <c r="B45" s="262">
        <v>25</v>
      </c>
      <c r="C45" s="263">
        <f t="shared" si="1"/>
        <v>30</v>
      </c>
      <c r="D45" s="144" t="s">
        <v>792</v>
      </c>
      <c r="E45" s="144"/>
      <c r="F45" s="127" t="s">
        <v>95</v>
      </c>
      <c r="G45" s="126">
        <v>1838865.6799999997</v>
      </c>
      <c r="H45" s="126">
        <v>596575.3899999999</v>
      </c>
      <c r="I45" s="126">
        <v>0</v>
      </c>
      <c r="J45" s="129">
        <v>0</v>
      </c>
      <c r="K45" s="126">
        <v>102.92</v>
      </c>
      <c r="L45" s="246">
        <f t="shared" si="2"/>
        <v>2435543.9899999993</v>
      </c>
    </row>
    <row r="46" spans="1:12" ht="15.75">
      <c r="A46" s="123"/>
      <c r="B46" s="262">
        <v>26</v>
      </c>
      <c r="C46" s="263">
        <f t="shared" si="1"/>
        <v>30</v>
      </c>
      <c r="D46" s="144" t="s">
        <v>798</v>
      </c>
      <c r="E46" s="144"/>
      <c r="F46" s="127" t="s">
        <v>95</v>
      </c>
      <c r="G46" s="126">
        <v>1362958.4300000002</v>
      </c>
      <c r="H46" s="126">
        <v>159106.65</v>
      </c>
      <c r="I46" s="126">
        <v>0</v>
      </c>
      <c r="J46" s="129">
        <v>992.9799999999999</v>
      </c>
      <c r="K46" s="126">
        <v>10390.010000000002</v>
      </c>
      <c r="L46" s="246">
        <f t="shared" si="2"/>
        <v>1533448.07</v>
      </c>
    </row>
    <row r="47" spans="1:12" ht="15.75">
      <c r="A47" s="123"/>
      <c r="B47" s="262">
        <v>27</v>
      </c>
      <c r="C47" s="263">
        <f t="shared" si="1"/>
        <v>30</v>
      </c>
      <c r="D47" s="144" t="s">
        <v>800</v>
      </c>
      <c r="E47" s="144"/>
      <c r="F47" s="127" t="s">
        <v>95</v>
      </c>
      <c r="G47" s="126">
        <v>810</v>
      </c>
      <c r="H47" s="126">
        <v>0</v>
      </c>
      <c r="I47" s="126">
        <v>0</v>
      </c>
      <c r="J47" s="129">
        <v>0</v>
      </c>
      <c r="K47" s="126">
        <v>0</v>
      </c>
      <c r="L47" s="246">
        <f t="shared" si="2"/>
        <v>810</v>
      </c>
    </row>
    <row r="48" spans="1:12" ht="15.75">
      <c r="A48" s="123"/>
      <c r="B48" s="262">
        <v>28</v>
      </c>
      <c r="C48" s="263">
        <f t="shared" si="1"/>
        <v>30</v>
      </c>
      <c r="D48" s="144" t="s">
        <v>794</v>
      </c>
      <c r="E48" s="144"/>
      <c r="F48" s="127" t="s">
        <v>95</v>
      </c>
      <c r="G48" s="126">
        <v>681395.02</v>
      </c>
      <c r="H48" s="126">
        <v>262746.76</v>
      </c>
      <c r="I48" s="126">
        <v>0</v>
      </c>
      <c r="J48" s="129">
        <v>0</v>
      </c>
      <c r="K48" s="126">
        <v>78501.56</v>
      </c>
      <c r="L48" s="246">
        <f t="shared" si="2"/>
        <v>1022643.3400000001</v>
      </c>
    </row>
    <row r="49" spans="1:12" ht="15.75">
      <c r="A49" s="123"/>
      <c r="B49" s="262">
        <v>29</v>
      </c>
      <c r="C49" s="263">
        <f t="shared" si="1"/>
        <v>30</v>
      </c>
      <c r="D49" s="144" t="s">
        <v>859</v>
      </c>
      <c r="E49" s="144"/>
      <c r="F49" s="127" t="s">
        <v>95</v>
      </c>
      <c r="G49" s="126">
        <v>159661.39</v>
      </c>
      <c r="H49" s="126">
        <v>5460.86</v>
      </c>
      <c r="I49" s="126">
        <v>0</v>
      </c>
      <c r="J49" s="129">
        <v>0</v>
      </c>
      <c r="K49" s="126">
        <v>0</v>
      </c>
      <c r="L49" s="246">
        <f t="shared" si="2"/>
        <v>165122.25</v>
      </c>
    </row>
    <row r="50" spans="1:12" ht="15.75">
      <c r="A50" s="123"/>
      <c r="B50" s="262">
        <v>30</v>
      </c>
      <c r="C50" s="263">
        <f t="shared" si="1"/>
        <v>30</v>
      </c>
      <c r="D50" s="144" t="s">
        <v>793</v>
      </c>
      <c r="E50" s="144"/>
      <c r="F50" s="127" t="s">
        <v>95</v>
      </c>
      <c r="G50" s="126">
        <v>1986471.0299999998</v>
      </c>
      <c r="H50" s="126">
        <v>206679.29</v>
      </c>
      <c r="I50" s="126">
        <v>0</v>
      </c>
      <c r="J50" s="129">
        <v>0</v>
      </c>
      <c r="K50" s="126">
        <v>67674.31</v>
      </c>
      <c r="L50" s="246">
        <f t="shared" si="2"/>
        <v>2260824.63</v>
      </c>
    </row>
    <row r="51" spans="1:12" ht="15.75">
      <c r="A51" s="123"/>
      <c r="B51" s="262">
        <v>31</v>
      </c>
      <c r="C51" s="263">
        <f t="shared" si="1"/>
        <v>30</v>
      </c>
      <c r="D51" s="144" t="s">
        <v>797</v>
      </c>
      <c r="E51" s="144"/>
      <c r="F51" s="127" t="s">
        <v>95</v>
      </c>
      <c r="G51" s="126">
        <v>1387588.44</v>
      </c>
      <c r="H51" s="126">
        <v>265833.6</v>
      </c>
      <c r="I51" s="126">
        <v>0</v>
      </c>
      <c r="J51" s="129">
        <v>0</v>
      </c>
      <c r="K51" s="126">
        <v>31197.87</v>
      </c>
      <c r="L51" s="246">
        <f t="shared" si="2"/>
        <v>1684619.9100000001</v>
      </c>
    </row>
    <row r="52" spans="1:12" ht="15.75">
      <c r="A52" s="123"/>
      <c r="B52" s="262">
        <v>32</v>
      </c>
      <c r="C52" s="263">
        <f t="shared" si="1"/>
        <v>30</v>
      </c>
      <c r="D52" s="144" t="s">
        <v>788</v>
      </c>
      <c r="E52" s="144"/>
      <c r="F52" s="127" t="s">
        <v>95</v>
      </c>
      <c r="G52" s="126">
        <v>346291.69000000006</v>
      </c>
      <c r="H52" s="126">
        <v>460383.32</v>
      </c>
      <c r="I52" s="126">
        <v>0</v>
      </c>
      <c r="J52" s="129">
        <v>10400.89</v>
      </c>
      <c r="K52" s="126">
        <v>42251.76</v>
      </c>
      <c r="L52" s="246">
        <f t="shared" si="2"/>
        <v>859327.66</v>
      </c>
    </row>
    <row r="53" spans="1:12" ht="30.75">
      <c r="A53" s="123"/>
      <c r="B53" s="262">
        <v>33</v>
      </c>
      <c r="C53" s="263">
        <f t="shared" si="1"/>
        <v>30</v>
      </c>
      <c r="D53" s="144" t="s">
        <v>796</v>
      </c>
      <c r="E53" s="144"/>
      <c r="F53" s="127" t="s">
        <v>95</v>
      </c>
      <c r="G53" s="126">
        <v>415587.7</v>
      </c>
      <c r="H53" s="126">
        <v>302524.68</v>
      </c>
      <c r="I53" s="126">
        <v>0</v>
      </c>
      <c r="J53" s="129">
        <v>0</v>
      </c>
      <c r="K53" s="126">
        <v>46244.63</v>
      </c>
      <c r="L53" s="246">
        <f t="shared" si="2"/>
        <v>764357.01</v>
      </c>
    </row>
    <row r="54" spans="1:12" ht="15.75">
      <c r="A54" s="123"/>
      <c r="B54" s="262">
        <v>34</v>
      </c>
      <c r="C54" s="263">
        <f t="shared" si="1"/>
        <v>30</v>
      </c>
      <c r="D54" s="144" t="s">
        <v>860</v>
      </c>
      <c r="E54" s="144"/>
      <c r="F54" s="127" t="s">
        <v>95</v>
      </c>
      <c r="G54" s="126">
        <v>114160.51</v>
      </c>
      <c r="H54" s="126">
        <v>34451.66</v>
      </c>
      <c r="I54" s="126">
        <v>0</v>
      </c>
      <c r="J54" s="129">
        <v>139.62</v>
      </c>
      <c r="K54" s="126">
        <v>1591.42</v>
      </c>
      <c r="L54" s="246">
        <f t="shared" si="2"/>
        <v>150343.21</v>
      </c>
    </row>
    <row r="55" spans="1:12" ht="15.75">
      <c r="A55" s="123"/>
      <c r="B55" s="262">
        <v>35</v>
      </c>
      <c r="C55" s="263">
        <f t="shared" si="1"/>
        <v>30</v>
      </c>
      <c r="D55" s="144" t="s">
        <v>861</v>
      </c>
      <c r="E55" s="144"/>
      <c r="F55" s="127" t="s">
        <v>95</v>
      </c>
      <c r="G55" s="126">
        <v>1217894.1099999999</v>
      </c>
      <c r="H55" s="126">
        <v>331854.43</v>
      </c>
      <c r="I55" s="126">
        <v>0</v>
      </c>
      <c r="J55" s="129">
        <v>3194.95</v>
      </c>
      <c r="K55" s="126">
        <v>24753.23</v>
      </c>
      <c r="L55" s="246">
        <f t="shared" si="2"/>
        <v>1577696.7199999997</v>
      </c>
    </row>
    <row r="56" spans="1:12" ht="15.75">
      <c r="A56" s="123"/>
      <c r="B56" s="262">
        <v>36</v>
      </c>
      <c r="C56" s="263">
        <f t="shared" si="1"/>
        <v>30</v>
      </c>
      <c r="D56" s="144" t="s">
        <v>862</v>
      </c>
      <c r="E56" s="144"/>
      <c r="F56" s="127" t="s">
        <v>95</v>
      </c>
      <c r="G56" s="126">
        <v>355544.03</v>
      </c>
      <c r="H56" s="126">
        <v>0</v>
      </c>
      <c r="I56" s="126">
        <v>0</v>
      </c>
      <c r="J56" s="129">
        <v>0</v>
      </c>
      <c r="K56" s="126">
        <v>1153.5000000000002</v>
      </c>
      <c r="L56" s="246">
        <f t="shared" si="2"/>
        <v>356697.53</v>
      </c>
    </row>
    <row r="57" spans="1:12" ht="15.75">
      <c r="A57" s="123"/>
      <c r="B57" s="262">
        <v>37</v>
      </c>
      <c r="C57" s="263">
        <f t="shared" si="1"/>
        <v>30</v>
      </c>
      <c r="D57" s="144" t="s">
        <v>795</v>
      </c>
      <c r="E57" s="144"/>
      <c r="F57" s="127" t="s">
        <v>95</v>
      </c>
      <c r="G57" s="126">
        <v>176480.1</v>
      </c>
      <c r="H57" s="126">
        <v>0</v>
      </c>
      <c r="I57" s="126">
        <v>0</v>
      </c>
      <c r="J57" s="129">
        <v>0</v>
      </c>
      <c r="K57" s="126">
        <v>0</v>
      </c>
      <c r="L57" s="246">
        <f t="shared" si="2"/>
        <v>176480.1</v>
      </c>
    </row>
    <row r="58" spans="1:12" ht="15.75">
      <c r="A58" s="123"/>
      <c r="B58" s="262">
        <v>38</v>
      </c>
      <c r="C58" s="263">
        <f t="shared" si="1"/>
        <v>30</v>
      </c>
      <c r="D58" s="144" t="s">
        <v>804</v>
      </c>
      <c r="E58" s="144"/>
      <c r="F58" s="127" t="s">
        <v>96</v>
      </c>
      <c r="G58" s="126">
        <v>937311.8099999999</v>
      </c>
      <c r="H58" s="126">
        <v>861559.76</v>
      </c>
      <c r="I58" s="126">
        <v>0</v>
      </c>
      <c r="J58" s="129">
        <v>0</v>
      </c>
      <c r="K58" s="126">
        <v>103994.07</v>
      </c>
      <c r="L58" s="246">
        <f t="shared" si="2"/>
        <v>1902865.64</v>
      </c>
    </row>
    <row r="59" spans="1:12" ht="30.75">
      <c r="A59" s="123"/>
      <c r="B59" s="262">
        <v>39</v>
      </c>
      <c r="C59" s="263">
        <f t="shared" si="1"/>
        <v>30</v>
      </c>
      <c r="D59" s="144" t="s">
        <v>796</v>
      </c>
      <c r="E59" s="144"/>
      <c r="F59" s="127" t="s">
        <v>96</v>
      </c>
      <c r="G59" s="126">
        <v>415587.7</v>
      </c>
      <c r="H59" s="126">
        <v>302524.68</v>
      </c>
      <c r="I59" s="126">
        <v>0</v>
      </c>
      <c r="J59" s="129">
        <v>0</v>
      </c>
      <c r="K59" s="126">
        <v>46244.63</v>
      </c>
      <c r="L59" s="246">
        <f t="shared" si="2"/>
        <v>764357.01</v>
      </c>
    </row>
    <row r="60" spans="1:12" ht="15.75">
      <c r="A60" s="123"/>
      <c r="B60" s="262">
        <v>40</v>
      </c>
      <c r="C60" s="263">
        <f t="shared" si="1"/>
        <v>30</v>
      </c>
      <c r="D60" s="144" t="s">
        <v>803</v>
      </c>
      <c r="E60" s="144"/>
      <c r="F60" s="127" t="s">
        <v>96</v>
      </c>
      <c r="G60" s="126">
        <v>1547292.04</v>
      </c>
      <c r="H60" s="126">
        <v>0</v>
      </c>
      <c r="I60" s="126">
        <v>0</v>
      </c>
      <c r="J60" s="129">
        <v>321.38</v>
      </c>
      <c r="K60" s="126">
        <v>16180.57</v>
      </c>
      <c r="L60" s="246">
        <f t="shared" si="2"/>
        <v>1563793.99</v>
      </c>
    </row>
    <row r="61" spans="1:12" ht="15.75">
      <c r="A61" s="123"/>
      <c r="B61" s="262">
        <v>41</v>
      </c>
      <c r="C61" s="263">
        <f t="shared" si="1"/>
        <v>30</v>
      </c>
      <c r="D61" s="144" t="s">
        <v>861</v>
      </c>
      <c r="E61" s="144"/>
      <c r="F61" s="127" t="s">
        <v>96</v>
      </c>
      <c r="G61" s="126">
        <v>6771896.33</v>
      </c>
      <c r="H61" s="126">
        <v>2651005.3400000003</v>
      </c>
      <c r="I61" s="126">
        <v>0</v>
      </c>
      <c r="J61" s="129">
        <v>3154.5</v>
      </c>
      <c r="K61" s="126">
        <v>160084.31999999998</v>
      </c>
      <c r="L61" s="246">
        <f t="shared" si="2"/>
        <v>9586140.49</v>
      </c>
    </row>
    <row r="62" spans="1:12" ht="15.75">
      <c r="A62" s="123"/>
      <c r="B62" s="262">
        <v>42</v>
      </c>
      <c r="C62" s="263">
        <f t="shared" si="1"/>
        <v>30</v>
      </c>
      <c r="D62" s="144" t="s">
        <v>860</v>
      </c>
      <c r="E62" s="144"/>
      <c r="F62" s="127" t="s">
        <v>96</v>
      </c>
      <c r="G62" s="126">
        <v>1788514.6</v>
      </c>
      <c r="H62" s="126">
        <v>539742.65</v>
      </c>
      <c r="I62" s="126">
        <v>0</v>
      </c>
      <c r="J62" s="129">
        <v>2187.33</v>
      </c>
      <c r="K62" s="126">
        <v>24932.24</v>
      </c>
      <c r="L62" s="246">
        <f t="shared" si="2"/>
        <v>2355376.8200000003</v>
      </c>
    </row>
    <row r="63" spans="1:12" ht="15.75">
      <c r="A63" s="123"/>
      <c r="B63" s="262">
        <v>43</v>
      </c>
      <c r="C63" s="263">
        <f t="shared" si="1"/>
        <v>30</v>
      </c>
      <c r="D63" s="144" t="s">
        <v>795</v>
      </c>
      <c r="E63" s="144"/>
      <c r="F63" s="127" t="s">
        <v>96</v>
      </c>
      <c r="G63" s="126">
        <v>411786.9</v>
      </c>
      <c r="H63" s="126">
        <v>0</v>
      </c>
      <c r="I63" s="126">
        <v>0</v>
      </c>
      <c r="J63" s="129">
        <v>0</v>
      </c>
      <c r="K63" s="126">
        <v>0</v>
      </c>
      <c r="L63" s="246">
        <f t="shared" si="2"/>
        <v>411786.9</v>
      </c>
    </row>
    <row r="64" spans="1:12" ht="15.75">
      <c r="A64" s="123"/>
      <c r="B64" s="262">
        <v>44</v>
      </c>
      <c r="C64" s="263">
        <f t="shared" si="1"/>
        <v>30</v>
      </c>
      <c r="D64" s="144" t="s">
        <v>802</v>
      </c>
      <c r="E64" s="144"/>
      <c r="F64" s="127" t="s">
        <v>96</v>
      </c>
      <c r="G64" s="126">
        <f>1288687.76*0.35</f>
        <v>451040.71599999996</v>
      </c>
      <c r="H64" s="126">
        <v>0</v>
      </c>
      <c r="I64" s="126">
        <v>0</v>
      </c>
      <c r="J64" s="129">
        <v>0</v>
      </c>
      <c r="K64" s="126">
        <v>0</v>
      </c>
      <c r="L64" s="246">
        <f t="shared" si="2"/>
        <v>451040.71599999996</v>
      </c>
    </row>
    <row r="65" spans="1:12" ht="15.75">
      <c r="A65" s="123"/>
      <c r="B65" s="262">
        <v>45</v>
      </c>
      <c r="C65" s="263">
        <f t="shared" si="1"/>
        <v>30</v>
      </c>
      <c r="D65" s="144" t="s">
        <v>863</v>
      </c>
      <c r="E65" s="144"/>
      <c r="F65" s="127" t="s">
        <v>95</v>
      </c>
      <c r="G65" s="126">
        <v>155242.89</v>
      </c>
      <c r="H65" s="126">
        <v>0</v>
      </c>
      <c r="I65" s="126">
        <v>0</v>
      </c>
      <c r="J65" s="129">
        <v>0</v>
      </c>
      <c r="K65" s="126">
        <v>0</v>
      </c>
      <c r="L65" s="246">
        <f t="shared" si="2"/>
        <v>155242.89</v>
      </c>
    </row>
    <row r="66" spans="1:12" ht="30.75">
      <c r="A66" s="123"/>
      <c r="B66" s="262">
        <v>46</v>
      </c>
      <c r="C66" s="263">
        <f aca="true" t="shared" si="3" ref="C66:C97">IF(L66&lt;&gt;0,VLOOKUP($D$9,Info_County_Code,2,FALSE),"")</f>
        <v>30</v>
      </c>
      <c r="D66" s="144" t="s">
        <v>805</v>
      </c>
      <c r="E66" s="144"/>
      <c r="F66" s="127" t="s">
        <v>96</v>
      </c>
      <c r="G66" s="126">
        <v>206196.6</v>
      </c>
      <c r="H66" s="126">
        <v>118187.19</v>
      </c>
      <c r="I66" s="126">
        <v>0</v>
      </c>
      <c r="J66" s="129">
        <v>0</v>
      </c>
      <c r="K66" s="126">
        <v>42940.21</v>
      </c>
      <c r="L66" s="246">
        <f t="shared" si="2"/>
        <v>367324.00000000006</v>
      </c>
    </row>
    <row r="67" spans="1:12" ht="15.75">
      <c r="A67" s="123"/>
      <c r="B67" s="262">
        <v>47</v>
      </c>
      <c r="C67" s="263">
        <f t="shared" si="3"/>
        <v>30</v>
      </c>
      <c r="D67" s="144" t="s">
        <v>806</v>
      </c>
      <c r="E67" s="144"/>
      <c r="F67" s="127" t="s">
        <v>96</v>
      </c>
      <c r="G67" s="126">
        <v>477896</v>
      </c>
      <c r="H67" s="126">
        <v>0</v>
      </c>
      <c r="I67" s="126">
        <v>0</v>
      </c>
      <c r="J67" s="129">
        <v>0</v>
      </c>
      <c r="K67" s="126">
        <v>4149</v>
      </c>
      <c r="L67" s="246">
        <f t="shared" si="2"/>
        <v>482045</v>
      </c>
    </row>
    <row r="68" spans="1:12" ht="15.75">
      <c r="A68" s="123"/>
      <c r="B68" s="262">
        <v>48</v>
      </c>
      <c r="C68" s="263">
        <f t="shared" si="3"/>
        <v>30</v>
      </c>
      <c r="D68" s="144" t="s">
        <v>864</v>
      </c>
      <c r="E68" s="144"/>
      <c r="F68" s="127" t="s">
        <v>96</v>
      </c>
      <c r="G68" s="126">
        <f>2999651.06-193863.69</f>
        <v>2805787.37</v>
      </c>
      <c r="H68" s="126">
        <v>0</v>
      </c>
      <c r="I68" s="126">
        <v>0</v>
      </c>
      <c r="J68" s="129">
        <v>0</v>
      </c>
      <c r="K68" s="126">
        <v>0</v>
      </c>
      <c r="L68" s="246">
        <f t="shared" si="2"/>
        <v>2805787.37</v>
      </c>
    </row>
    <row r="69" spans="1:12" ht="15.75">
      <c r="A69" s="123"/>
      <c r="B69" s="262">
        <v>49</v>
      </c>
      <c r="C69" s="263">
        <f t="shared" si="3"/>
        <v>30</v>
      </c>
      <c r="D69" s="144" t="s">
        <v>862</v>
      </c>
      <c r="E69" s="144"/>
      <c r="F69" s="127" t="s">
        <v>96</v>
      </c>
      <c r="G69" s="126">
        <v>2876674.4299999997</v>
      </c>
      <c r="H69" s="126">
        <v>0</v>
      </c>
      <c r="I69" s="126">
        <v>0</v>
      </c>
      <c r="J69" s="129">
        <v>0</v>
      </c>
      <c r="K69" s="126">
        <v>9332.84</v>
      </c>
      <c r="L69" s="246">
        <f t="shared" si="2"/>
        <v>2886007.2699999996</v>
      </c>
    </row>
    <row r="70" spans="1:12" ht="15.75">
      <c r="A70" s="123"/>
      <c r="B70" s="262">
        <v>50</v>
      </c>
      <c r="C70" s="263">
        <f t="shared" si="3"/>
        <v>30</v>
      </c>
      <c r="D70" s="144" t="s">
        <v>801</v>
      </c>
      <c r="E70" s="144"/>
      <c r="F70" s="127" t="s">
        <v>95</v>
      </c>
      <c r="G70" s="126">
        <v>240862.5</v>
      </c>
      <c r="H70" s="126">
        <v>0</v>
      </c>
      <c r="I70" s="126">
        <v>0</v>
      </c>
      <c r="J70" s="129">
        <v>0</v>
      </c>
      <c r="K70" s="126">
        <v>3069.4</v>
      </c>
      <c r="L70" s="246">
        <f t="shared" si="2"/>
        <v>243931.9</v>
      </c>
    </row>
    <row r="71" spans="1:12" ht="15.75">
      <c r="A71" s="123"/>
      <c r="B71" s="262">
        <v>51</v>
      </c>
      <c r="C71" s="263">
        <f t="shared" si="3"/>
        <v>30</v>
      </c>
      <c r="D71" s="144" t="s">
        <v>807</v>
      </c>
      <c r="E71" s="144"/>
      <c r="F71" s="127" t="s">
        <v>96</v>
      </c>
      <c r="G71" s="126">
        <v>429640</v>
      </c>
      <c r="H71" s="126">
        <v>0</v>
      </c>
      <c r="I71" s="126">
        <v>0</v>
      </c>
      <c r="J71" s="129">
        <v>0</v>
      </c>
      <c r="K71" s="126">
        <v>0</v>
      </c>
      <c r="L71" s="246">
        <f t="shared" si="2"/>
        <v>429640</v>
      </c>
    </row>
    <row r="72" spans="1:12" ht="15.75">
      <c r="A72" s="123"/>
      <c r="B72" s="262">
        <v>52</v>
      </c>
      <c r="C72" s="263">
        <f t="shared" si="3"/>
        <v>30</v>
      </c>
      <c r="D72" s="144" t="s">
        <v>788</v>
      </c>
      <c r="E72" s="144"/>
      <c r="F72" s="127" t="s">
        <v>96</v>
      </c>
      <c r="G72" s="126">
        <v>1385166.74</v>
      </c>
      <c r="H72" s="126">
        <v>1841533.31</v>
      </c>
      <c r="I72" s="126">
        <v>0</v>
      </c>
      <c r="J72" s="129">
        <v>41603.58</v>
      </c>
      <c r="K72" s="126">
        <v>169006.95</v>
      </c>
      <c r="L72" s="246">
        <f t="shared" si="2"/>
        <v>3437310.58</v>
      </c>
    </row>
    <row r="73" spans="1:12" ht="15.75">
      <c r="A73" s="123"/>
      <c r="B73" s="262">
        <v>53</v>
      </c>
      <c r="C73" s="263">
        <f t="shared" si="3"/>
        <v>30</v>
      </c>
      <c r="D73" s="144" t="s">
        <v>790</v>
      </c>
      <c r="E73" s="144"/>
      <c r="F73" s="127" t="s">
        <v>96</v>
      </c>
      <c r="G73" s="126">
        <v>904747.87</v>
      </c>
      <c r="H73" s="126">
        <v>30944.86</v>
      </c>
      <c r="I73" s="126">
        <v>0</v>
      </c>
      <c r="J73" s="129">
        <v>0</v>
      </c>
      <c r="K73" s="126">
        <v>0</v>
      </c>
      <c r="L73" s="246">
        <f t="shared" si="2"/>
        <v>935692.73</v>
      </c>
    </row>
    <row r="74" spans="1:12" ht="15.75">
      <c r="A74" s="123"/>
      <c r="B74" s="262">
        <v>54</v>
      </c>
      <c r="C74" s="263">
        <f t="shared" si="3"/>
        <v>30</v>
      </c>
      <c r="D74" s="144" t="s">
        <v>792</v>
      </c>
      <c r="E74" s="144"/>
      <c r="F74" s="127" t="s">
        <v>96</v>
      </c>
      <c r="G74" s="126">
        <v>1225910.4400000002</v>
      </c>
      <c r="H74" s="126">
        <v>397716.93</v>
      </c>
      <c r="I74" s="126">
        <v>0</v>
      </c>
      <c r="J74" s="129">
        <v>0</v>
      </c>
      <c r="K74" s="126">
        <v>68.61</v>
      </c>
      <c r="L74" s="246">
        <f t="shared" si="2"/>
        <v>1623695.9800000002</v>
      </c>
    </row>
    <row r="75" spans="1:12" ht="15.75">
      <c r="A75" s="123"/>
      <c r="B75" s="262">
        <v>55</v>
      </c>
      <c r="C75" s="263">
        <f t="shared" si="3"/>
        <v>30</v>
      </c>
      <c r="D75" s="144" t="s">
        <v>793</v>
      </c>
      <c r="E75" s="144"/>
      <c r="F75" s="127" t="s">
        <v>96</v>
      </c>
      <c r="G75" s="126">
        <v>851344.73</v>
      </c>
      <c r="H75" s="126">
        <v>88576.82999999999</v>
      </c>
      <c r="I75" s="126">
        <v>0</v>
      </c>
      <c r="J75" s="129">
        <v>0</v>
      </c>
      <c r="K75" s="126">
        <v>29003.28</v>
      </c>
      <c r="L75" s="246">
        <f t="shared" si="2"/>
        <v>968924.84</v>
      </c>
    </row>
    <row r="76" spans="1:12" ht="15.75">
      <c r="A76" s="123"/>
      <c r="B76" s="262">
        <v>56</v>
      </c>
      <c r="C76" s="263">
        <f t="shared" si="3"/>
        <v>30</v>
      </c>
      <c r="D76" s="144" t="s">
        <v>794</v>
      </c>
      <c r="E76" s="144"/>
      <c r="F76" s="127" t="s">
        <v>96</v>
      </c>
      <c r="G76" s="126">
        <v>292026.44</v>
      </c>
      <c r="H76" s="126">
        <v>112605.76</v>
      </c>
      <c r="I76" s="126">
        <v>0</v>
      </c>
      <c r="J76" s="129">
        <v>0</v>
      </c>
      <c r="K76" s="126">
        <v>33643.52</v>
      </c>
      <c r="L76" s="246">
        <f t="shared" si="2"/>
        <v>438275.72000000003</v>
      </c>
    </row>
    <row r="77" spans="1:12" ht="15.75">
      <c r="A77" s="123"/>
      <c r="B77" s="262">
        <v>57</v>
      </c>
      <c r="C77" s="263">
        <f t="shared" si="3"/>
        <v>30</v>
      </c>
      <c r="D77" s="144" t="s">
        <v>800</v>
      </c>
      <c r="E77" s="144"/>
      <c r="F77" s="127" t="s">
        <v>96</v>
      </c>
      <c r="G77" s="126">
        <v>4590</v>
      </c>
      <c r="H77" s="126">
        <v>0</v>
      </c>
      <c r="I77" s="126">
        <v>0</v>
      </c>
      <c r="J77" s="129">
        <v>0</v>
      </c>
      <c r="K77" s="126">
        <v>0</v>
      </c>
      <c r="L77" s="246">
        <f t="shared" si="2"/>
        <v>4590</v>
      </c>
    </row>
    <row r="78" spans="1:12" ht="15.75">
      <c r="A78" s="123"/>
      <c r="B78" s="262">
        <v>58</v>
      </c>
      <c r="C78" s="263">
        <f t="shared" si="3"/>
        <v>30</v>
      </c>
      <c r="D78" s="144" t="s">
        <v>801</v>
      </c>
      <c r="E78" s="144"/>
      <c r="F78" s="127" t="s">
        <v>96</v>
      </c>
      <c r="G78" s="126">
        <v>963450.01</v>
      </c>
      <c r="H78" s="126">
        <v>0</v>
      </c>
      <c r="I78" s="126">
        <v>0</v>
      </c>
      <c r="J78" s="129">
        <v>0</v>
      </c>
      <c r="K78" s="126">
        <v>12277.6</v>
      </c>
      <c r="L78" s="246">
        <f>SUM(G78:K78)</f>
        <v>975727.61</v>
      </c>
    </row>
    <row r="79" spans="1:12" ht="15.75">
      <c r="A79" s="123"/>
      <c r="B79" s="262">
        <v>59</v>
      </c>
      <c r="C79" s="263">
        <f t="shared" si="3"/>
        <v>30</v>
      </c>
      <c r="D79" s="144" t="s">
        <v>798</v>
      </c>
      <c r="E79" s="144"/>
      <c r="F79" s="127" t="s">
        <v>96</v>
      </c>
      <c r="G79" s="126">
        <v>3879189.38</v>
      </c>
      <c r="H79" s="126">
        <v>452841.99999999994</v>
      </c>
      <c r="I79" s="126">
        <v>0</v>
      </c>
      <c r="J79" s="129">
        <v>2826.17</v>
      </c>
      <c r="K79" s="126">
        <v>29571.58</v>
      </c>
      <c r="L79" s="246">
        <f t="shared" si="2"/>
        <v>4364429.13</v>
      </c>
    </row>
    <row r="80" spans="1:12" ht="15.75">
      <c r="A80" s="123"/>
      <c r="B80" s="262">
        <v>60</v>
      </c>
      <c r="C80" s="263">
        <f t="shared" si="3"/>
        <v>30</v>
      </c>
      <c r="D80" s="144" t="s">
        <v>799</v>
      </c>
      <c r="E80" s="144"/>
      <c r="F80" s="127" t="s">
        <v>96</v>
      </c>
      <c r="G80" s="126">
        <f>824322.23+77597.19</f>
        <v>901919.4199999999</v>
      </c>
      <c r="H80" s="126">
        <v>17.22</v>
      </c>
      <c r="I80" s="126">
        <v>0</v>
      </c>
      <c r="J80" s="129">
        <v>0</v>
      </c>
      <c r="K80" s="126">
        <v>12.27</v>
      </c>
      <c r="L80" s="246">
        <f t="shared" si="2"/>
        <v>901948.9099999999</v>
      </c>
    </row>
    <row r="81" spans="1:12" ht="15.75">
      <c r="A81" s="123"/>
      <c r="B81" s="262">
        <v>61</v>
      </c>
      <c r="C81" s="263">
        <f t="shared" si="3"/>
        <v>30</v>
      </c>
      <c r="D81" s="144" t="s">
        <v>858</v>
      </c>
      <c r="E81" s="144"/>
      <c r="F81" s="127" t="s">
        <v>96</v>
      </c>
      <c r="G81" s="126">
        <v>700841.6</v>
      </c>
      <c r="H81" s="126">
        <v>0</v>
      </c>
      <c r="I81" s="126">
        <v>0</v>
      </c>
      <c r="J81" s="129">
        <v>0</v>
      </c>
      <c r="K81" s="126">
        <v>1786.95</v>
      </c>
      <c r="L81" s="246">
        <f t="shared" si="2"/>
        <v>702628.5499999999</v>
      </c>
    </row>
    <row r="82" spans="1:12" ht="15.75">
      <c r="A82" s="123"/>
      <c r="B82" s="262">
        <v>62</v>
      </c>
      <c r="C82" s="263">
        <f t="shared" si="3"/>
        <v>30</v>
      </c>
      <c r="D82" s="144" t="s">
        <v>863</v>
      </c>
      <c r="E82" s="144"/>
      <c r="F82" s="127" t="s">
        <v>96</v>
      </c>
      <c r="G82" s="126">
        <v>51747.63</v>
      </c>
      <c r="H82" s="126">
        <v>0</v>
      </c>
      <c r="I82" s="126">
        <v>0</v>
      </c>
      <c r="J82" s="129">
        <v>0</v>
      </c>
      <c r="K82" s="126">
        <v>0</v>
      </c>
      <c r="L82" s="246">
        <f t="shared" si="2"/>
        <v>51747.63</v>
      </c>
    </row>
    <row r="83" spans="1:12" ht="15.75">
      <c r="A83" s="123"/>
      <c r="B83" s="262">
        <v>63</v>
      </c>
      <c r="C83" s="263">
        <f t="shared" si="3"/>
        <v>30</v>
      </c>
      <c r="D83" s="144" t="s">
        <v>802</v>
      </c>
      <c r="E83" s="144"/>
      <c r="F83" s="127" t="s">
        <v>95</v>
      </c>
      <c r="G83" s="126">
        <f>1288687.76*0.65</f>
        <v>837647.044</v>
      </c>
      <c r="H83" s="126">
        <v>0</v>
      </c>
      <c r="I83" s="126">
        <v>0</v>
      </c>
      <c r="J83" s="129">
        <v>0</v>
      </c>
      <c r="K83" s="126">
        <v>0</v>
      </c>
      <c r="L83" s="246">
        <f t="shared" si="2"/>
        <v>837647.044</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horizontalCentered="1"/>
  <pageMargins left="0.25" right="0.25" top="0.75" bottom="0.75" header="0.3" footer="0.3"/>
  <pageSetup horizontalDpi="600" verticalDpi="600" orientation="landscape" paperSize="5" scale="60"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9">
      <selection activeCell="A91" sqref="A91"/>
    </sheetView>
  </sheetViews>
  <sheetFormatPr defaultColWidth="0" defaultRowHeight="15" zeroHeight="1"/>
  <cols>
    <col min="1" max="1" width="128.140625" style="166" customWidth="1"/>
    <col min="2" max="16384" width="9.140625" style="166" hidden="1" customWidth="1"/>
  </cols>
  <sheetData>
    <row r="1" ht="15">
      <c r="A1" s="383" t="s">
        <v>772</v>
      </c>
    </row>
    <row r="2" ht="15.75">
      <c r="A2" s="385" t="s">
        <v>313</v>
      </c>
    </row>
    <row r="3" ht="15.75">
      <c r="A3" s="385" t="s">
        <v>312</v>
      </c>
    </row>
    <row r="4" ht="15.75">
      <c r="A4" s="385" t="s">
        <v>432</v>
      </c>
    </row>
    <row r="5" ht="15.75">
      <c r="A5" s="385" t="s">
        <v>431</v>
      </c>
    </row>
    <row r="6" ht="15.75">
      <c r="A6" s="385" t="s">
        <v>430</v>
      </c>
    </row>
    <row r="7" ht="15.75">
      <c r="A7" s="385" t="s">
        <v>726</v>
      </c>
    </row>
    <row r="8" ht="45.75">
      <c r="A8" s="385" t="s">
        <v>429</v>
      </c>
    </row>
    <row r="9" ht="15.75">
      <c r="A9" s="385" t="s">
        <v>428</v>
      </c>
    </row>
    <row r="10" ht="15.75">
      <c r="A10" s="385" t="s">
        <v>427</v>
      </c>
    </row>
    <row r="11" ht="15.75">
      <c r="A11" s="385" t="s">
        <v>426</v>
      </c>
    </row>
    <row r="12" ht="15.75">
      <c r="A12" s="385" t="s">
        <v>425</v>
      </c>
    </row>
    <row r="13" ht="15.75">
      <c r="A13" s="385" t="s">
        <v>756</v>
      </c>
    </row>
    <row r="14" ht="15.75">
      <c r="A14" s="385" t="s">
        <v>424</v>
      </c>
    </row>
    <row r="15" ht="15.75">
      <c r="A15" s="385" t="s">
        <v>423</v>
      </c>
    </row>
    <row r="16" ht="135.75">
      <c r="A16" s="385" t="s">
        <v>422</v>
      </c>
    </row>
    <row r="17" ht="15.75">
      <c r="A17" s="385" t="s">
        <v>325</v>
      </c>
    </row>
    <row r="18" ht="15.75">
      <c r="A18" s="385" t="s">
        <v>433</v>
      </c>
    </row>
    <row r="19" ht="15.75">
      <c r="A19" s="385" t="s">
        <v>434</v>
      </c>
    </row>
    <row r="20" ht="15.75">
      <c r="A20" s="385" t="s">
        <v>435</v>
      </c>
    </row>
    <row r="21" ht="15.75">
      <c r="A21" s="385" t="s">
        <v>493</v>
      </c>
    </row>
    <row r="22" ht="30.75">
      <c r="A22" s="385" t="s">
        <v>421</v>
      </c>
    </row>
    <row r="23" ht="15.75">
      <c r="A23" s="385" t="s">
        <v>451</v>
      </c>
    </row>
    <row r="24" ht="15.75">
      <c r="A24" s="385" t="s">
        <v>452</v>
      </c>
    </row>
    <row r="25" ht="15.75">
      <c r="A25" s="385" t="s">
        <v>453</v>
      </c>
    </row>
    <row r="26" ht="15.75">
      <c r="A26" s="385" t="s">
        <v>454</v>
      </c>
    </row>
    <row r="27" ht="15.75">
      <c r="A27" s="385" t="s">
        <v>455</v>
      </c>
    </row>
    <row r="28" ht="45.75">
      <c r="A28" s="385" t="s">
        <v>436</v>
      </c>
    </row>
    <row r="29" ht="15.75">
      <c r="A29" s="385" t="s">
        <v>330</v>
      </c>
    </row>
    <row r="30" ht="15.75">
      <c r="A30" s="385" t="s">
        <v>420</v>
      </c>
    </row>
    <row r="31" ht="15.75">
      <c r="A31" s="385" t="s">
        <v>419</v>
      </c>
    </row>
    <row r="32" ht="15.75">
      <c r="A32" s="385" t="s">
        <v>418</v>
      </c>
    </row>
    <row r="33" ht="15.75">
      <c r="A33" s="385" t="s">
        <v>417</v>
      </c>
    </row>
    <row r="34" ht="90.75">
      <c r="A34" s="385" t="s">
        <v>416</v>
      </c>
    </row>
    <row r="35" ht="15.75">
      <c r="A35" s="385" t="s">
        <v>333</v>
      </c>
    </row>
    <row r="36" ht="15.75">
      <c r="A36" s="385" t="s">
        <v>415</v>
      </c>
    </row>
    <row r="37" ht="15.75">
      <c r="A37" s="385" t="s">
        <v>414</v>
      </c>
    </row>
    <row r="38" ht="15.75">
      <c r="A38" s="385" t="s">
        <v>413</v>
      </c>
    </row>
    <row r="39" ht="15.75">
      <c r="A39" s="385" t="s">
        <v>412</v>
      </c>
    </row>
    <row r="40" ht="30.75">
      <c r="A40" s="385" t="s">
        <v>411</v>
      </c>
    </row>
    <row r="41" ht="15.75">
      <c r="A41" s="385" t="s">
        <v>335</v>
      </c>
    </row>
    <row r="42" ht="15.75">
      <c r="A42" s="385" t="s">
        <v>410</v>
      </c>
    </row>
    <row r="43" ht="15.75">
      <c r="A43" s="385" t="s">
        <v>409</v>
      </c>
    </row>
    <row r="44" ht="15.75">
      <c r="A44" s="385" t="s">
        <v>408</v>
      </c>
    </row>
    <row r="45" ht="15.75">
      <c r="A45" s="385" t="s">
        <v>407</v>
      </c>
    </row>
    <row r="46" ht="30.75">
      <c r="A46" s="385" t="s">
        <v>406</v>
      </c>
    </row>
    <row r="47" ht="15.75">
      <c r="A47" s="385" t="s">
        <v>405</v>
      </c>
    </row>
    <row r="48" ht="15.75">
      <c r="A48" s="385" t="s">
        <v>404</v>
      </c>
    </row>
    <row r="49" ht="15.75">
      <c r="A49" s="385" t="s">
        <v>403</v>
      </c>
    </row>
    <row r="50" ht="15.75">
      <c r="A50" s="385" t="s">
        <v>402</v>
      </c>
    </row>
    <row r="51" ht="15.75">
      <c r="A51" s="385" t="s">
        <v>401</v>
      </c>
    </row>
    <row r="52" ht="30.75">
      <c r="A52" s="385" t="s">
        <v>400</v>
      </c>
    </row>
    <row r="53" ht="15.75">
      <c r="A53" s="385" t="s">
        <v>399</v>
      </c>
    </row>
    <row r="54" ht="15.75">
      <c r="A54" s="385" t="s">
        <v>398</v>
      </c>
    </row>
    <row r="55" ht="15.75">
      <c r="A55" s="385" t="s">
        <v>397</v>
      </c>
    </row>
    <row r="56" ht="15.75">
      <c r="A56" s="385" t="s">
        <v>396</v>
      </c>
    </row>
    <row r="57" ht="15.75">
      <c r="A57" s="385" t="s">
        <v>395</v>
      </c>
    </row>
    <row r="58" ht="30.75">
      <c r="A58" s="385" t="s">
        <v>394</v>
      </c>
    </row>
    <row r="59" ht="15.75">
      <c r="A59" s="385" t="s">
        <v>393</v>
      </c>
    </row>
    <row r="60" ht="15.75">
      <c r="A60" s="385" t="s">
        <v>392</v>
      </c>
    </row>
    <row r="61" ht="15.75">
      <c r="A61" s="385" t="s">
        <v>391</v>
      </c>
    </row>
    <row r="62" ht="15.75">
      <c r="A62" s="385" t="s">
        <v>390</v>
      </c>
    </row>
    <row r="63" ht="15.75">
      <c r="A63" s="385" t="s">
        <v>389</v>
      </c>
    </row>
    <row r="64" ht="15.75">
      <c r="A64" s="385" t="s">
        <v>709</v>
      </c>
    </row>
    <row r="65" ht="15.75">
      <c r="A65" s="385" t="s">
        <v>710</v>
      </c>
    </row>
    <row r="66" ht="15.75">
      <c r="A66" s="385" t="s">
        <v>711</v>
      </c>
    </row>
    <row r="67" ht="15.75">
      <c r="A67" s="385" t="s">
        <v>712</v>
      </c>
    </row>
    <row r="68" ht="15.75">
      <c r="A68" s="385" t="s">
        <v>713</v>
      </c>
    </row>
    <row r="69" ht="15.75">
      <c r="A69" s="385" t="s">
        <v>714</v>
      </c>
    </row>
    <row r="70" ht="15.75">
      <c r="A70" s="385" t="s">
        <v>388</v>
      </c>
    </row>
    <row r="71" ht="15.75">
      <c r="A71" s="385" t="s">
        <v>387</v>
      </c>
    </row>
    <row r="72" ht="15.75">
      <c r="A72" s="385" t="s">
        <v>386</v>
      </c>
    </row>
    <row r="73" ht="15.75">
      <c r="A73" s="385" t="s">
        <v>385</v>
      </c>
    </row>
    <row r="74" ht="15.75">
      <c r="A74" s="385" t="s">
        <v>384</v>
      </c>
    </row>
    <row r="75" ht="15.75">
      <c r="A75" s="385" t="s">
        <v>383</v>
      </c>
    </row>
    <row r="76" ht="15.75">
      <c r="A76" s="385" t="s">
        <v>695</v>
      </c>
    </row>
    <row r="77" ht="15.75">
      <c r="A77" s="385" t="s">
        <v>759</v>
      </c>
    </row>
    <row r="78" ht="15.75">
      <c r="A78" s="385" t="s">
        <v>758</v>
      </c>
    </row>
    <row r="79" ht="15.75">
      <c r="A79" s="385" t="s">
        <v>760</v>
      </c>
    </row>
    <row r="80" ht="15.75">
      <c r="A80" s="385" t="s">
        <v>761</v>
      </c>
    </row>
    <row r="81" ht="15.75">
      <c r="A81" s="385" t="s">
        <v>730</v>
      </c>
    </row>
    <row r="82" ht="45.75">
      <c r="A82" s="385" t="s">
        <v>715</v>
      </c>
    </row>
    <row r="83" ht="82.5" customHeight="1">
      <c r="A83" s="385" t="s">
        <v>716</v>
      </c>
    </row>
    <row r="84" ht="75">
      <c r="A84" s="401" t="s">
        <v>717</v>
      </c>
    </row>
    <row r="85" ht="45.75">
      <c r="A85" s="385" t="s">
        <v>723</v>
      </c>
    </row>
    <row r="86" ht="30.75">
      <c r="A86" s="385" t="s">
        <v>718</v>
      </c>
    </row>
    <row r="87" ht="30.75">
      <c r="A87" s="385" t="s">
        <v>719</v>
      </c>
    </row>
    <row r="88" ht="30.75">
      <c r="A88" s="385" t="s">
        <v>720</v>
      </c>
    </row>
    <row r="89" ht="30.75">
      <c r="A89" s="385" t="s">
        <v>721</v>
      </c>
    </row>
    <row r="90" ht="30.75">
      <c r="A90" s="385" t="s">
        <v>722</v>
      </c>
    </row>
    <row r="91" ht="15.75">
      <c r="A91" s="385" t="s">
        <v>731</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37">
      <selection activeCell="D59" sqref="D5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774</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741</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Orange</v>
      </c>
      <c r="E9" s="27" t="str">
        <f>IF(ISBLANK('1. Information'!D11),"",'1. Information'!D11)</f>
        <v>Orange</v>
      </c>
      <c r="F9" s="226" t="s">
        <v>1</v>
      </c>
      <c r="G9" s="264">
        <f>IF(ISBLANK('1. Information'!D9),"",'1. Information'!D9)</f>
        <v>43823</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266589.1</v>
      </c>
      <c r="G15" s="136">
        <v>0</v>
      </c>
      <c r="H15" s="136">
        <v>0</v>
      </c>
      <c r="I15" s="136">
        <v>0</v>
      </c>
      <c r="J15" s="136">
        <v>0</v>
      </c>
      <c r="K15" s="241">
        <f>SUM(F15:J15)</f>
        <v>266589.1</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204556.02</v>
      </c>
      <c r="G16" s="136">
        <v>0</v>
      </c>
      <c r="H16" s="136">
        <v>0</v>
      </c>
      <c r="I16" s="136">
        <v>0</v>
      </c>
      <c r="J16" s="136">
        <v>0</v>
      </c>
      <c r="K16" s="241">
        <f aca="true" t="shared" si="0" ref="K16:K22">SUM(F16:J16)</f>
        <v>204556.02</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4934110.06</v>
      </c>
      <c r="G17" s="136">
        <v>0</v>
      </c>
      <c r="H17" s="136">
        <v>0</v>
      </c>
      <c r="I17" s="136">
        <v>0</v>
      </c>
      <c r="J17" s="136">
        <v>0</v>
      </c>
      <c r="K17" s="241">
        <f t="shared" si="0"/>
        <v>4934110.06</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0</v>
      </c>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900000</v>
      </c>
      <c r="G19" s="244"/>
      <c r="H19" s="244"/>
      <c r="I19" s="244"/>
      <c r="J19" s="244"/>
      <c r="K19" s="241">
        <f>F19</f>
        <v>900000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900000</v>
      </c>
      <c r="G20" s="244"/>
      <c r="H20" s="244"/>
      <c r="I20" s="244"/>
      <c r="J20" s="244"/>
      <c r="K20" s="241">
        <f>F20</f>
        <v>900000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27791955.9</v>
      </c>
      <c r="G21" s="275">
        <f>SUMIF($G$34:$G$133,"Combined Summary",M$34:M$133)+SUMIF($F$34:$F$133,"Standalone",M$34:M$133)</f>
        <v>0</v>
      </c>
      <c r="H21" s="275">
        <f>SUMIF($G$34:$G$133,"Combined Summary",N$34:N$133)+SUMIF($F$34:$F$133,"Standalone",N$34:N$133)</f>
        <v>0</v>
      </c>
      <c r="I21" s="275">
        <f>SUMIF($G$34:$G$133,"Combined Summary",O$34:O$133)+SUMIF($F$34:$F$133,"Standalone",O$34:O$133)</f>
        <v>-1.39</v>
      </c>
      <c r="J21" s="275">
        <f>SUMIF($G$34:$G$133,"Combined Summary",P$34:P$133)+SUMIF($F$34:$F$133,"Standalone",P$34:P$133)</f>
        <v>35750.89</v>
      </c>
      <c r="K21" s="246">
        <f t="shared" si="0"/>
        <v>27827705.4</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34097211.08</v>
      </c>
      <c r="G22" s="279">
        <f>SUM(G15:G17,G20:G21)</f>
        <v>0</v>
      </c>
      <c r="H22" s="279">
        <f>SUM(H15:H17,H20:H21)</f>
        <v>0</v>
      </c>
      <c r="I22" s="279">
        <f>SUM(I15:I17,I20:I21)</f>
        <v>-1.39</v>
      </c>
      <c r="J22" s="279">
        <f>SUM(J15:J17,J20:J21)</f>
        <v>35750.89</v>
      </c>
      <c r="K22" s="279">
        <f t="shared" si="0"/>
        <v>34132960.58</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732</v>
      </c>
      <c r="E28" s="286">
        <f>IF(F22=0,"0%",((SUMPRODUCT($K$34:$K$133,$L$34:$L$133)+(F20*F28))/$F$22))</f>
        <v>0.5650825385628577</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30</v>
      </c>
      <c r="D34" s="144" t="s">
        <v>828</v>
      </c>
      <c r="E34" s="144"/>
      <c r="F34" s="147" t="s">
        <v>125</v>
      </c>
      <c r="G34" s="148" t="s">
        <v>122</v>
      </c>
      <c r="H34" s="147"/>
      <c r="I34" s="416">
        <v>1</v>
      </c>
      <c r="J34" s="416">
        <v>1</v>
      </c>
      <c r="K34" s="302">
        <f>IF(OR(G34="Combined Summary",F34="Standalone"),(SUMPRODUCT(--(D$34:D$133=D34),I$34:I$133,J$34:J$133)),"")</f>
        <v>1</v>
      </c>
      <c r="L34" s="126">
        <f>1168161.52+1192226.85</f>
        <v>2360388.37</v>
      </c>
      <c r="M34" s="417">
        <v>0</v>
      </c>
      <c r="N34" s="415">
        <v>0</v>
      </c>
      <c r="O34" s="415">
        <v>0</v>
      </c>
      <c r="P34" s="415">
        <v>5452</v>
      </c>
      <c r="Q34" s="303">
        <f>SUM(L34:P34)</f>
        <v>2365840.37</v>
      </c>
      <c r="R34" s="178">
        <f>IF(OR(G34="Combined Summary",F34="Standalone"),(SUMIF(D$34:D$133,D34,I$34:I$133)),"")</f>
        <v>1</v>
      </c>
      <c r="S34" s="179">
        <f>IF(AND(F34="Standalone",NOT(R34=1)),"ERROR",IF(AND(G34="Combined Summary",NOT(R34=1)),"ERROR",""))</f>
      </c>
      <c r="T34" s="177"/>
      <c r="AL34" s="27"/>
      <c r="AM34" s="27"/>
      <c r="AN34" s="27"/>
    </row>
    <row r="35" spans="2:40" ht="30.75">
      <c r="B35" s="300">
        <v>11</v>
      </c>
      <c r="C35" s="301">
        <f t="shared" si="1"/>
        <v>30</v>
      </c>
      <c r="D35" s="144" t="s">
        <v>829</v>
      </c>
      <c r="E35" s="144"/>
      <c r="F35" s="147" t="s">
        <v>125</v>
      </c>
      <c r="G35" s="148" t="s">
        <v>121</v>
      </c>
      <c r="H35" s="147"/>
      <c r="I35" s="416">
        <v>1</v>
      </c>
      <c r="J35" s="416">
        <v>1</v>
      </c>
      <c r="K35" s="302">
        <f aca="true" t="shared" si="2" ref="K35:K98">IF(OR(G35="Combined Summary",F35="Standalone"),(SUMPRODUCT(--(D$34:D$133=D35),I$34:I$133,J$34:J$133)),"")</f>
        <v>1</v>
      </c>
      <c r="L35" s="126">
        <v>2414268</v>
      </c>
      <c r="M35" s="417">
        <v>0</v>
      </c>
      <c r="N35" s="415">
        <v>0</v>
      </c>
      <c r="O35" s="415">
        <v>0</v>
      </c>
      <c r="P35" s="415">
        <v>0</v>
      </c>
      <c r="Q35" s="303">
        <f aca="true" t="shared" si="3" ref="Q35:Q98">SUM(L35:P35)</f>
        <v>2414268</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30</v>
      </c>
      <c r="D36" s="144" t="s">
        <v>830</v>
      </c>
      <c r="E36" s="144"/>
      <c r="F36" s="147" t="s">
        <v>125</v>
      </c>
      <c r="G36" s="148" t="s">
        <v>129</v>
      </c>
      <c r="H36" s="147"/>
      <c r="I36" s="416">
        <v>1</v>
      </c>
      <c r="J36" s="416">
        <v>1</v>
      </c>
      <c r="K36" s="302">
        <f t="shared" si="2"/>
        <v>1</v>
      </c>
      <c r="L36" s="126">
        <v>155000</v>
      </c>
      <c r="M36" s="417">
        <v>0</v>
      </c>
      <c r="N36" s="415">
        <v>0</v>
      </c>
      <c r="O36" s="415">
        <v>0</v>
      </c>
      <c r="P36" s="415">
        <v>0</v>
      </c>
      <c r="Q36" s="303">
        <f t="shared" si="3"/>
        <v>155000</v>
      </c>
      <c r="R36" s="178">
        <f t="shared" si="4"/>
        <v>1</v>
      </c>
      <c r="S36" s="180">
        <f t="shared" si="5"/>
      </c>
      <c r="AL36" s="27"/>
      <c r="AM36" s="27"/>
      <c r="AN36" s="27"/>
    </row>
    <row r="37" spans="2:40" ht="15.75">
      <c r="B37" s="300">
        <v>13</v>
      </c>
      <c r="C37" s="301">
        <f t="shared" si="1"/>
        <v>30</v>
      </c>
      <c r="D37" s="144" t="s">
        <v>831</v>
      </c>
      <c r="E37" s="144"/>
      <c r="F37" s="147" t="s">
        <v>125</v>
      </c>
      <c r="G37" s="148" t="s">
        <v>121</v>
      </c>
      <c r="H37" s="147"/>
      <c r="I37" s="416">
        <v>1</v>
      </c>
      <c r="J37" s="416">
        <v>1</v>
      </c>
      <c r="K37" s="302">
        <f t="shared" si="2"/>
        <v>1</v>
      </c>
      <c r="L37" s="126">
        <v>1353272</v>
      </c>
      <c r="M37" s="417">
        <v>0</v>
      </c>
      <c r="N37" s="415">
        <v>0</v>
      </c>
      <c r="O37" s="415">
        <v>0</v>
      </c>
      <c r="P37" s="415">
        <v>0</v>
      </c>
      <c r="Q37" s="303">
        <f t="shared" si="3"/>
        <v>1353272</v>
      </c>
      <c r="R37" s="178">
        <f t="shared" si="4"/>
        <v>1</v>
      </c>
      <c r="S37" s="180">
        <f t="shared" si="5"/>
      </c>
      <c r="AL37" s="27"/>
      <c r="AM37" s="27"/>
      <c r="AN37" s="27"/>
    </row>
    <row r="38" spans="2:40" ht="15.75">
      <c r="B38" s="300">
        <v>14</v>
      </c>
      <c r="C38" s="301">
        <f t="shared" si="1"/>
        <v>30</v>
      </c>
      <c r="D38" s="144" t="s">
        <v>832</v>
      </c>
      <c r="E38" s="144"/>
      <c r="F38" s="147" t="s">
        <v>125</v>
      </c>
      <c r="G38" s="148" t="s">
        <v>121</v>
      </c>
      <c r="H38" s="147"/>
      <c r="I38" s="416">
        <v>1</v>
      </c>
      <c r="J38" s="416">
        <v>1</v>
      </c>
      <c r="K38" s="302">
        <f t="shared" si="2"/>
        <v>1</v>
      </c>
      <c r="L38" s="126">
        <v>233757.6</v>
      </c>
      <c r="M38" s="417">
        <v>0</v>
      </c>
      <c r="N38" s="415">
        <v>0</v>
      </c>
      <c r="O38" s="415">
        <v>0</v>
      </c>
      <c r="P38" s="415">
        <v>0</v>
      </c>
      <c r="Q38" s="303">
        <f t="shared" si="3"/>
        <v>233757.6</v>
      </c>
      <c r="R38" s="178">
        <f t="shared" si="4"/>
        <v>1</v>
      </c>
      <c r="S38" s="180">
        <f t="shared" si="5"/>
      </c>
      <c r="AL38" s="27"/>
      <c r="AM38" s="27"/>
      <c r="AN38" s="27"/>
    </row>
    <row r="39" spans="2:40" ht="30.75">
      <c r="B39" s="300">
        <v>15</v>
      </c>
      <c r="C39" s="301">
        <f t="shared" si="1"/>
        <v>30</v>
      </c>
      <c r="D39" s="144" t="s">
        <v>816</v>
      </c>
      <c r="E39" s="144"/>
      <c r="F39" s="147" t="s">
        <v>125</v>
      </c>
      <c r="G39" s="148" t="s">
        <v>127</v>
      </c>
      <c r="H39" s="147"/>
      <c r="I39" s="416">
        <v>1</v>
      </c>
      <c r="J39" s="416">
        <v>0.5</v>
      </c>
      <c r="K39" s="302">
        <f t="shared" si="2"/>
        <v>0.5</v>
      </c>
      <c r="L39" s="126">
        <v>152127.99</v>
      </c>
      <c r="M39" s="417">
        <v>0</v>
      </c>
      <c r="N39" s="415">
        <v>0</v>
      </c>
      <c r="O39" s="415">
        <v>0</v>
      </c>
      <c r="P39" s="415">
        <v>0</v>
      </c>
      <c r="Q39" s="303">
        <f t="shared" si="3"/>
        <v>152127.99</v>
      </c>
      <c r="R39" s="178">
        <f t="shared" si="4"/>
        <v>1</v>
      </c>
      <c r="S39" s="180">
        <f t="shared" si="5"/>
      </c>
      <c r="AL39" s="27"/>
      <c r="AM39" s="27"/>
      <c r="AN39" s="27"/>
    </row>
    <row r="40" spans="2:40" ht="30.75">
      <c r="B40" s="300">
        <v>16</v>
      </c>
      <c r="C40" s="301">
        <f t="shared" si="1"/>
        <v>30</v>
      </c>
      <c r="D40" s="144" t="s">
        <v>819</v>
      </c>
      <c r="E40" s="144"/>
      <c r="F40" s="147" t="s">
        <v>125</v>
      </c>
      <c r="G40" s="148" t="s">
        <v>128</v>
      </c>
      <c r="H40" s="147"/>
      <c r="I40" s="416">
        <v>1</v>
      </c>
      <c r="J40" s="416">
        <v>0.5</v>
      </c>
      <c r="K40" s="302">
        <f t="shared" si="2"/>
        <v>0.5</v>
      </c>
      <c r="L40" s="126">
        <v>210382</v>
      </c>
      <c r="M40" s="417">
        <v>0</v>
      </c>
      <c r="N40" s="415">
        <v>0</v>
      </c>
      <c r="O40" s="415">
        <v>0</v>
      </c>
      <c r="P40" s="415">
        <v>0</v>
      </c>
      <c r="Q40" s="303">
        <f t="shared" si="3"/>
        <v>210382</v>
      </c>
      <c r="R40" s="178">
        <f t="shared" si="4"/>
        <v>1</v>
      </c>
      <c r="S40" s="180">
        <f t="shared" si="5"/>
      </c>
      <c r="AL40" s="27"/>
      <c r="AM40" s="27"/>
      <c r="AN40" s="27"/>
    </row>
    <row r="41" spans="2:40" ht="15.75">
      <c r="B41" s="300">
        <v>17</v>
      </c>
      <c r="C41" s="301">
        <f t="shared" si="1"/>
        <v>30</v>
      </c>
      <c r="D41" s="144" t="s">
        <v>833</v>
      </c>
      <c r="E41" s="144"/>
      <c r="F41" s="147" t="s">
        <v>125</v>
      </c>
      <c r="G41" s="148" t="s">
        <v>118</v>
      </c>
      <c r="H41" s="147"/>
      <c r="I41" s="416">
        <v>1</v>
      </c>
      <c r="J41" s="416">
        <v>0.5</v>
      </c>
      <c r="K41" s="302">
        <f t="shared" si="2"/>
        <v>0.5</v>
      </c>
      <c r="L41" s="126">
        <v>933716.3</v>
      </c>
      <c r="M41" s="417">
        <v>0</v>
      </c>
      <c r="N41" s="415">
        <v>0</v>
      </c>
      <c r="O41" s="415">
        <v>0</v>
      </c>
      <c r="P41" s="415">
        <v>0</v>
      </c>
      <c r="Q41" s="303">
        <f t="shared" si="3"/>
        <v>933716.3</v>
      </c>
      <c r="R41" s="178">
        <f t="shared" si="4"/>
        <v>1</v>
      </c>
      <c r="S41" s="180">
        <f t="shared" si="5"/>
      </c>
      <c r="AL41" s="27"/>
      <c r="AM41" s="27"/>
      <c r="AN41" s="27"/>
    </row>
    <row r="42" spans="2:40" ht="15.75">
      <c r="B42" s="300">
        <v>18</v>
      </c>
      <c r="C42" s="301">
        <f t="shared" si="1"/>
        <v>30</v>
      </c>
      <c r="D42" s="144" t="s">
        <v>834</v>
      </c>
      <c r="E42" s="144" t="s">
        <v>827</v>
      </c>
      <c r="F42" s="147" t="s">
        <v>125</v>
      </c>
      <c r="G42" s="148" t="s">
        <v>118</v>
      </c>
      <c r="H42" s="147"/>
      <c r="I42" s="416">
        <v>1</v>
      </c>
      <c r="J42" s="416">
        <v>0.5</v>
      </c>
      <c r="K42" s="302">
        <f t="shared" si="2"/>
        <v>0.5</v>
      </c>
      <c r="L42" s="126">
        <v>978503.69</v>
      </c>
      <c r="M42" s="417">
        <v>0</v>
      </c>
      <c r="N42" s="415">
        <v>0</v>
      </c>
      <c r="O42" s="415">
        <v>0</v>
      </c>
      <c r="P42" s="415">
        <v>1345.89</v>
      </c>
      <c r="Q42" s="303">
        <f t="shared" si="3"/>
        <v>979849.58</v>
      </c>
      <c r="R42" s="178">
        <f t="shared" si="4"/>
        <v>1</v>
      </c>
      <c r="S42" s="180">
        <f t="shared" si="5"/>
      </c>
      <c r="AL42" s="27"/>
      <c r="AM42" s="27"/>
      <c r="AN42" s="27"/>
    </row>
    <row r="43" spans="2:40" ht="15.75">
      <c r="B43" s="300">
        <v>19</v>
      </c>
      <c r="C43" s="301">
        <f t="shared" si="1"/>
        <v>30</v>
      </c>
      <c r="D43" s="144" t="s">
        <v>835</v>
      </c>
      <c r="E43" s="144"/>
      <c r="F43" s="147" t="s">
        <v>125</v>
      </c>
      <c r="G43" s="148" t="s">
        <v>121</v>
      </c>
      <c r="H43" s="147"/>
      <c r="I43" s="416">
        <v>1</v>
      </c>
      <c r="J43" s="416">
        <v>0.5</v>
      </c>
      <c r="K43" s="302">
        <f t="shared" si="2"/>
        <v>0.5</v>
      </c>
      <c r="L43" s="126">
        <v>2598636.99</v>
      </c>
      <c r="M43" s="417">
        <v>0</v>
      </c>
      <c r="N43" s="415">
        <v>0</v>
      </c>
      <c r="O43" s="415">
        <v>0</v>
      </c>
      <c r="P43" s="415">
        <v>20417</v>
      </c>
      <c r="Q43" s="303">
        <f t="shared" si="3"/>
        <v>2619053.99</v>
      </c>
      <c r="R43" s="178">
        <f t="shared" si="4"/>
        <v>1</v>
      </c>
      <c r="S43" s="180">
        <f t="shared" si="5"/>
      </c>
      <c r="AL43" s="27"/>
      <c r="AM43" s="27"/>
      <c r="AN43" s="27"/>
    </row>
    <row r="44" spans="2:40" ht="15.75">
      <c r="B44" s="300">
        <v>20</v>
      </c>
      <c r="C44" s="301">
        <f t="shared" si="1"/>
        <v>30</v>
      </c>
      <c r="D44" s="144" t="s">
        <v>812</v>
      </c>
      <c r="E44" s="144"/>
      <c r="F44" s="147" t="s">
        <v>125</v>
      </c>
      <c r="G44" s="148" t="s">
        <v>122</v>
      </c>
      <c r="H44" s="147"/>
      <c r="I44" s="416">
        <v>1</v>
      </c>
      <c r="J44" s="416">
        <v>0.5</v>
      </c>
      <c r="K44" s="302">
        <f t="shared" si="2"/>
        <v>0.5</v>
      </c>
      <c r="L44" s="126">
        <v>388658</v>
      </c>
      <c r="M44" s="417">
        <v>0</v>
      </c>
      <c r="N44" s="415">
        <v>0</v>
      </c>
      <c r="O44" s="415">
        <v>0</v>
      </c>
      <c r="P44" s="415">
        <v>3265</v>
      </c>
      <c r="Q44" s="303">
        <f t="shared" si="3"/>
        <v>391923</v>
      </c>
      <c r="R44" s="178">
        <f t="shared" si="4"/>
        <v>1</v>
      </c>
      <c r="S44" s="180">
        <f t="shared" si="5"/>
      </c>
      <c r="AL44" s="27"/>
      <c r="AM44" s="27"/>
      <c r="AN44" s="27"/>
    </row>
    <row r="45" spans="2:40" ht="15.75">
      <c r="B45" s="300">
        <v>21</v>
      </c>
      <c r="C45" s="301">
        <f t="shared" si="1"/>
        <v>30</v>
      </c>
      <c r="D45" s="144" t="s">
        <v>836</v>
      </c>
      <c r="E45" s="144"/>
      <c r="F45" s="147" t="s">
        <v>125</v>
      </c>
      <c r="G45" s="148" t="s">
        <v>122</v>
      </c>
      <c r="H45" s="147"/>
      <c r="I45" s="416">
        <v>1</v>
      </c>
      <c r="J45" s="416">
        <v>0.25</v>
      </c>
      <c r="K45" s="302">
        <f t="shared" si="2"/>
        <v>0.25</v>
      </c>
      <c r="L45" s="126">
        <v>1895807.72</v>
      </c>
      <c r="M45" s="417">
        <v>0</v>
      </c>
      <c r="N45" s="415">
        <v>0</v>
      </c>
      <c r="O45" s="415">
        <v>0</v>
      </c>
      <c r="P45" s="415">
        <v>0</v>
      </c>
      <c r="Q45" s="303">
        <f t="shared" si="3"/>
        <v>1895807.72</v>
      </c>
      <c r="R45" s="178">
        <f t="shared" si="4"/>
        <v>1</v>
      </c>
      <c r="S45" s="180">
        <f t="shared" si="5"/>
      </c>
      <c r="AL45" s="27"/>
      <c r="AM45" s="27"/>
      <c r="AN45" s="27"/>
    </row>
    <row r="46" spans="2:40" ht="15.75">
      <c r="B46" s="300">
        <v>22</v>
      </c>
      <c r="C46" s="301">
        <f t="shared" si="1"/>
        <v>30</v>
      </c>
      <c r="D46" s="144" t="s">
        <v>837</v>
      </c>
      <c r="E46" s="144"/>
      <c r="F46" s="147" t="s">
        <v>125</v>
      </c>
      <c r="G46" s="148" t="s">
        <v>122</v>
      </c>
      <c r="H46" s="147"/>
      <c r="I46" s="416">
        <v>1</v>
      </c>
      <c r="J46" s="416">
        <v>1</v>
      </c>
      <c r="K46" s="302">
        <f t="shared" si="2"/>
        <v>1</v>
      </c>
      <c r="L46" s="126">
        <v>582937.46</v>
      </c>
      <c r="M46" s="417">
        <v>0</v>
      </c>
      <c r="N46" s="415">
        <v>0</v>
      </c>
      <c r="O46" s="415">
        <v>0</v>
      </c>
      <c r="P46" s="415">
        <v>0</v>
      </c>
      <c r="Q46" s="303">
        <f t="shared" si="3"/>
        <v>582937.46</v>
      </c>
      <c r="R46" s="178">
        <f t="shared" si="4"/>
        <v>1</v>
      </c>
      <c r="S46" s="180">
        <f t="shared" si="5"/>
      </c>
      <c r="AL46" s="27"/>
      <c r="AM46" s="27"/>
      <c r="AN46" s="27"/>
    </row>
    <row r="47" spans="2:40" ht="15.75">
      <c r="B47" s="300">
        <v>23</v>
      </c>
      <c r="C47" s="301">
        <f>IF(AND(NOT(COUNTA(D47:J47)),(NOT(COUNTA(L47:P47)))),"",VLOOKUP($D$9,Info_County_Code,2,FALSE))</f>
        <v>30</v>
      </c>
      <c r="D47" s="144" t="s">
        <v>826</v>
      </c>
      <c r="E47" s="378"/>
      <c r="F47" s="147" t="s">
        <v>125</v>
      </c>
      <c r="G47" s="148" t="s">
        <v>122</v>
      </c>
      <c r="H47" s="147"/>
      <c r="I47" s="416">
        <v>1</v>
      </c>
      <c r="J47" s="416">
        <v>1</v>
      </c>
      <c r="K47" s="302">
        <f t="shared" si="2"/>
        <v>1</v>
      </c>
      <c r="L47" s="126">
        <v>1264611.26</v>
      </c>
      <c r="M47" s="417">
        <v>0</v>
      </c>
      <c r="N47" s="415">
        <v>0</v>
      </c>
      <c r="O47" s="415">
        <v>0</v>
      </c>
      <c r="P47" s="415">
        <v>0</v>
      </c>
      <c r="Q47" s="303">
        <f>SUM(L47:P47)</f>
        <v>1264611.26</v>
      </c>
      <c r="R47" s="178">
        <f t="shared" si="4"/>
        <v>1</v>
      </c>
      <c r="S47" s="180">
        <f t="shared" si="5"/>
      </c>
      <c r="AL47" s="27"/>
      <c r="AM47" s="27"/>
      <c r="AN47" s="27"/>
    </row>
    <row r="48" spans="2:40" ht="15.75">
      <c r="B48" s="300">
        <v>24</v>
      </c>
      <c r="C48" s="301">
        <f>IF(AND(NOT(COUNTA(D48:J48)),(NOT(COUNTA(L48:P48)))),"",VLOOKUP($D$9,Info_County_Code,2,FALSE))</f>
        <v>30</v>
      </c>
      <c r="D48" s="144" t="s">
        <v>814</v>
      </c>
      <c r="E48" s="144"/>
      <c r="F48" s="147" t="s">
        <v>125</v>
      </c>
      <c r="G48" s="148" t="s">
        <v>122</v>
      </c>
      <c r="H48" s="147"/>
      <c r="I48" s="416">
        <v>1</v>
      </c>
      <c r="J48" s="416">
        <v>0</v>
      </c>
      <c r="K48" s="302">
        <f t="shared" si="2"/>
        <v>0</v>
      </c>
      <c r="L48" s="126">
        <v>1469500</v>
      </c>
      <c r="M48" s="417">
        <v>0</v>
      </c>
      <c r="N48" s="415">
        <v>0</v>
      </c>
      <c r="O48" s="415">
        <v>0</v>
      </c>
      <c r="P48" s="415">
        <v>0</v>
      </c>
      <c r="Q48" s="303">
        <f>SUM(L48:P48)</f>
        <v>1469500</v>
      </c>
      <c r="R48" s="178">
        <f t="shared" si="4"/>
        <v>1</v>
      </c>
      <c r="S48" s="180">
        <f t="shared" si="5"/>
      </c>
      <c r="AL48" s="27"/>
      <c r="AM48" s="27"/>
      <c r="AN48" s="27"/>
    </row>
    <row r="49" spans="2:40" ht="30.75">
      <c r="B49" s="300">
        <v>25</v>
      </c>
      <c r="C49" s="301">
        <f t="shared" si="1"/>
        <v>30</v>
      </c>
      <c r="D49" s="144" t="s">
        <v>838</v>
      </c>
      <c r="E49" s="144"/>
      <c r="F49" s="147" t="s">
        <v>125</v>
      </c>
      <c r="G49" s="148" t="s">
        <v>121</v>
      </c>
      <c r="H49" s="147"/>
      <c r="I49" s="416">
        <v>1</v>
      </c>
      <c r="J49" s="416">
        <v>1</v>
      </c>
      <c r="K49" s="302">
        <f t="shared" si="2"/>
        <v>1</v>
      </c>
      <c r="L49" s="126">
        <v>2534856.23</v>
      </c>
      <c r="M49" s="417">
        <v>0</v>
      </c>
      <c r="N49" s="415">
        <v>0</v>
      </c>
      <c r="O49" s="415">
        <v>0</v>
      </c>
      <c r="P49" s="415">
        <v>0</v>
      </c>
      <c r="Q49" s="303">
        <f t="shared" si="3"/>
        <v>2534856.23</v>
      </c>
      <c r="R49" s="178">
        <f t="shared" si="4"/>
        <v>1</v>
      </c>
      <c r="S49" s="180">
        <f t="shared" si="5"/>
      </c>
      <c r="AL49" s="27"/>
      <c r="AM49" s="27"/>
      <c r="AN49" s="27"/>
    </row>
    <row r="50" spans="2:40" ht="30.75">
      <c r="B50" s="300">
        <v>26</v>
      </c>
      <c r="C50" s="301">
        <f t="shared" si="1"/>
        <v>30</v>
      </c>
      <c r="D50" s="144" t="s">
        <v>839</v>
      </c>
      <c r="E50" s="144"/>
      <c r="F50" s="147" t="s">
        <v>125</v>
      </c>
      <c r="G50" s="148" t="s">
        <v>122</v>
      </c>
      <c r="H50" s="147"/>
      <c r="I50" s="416">
        <v>1</v>
      </c>
      <c r="J50" s="416">
        <v>1</v>
      </c>
      <c r="K50" s="302">
        <f t="shared" si="2"/>
        <v>1</v>
      </c>
      <c r="L50" s="126">
        <v>428417</v>
      </c>
      <c r="M50" s="417">
        <v>0</v>
      </c>
      <c r="N50" s="415">
        <v>0</v>
      </c>
      <c r="O50" s="415">
        <v>0</v>
      </c>
      <c r="P50" s="415">
        <v>0</v>
      </c>
      <c r="Q50" s="303">
        <f t="shared" si="3"/>
        <v>428417</v>
      </c>
      <c r="R50" s="178">
        <f t="shared" si="4"/>
        <v>1</v>
      </c>
      <c r="S50" s="180">
        <f t="shared" si="5"/>
      </c>
      <c r="AL50" s="27"/>
      <c r="AM50" s="27"/>
      <c r="AN50" s="27"/>
    </row>
    <row r="51" spans="2:40" ht="15.75">
      <c r="B51" s="300">
        <v>27</v>
      </c>
      <c r="C51" s="301">
        <f t="shared" si="1"/>
        <v>30</v>
      </c>
      <c r="D51" s="144" t="s">
        <v>815</v>
      </c>
      <c r="E51" s="144"/>
      <c r="F51" s="147" t="s">
        <v>125</v>
      </c>
      <c r="G51" s="148" t="s">
        <v>122</v>
      </c>
      <c r="H51" s="147"/>
      <c r="I51" s="416">
        <v>1</v>
      </c>
      <c r="J51" s="416">
        <v>0.5</v>
      </c>
      <c r="K51" s="302">
        <f t="shared" si="2"/>
        <v>0.5</v>
      </c>
      <c r="L51" s="126">
        <v>357702.49</v>
      </c>
      <c r="M51" s="417">
        <v>0</v>
      </c>
      <c r="N51" s="415">
        <v>0</v>
      </c>
      <c r="O51" s="415">
        <v>0</v>
      </c>
      <c r="P51" s="415">
        <v>0</v>
      </c>
      <c r="Q51" s="303">
        <f t="shared" si="3"/>
        <v>357702.49</v>
      </c>
      <c r="R51" s="178">
        <f t="shared" si="4"/>
        <v>1</v>
      </c>
      <c r="S51" s="180">
        <f t="shared" si="5"/>
      </c>
      <c r="AL51" s="27"/>
      <c r="AM51" s="27"/>
      <c r="AN51" s="27"/>
    </row>
    <row r="52" spans="2:40" ht="30.75">
      <c r="B52" s="300">
        <v>28</v>
      </c>
      <c r="C52" s="301">
        <f t="shared" si="1"/>
        <v>30</v>
      </c>
      <c r="D52" s="144" t="s">
        <v>840</v>
      </c>
      <c r="E52" s="144"/>
      <c r="F52" s="147" t="s">
        <v>125</v>
      </c>
      <c r="G52" s="148" t="s">
        <v>122</v>
      </c>
      <c r="H52" s="147"/>
      <c r="I52" s="416">
        <v>1</v>
      </c>
      <c r="J52" s="416">
        <v>0.25</v>
      </c>
      <c r="K52" s="302">
        <f t="shared" si="2"/>
        <v>0.25</v>
      </c>
      <c r="L52" s="126">
        <f>2187821.18+5283.84</f>
        <v>2193105.02</v>
      </c>
      <c r="M52" s="417">
        <v>0</v>
      </c>
      <c r="N52" s="415">
        <v>0</v>
      </c>
      <c r="O52" s="415">
        <v>0</v>
      </c>
      <c r="P52" s="415">
        <v>0</v>
      </c>
      <c r="Q52" s="303">
        <f t="shared" si="3"/>
        <v>2193105.02</v>
      </c>
      <c r="R52" s="178">
        <f t="shared" si="4"/>
        <v>1</v>
      </c>
      <c r="S52" s="180">
        <f t="shared" si="5"/>
      </c>
      <c r="AL52" s="27"/>
      <c r="AM52" s="27"/>
      <c r="AN52" s="27"/>
    </row>
    <row r="53" spans="2:40" ht="15.75">
      <c r="B53" s="300">
        <v>29</v>
      </c>
      <c r="C53" s="301">
        <f t="shared" si="1"/>
        <v>30</v>
      </c>
      <c r="D53" s="144" t="s">
        <v>841</v>
      </c>
      <c r="E53" s="144"/>
      <c r="F53" s="147" t="s">
        <v>125</v>
      </c>
      <c r="G53" s="148" t="s">
        <v>121</v>
      </c>
      <c r="H53" s="147"/>
      <c r="I53" s="416">
        <v>1</v>
      </c>
      <c r="J53" s="416">
        <v>0.5</v>
      </c>
      <c r="K53" s="302">
        <f t="shared" si="2"/>
        <v>0.5</v>
      </c>
      <c r="L53" s="126">
        <v>598936.59</v>
      </c>
      <c r="M53" s="417">
        <v>0</v>
      </c>
      <c r="N53" s="415">
        <v>0</v>
      </c>
      <c r="O53" s="415">
        <v>0</v>
      </c>
      <c r="P53" s="415">
        <v>0</v>
      </c>
      <c r="Q53" s="303">
        <f t="shared" si="3"/>
        <v>598936.59</v>
      </c>
      <c r="R53" s="178">
        <f t="shared" si="4"/>
        <v>1</v>
      </c>
      <c r="S53" s="180">
        <f t="shared" si="5"/>
      </c>
      <c r="AL53" s="27"/>
      <c r="AM53" s="27"/>
      <c r="AN53" s="27"/>
    </row>
    <row r="54" spans="2:40" ht="15.75">
      <c r="B54" s="300">
        <v>30</v>
      </c>
      <c r="C54" s="301">
        <f t="shared" si="1"/>
        <v>30</v>
      </c>
      <c r="D54" s="144" t="s">
        <v>818</v>
      </c>
      <c r="E54" s="144"/>
      <c r="F54" s="147" t="s">
        <v>125</v>
      </c>
      <c r="G54" s="148" t="s">
        <v>121</v>
      </c>
      <c r="H54" s="147"/>
      <c r="I54" s="416">
        <v>1</v>
      </c>
      <c r="J54" s="416">
        <v>0.5</v>
      </c>
      <c r="K54" s="302">
        <f t="shared" si="2"/>
        <v>0.5</v>
      </c>
      <c r="L54" s="126">
        <v>950289.66</v>
      </c>
      <c r="M54" s="417">
        <v>0</v>
      </c>
      <c r="N54" s="415">
        <v>0</v>
      </c>
      <c r="O54" s="415">
        <v>-1.39</v>
      </c>
      <c r="P54" s="415">
        <v>0</v>
      </c>
      <c r="Q54" s="303">
        <f t="shared" si="3"/>
        <v>950288.27</v>
      </c>
      <c r="R54" s="178">
        <f t="shared" si="4"/>
        <v>1</v>
      </c>
      <c r="S54" s="180">
        <f t="shared" si="5"/>
      </c>
      <c r="AL54" s="27"/>
      <c r="AM54" s="27"/>
      <c r="AN54" s="27"/>
    </row>
    <row r="55" spans="2:40" ht="15.75">
      <c r="B55" s="300">
        <v>31</v>
      </c>
      <c r="C55" s="301">
        <f t="shared" si="1"/>
        <v>30</v>
      </c>
      <c r="D55" s="144" t="s">
        <v>842</v>
      </c>
      <c r="E55" s="144" t="s">
        <v>813</v>
      </c>
      <c r="F55" s="147" t="s">
        <v>125</v>
      </c>
      <c r="G55" s="148" t="s">
        <v>122</v>
      </c>
      <c r="H55" s="147"/>
      <c r="I55" s="416">
        <v>1</v>
      </c>
      <c r="J55" s="416">
        <v>1</v>
      </c>
      <c r="K55" s="302">
        <f t="shared" si="2"/>
        <v>1</v>
      </c>
      <c r="L55" s="126">
        <v>209901.68</v>
      </c>
      <c r="M55" s="417">
        <v>0</v>
      </c>
      <c r="N55" s="415">
        <v>0</v>
      </c>
      <c r="O55" s="415">
        <v>0</v>
      </c>
      <c r="P55" s="415">
        <v>0</v>
      </c>
      <c r="Q55" s="303">
        <f t="shared" si="3"/>
        <v>209901.68</v>
      </c>
      <c r="R55" s="178">
        <f t="shared" si="4"/>
        <v>1</v>
      </c>
      <c r="S55" s="180">
        <f t="shared" si="5"/>
      </c>
      <c r="AL55" s="27"/>
      <c r="AM55" s="27"/>
      <c r="AN55" s="27"/>
    </row>
    <row r="56" spans="2:40" ht="15.75">
      <c r="B56" s="300">
        <v>32</v>
      </c>
      <c r="C56" s="301">
        <f t="shared" si="1"/>
        <v>30</v>
      </c>
      <c r="D56" s="144" t="s">
        <v>843</v>
      </c>
      <c r="E56" s="144"/>
      <c r="F56" s="147" t="s">
        <v>125</v>
      </c>
      <c r="G56" s="148" t="s">
        <v>121</v>
      </c>
      <c r="H56" s="147"/>
      <c r="I56" s="416">
        <v>1</v>
      </c>
      <c r="J56" s="416">
        <v>1</v>
      </c>
      <c r="K56" s="302">
        <f t="shared" si="2"/>
        <v>1</v>
      </c>
      <c r="L56" s="126">
        <v>1020269</v>
      </c>
      <c r="M56" s="417">
        <v>0</v>
      </c>
      <c r="N56" s="415">
        <v>0</v>
      </c>
      <c r="O56" s="415">
        <v>0</v>
      </c>
      <c r="P56" s="415">
        <v>0</v>
      </c>
      <c r="Q56" s="303">
        <f t="shared" si="3"/>
        <v>1020269</v>
      </c>
      <c r="R56" s="178">
        <f t="shared" si="4"/>
        <v>1</v>
      </c>
      <c r="S56" s="180">
        <f t="shared" si="5"/>
      </c>
      <c r="AL56" s="27"/>
      <c r="AM56" s="27"/>
      <c r="AN56" s="27"/>
    </row>
    <row r="57" spans="2:40" ht="15.75">
      <c r="B57" s="300">
        <v>33</v>
      </c>
      <c r="C57" s="301">
        <f t="shared" si="1"/>
        <v>30</v>
      </c>
      <c r="D57" s="144" t="s">
        <v>817</v>
      </c>
      <c r="E57" s="144"/>
      <c r="F57" s="147" t="s">
        <v>125</v>
      </c>
      <c r="G57" s="148" t="s">
        <v>121</v>
      </c>
      <c r="H57" s="147"/>
      <c r="I57" s="416">
        <v>1</v>
      </c>
      <c r="J57" s="416">
        <v>0.5</v>
      </c>
      <c r="K57" s="302">
        <f t="shared" si="2"/>
        <v>0.5</v>
      </c>
      <c r="L57" s="126">
        <v>270545.79</v>
      </c>
      <c r="M57" s="417">
        <v>0</v>
      </c>
      <c r="N57" s="415">
        <v>0</v>
      </c>
      <c r="O57" s="415">
        <v>0</v>
      </c>
      <c r="P57" s="415">
        <v>5271</v>
      </c>
      <c r="Q57" s="303">
        <f t="shared" si="3"/>
        <v>275816.79</v>
      </c>
      <c r="R57" s="178">
        <f t="shared" si="4"/>
        <v>1</v>
      </c>
      <c r="S57" s="180">
        <f t="shared" si="5"/>
      </c>
      <c r="AL57" s="27"/>
      <c r="AM57" s="27"/>
      <c r="AN57" s="27"/>
    </row>
    <row r="58" spans="2:40" ht="15.75">
      <c r="B58" s="300">
        <v>34</v>
      </c>
      <c r="C58" s="301">
        <f t="shared" si="1"/>
        <v>30</v>
      </c>
      <c r="D58" s="144" t="s">
        <v>844</v>
      </c>
      <c r="E58" s="144"/>
      <c r="F58" s="147" t="s">
        <v>125</v>
      </c>
      <c r="G58" s="148" t="s">
        <v>121</v>
      </c>
      <c r="H58" s="147"/>
      <c r="I58" s="416">
        <v>1</v>
      </c>
      <c r="J58" s="416">
        <v>1</v>
      </c>
      <c r="K58" s="302">
        <f t="shared" si="2"/>
        <v>1</v>
      </c>
      <c r="L58" s="126">
        <v>1699799.06</v>
      </c>
      <c r="M58" s="417">
        <v>0</v>
      </c>
      <c r="N58" s="415">
        <v>0</v>
      </c>
      <c r="O58" s="415">
        <v>0</v>
      </c>
      <c r="P58" s="415">
        <v>0</v>
      </c>
      <c r="Q58" s="303">
        <f t="shared" si="3"/>
        <v>1699799.06</v>
      </c>
      <c r="R58" s="178">
        <f t="shared" si="4"/>
        <v>1</v>
      </c>
      <c r="S58" s="180">
        <f t="shared" si="5"/>
      </c>
      <c r="AL58" s="27"/>
      <c r="AM58" s="27"/>
      <c r="AN58" s="27"/>
    </row>
    <row r="59" spans="2:40" ht="15.75">
      <c r="B59" s="300">
        <v>35</v>
      </c>
      <c r="C59" s="301">
        <f t="shared" si="1"/>
        <v>30</v>
      </c>
      <c r="D59" s="144" t="s">
        <v>845</v>
      </c>
      <c r="E59" s="144"/>
      <c r="F59" s="147" t="s">
        <v>125</v>
      </c>
      <c r="G59" s="148" t="s">
        <v>121</v>
      </c>
      <c r="H59" s="147"/>
      <c r="I59" s="416">
        <v>1</v>
      </c>
      <c r="J59" s="416">
        <v>0.5</v>
      </c>
      <c r="K59" s="302">
        <f t="shared" si="2"/>
        <v>0.5</v>
      </c>
      <c r="L59" s="126">
        <v>536566</v>
      </c>
      <c r="M59" s="417">
        <v>0</v>
      </c>
      <c r="N59" s="415">
        <v>0</v>
      </c>
      <c r="O59" s="415">
        <v>0</v>
      </c>
      <c r="P59" s="415">
        <v>0</v>
      </c>
      <c r="Q59" s="303">
        <f t="shared" si="3"/>
        <v>536566</v>
      </c>
      <c r="R59" s="178">
        <f t="shared" si="4"/>
        <v>1</v>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horizontalCentered="1"/>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62">
      <selection activeCell="A68" sqref="A68"/>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772</v>
      </c>
    </row>
    <row r="2" ht="15.75">
      <c r="A2" s="385" t="s">
        <v>313</v>
      </c>
    </row>
    <row r="3" ht="15.75">
      <c r="A3" s="385" t="s">
        <v>312</v>
      </c>
    </row>
    <row r="4" ht="15.75">
      <c r="A4" s="385" t="s">
        <v>437</v>
      </c>
    </row>
    <row r="5" ht="15.75">
      <c r="A5" s="385" t="s">
        <v>438</v>
      </c>
    </row>
    <row r="6" ht="15.75">
      <c r="A6" s="385" t="s">
        <v>439</v>
      </c>
    </row>
    <row r="7" ht="15.75">
      <c r="A7" s="385" t="s">
        <v>725</v>
      </c>
    </row>
    <row r="8" ht="45.75">
      <c r="A8" s="385" t="s">
        <v>440</v>
      </c>
    </row>
    <row r="9" ht="15.75">
      <c r="A9" s="385" t="s">
        <v>428</v>
      </c>
    </row>
    <row r="10" ht="15.75">
      <c r="A10" s="385" t="s">
        <v>441</v>
      </c>
    </row>
    <row r="11" ht="15.75">
      <c r="A11" s="385" t="s">
        <v>442</v>
      </c>
    </row>
    <row r="12" ht="15.75">
      <c r="A12" s="385" t="s">
        <v>443</v>
      </c>
    </row>
    <row r="13" ht="15.75">
      <c r="A13" s="385" t="s">
        <v>733</v>
      </c>
    </row>
    <row r="14" ht="15.75">
      <c r="A14" s="385" t="s">
        <v>444</v>
      </c>
    </row>
    <row r="15" ht="15.75">
      <c r="A15" s="385" t="s">
        <v>423</v>
      </c>
    </row>
    <row r="16" ht="135.75">
      <c r="A16" s="385" t="s">
        <v>445</v>
      </c>
    </row>
    <row r="17" ht="15.75">
      <c r="A17" s="385" t="s">
        <v>446</v>
      </c>
    </row>
    <row r="18" ht="15.75">
      <c r="A18" s="385" t="s">
        <v>447</v>
      </c>
    </row>
    <row r="19" ht="15.75">
      <c r="A19" s="385" t="s">
        <v>750</v>
      </c>
    </row>
    <row r="20" ht="15.75">
      <c r="A20" s="385" t="s">
        <v>448</v>
      </c>
    </row>
    <row r="21" ht="15.75">
      <c r="A21" s="385" t="s">
        <v>449</v>
      </c>
    </row>
    <row r="22" ht="60.75">
      <c r="A22" s="385" t="s">
        <v>450</v>
      </c>
    </row>
    <row r="23" ht="15.75">
      <c r="A23" s="385" t="s">
        <v>451</v>
      </c>
    </row>
    <row r="24" ht="15.75">
      <c r="A24" s="385" t="s">
        <v>452</v>
      </c>
    </row>
    <row r="25" ht="15.75">
      <c r="A25" s="385" t="s">
        <v>453</v>
      </c>
    </row>
    <row r="26" ht="15.75">
      <c r="A26" s="385" t="s">
        <v>454</v>
      </c>
    </row>
    <row r="27" ht="15.75">
      <c r="A27" s="385" t="s">
        <v>455</v>
      </c>
    </row>
    <row r="28" ht="30.75">
      <c r="A28" s="385" t="s">
        <v>456</v>
      </c>
    </row>
    <row r="29" ht="15.75">
      <c r="A29" s="385" t="s">
        <v>330</v>
      </c>
    </row>
    <row r="30" ht="15.75">
      <c r="A30" s="385" t="s">
        <v>420</v>
      </c>
    </row>
    <row r="31" ht="15.75">
      <c r="A31" s="385" t="s">
        <v>419</v>
      </c>
    </row>
    <row r="32" ht="15.75">
      <c r="A32" s="385" t="s">
        <v>418</v>
      </c>
    </row>
    <row r="33" ht="15.75">
      <c r="A33" s="385" t="s">
        <v>417</v>
      </c>
    </row>
    <row r="34" ht="60.75">
      <c r="A34" s="385" t="s">
        <v>457</v>
      </c>
    </row>
    <row r="35" ht="15.75">
      <c r="A35" s="385" t="s">
        <v>333</v>
      </c>
    </row>
    <row r="36" ht="15.75">
      <c r="A36" s="385" t="s">
        <v>415</v>
      </c>
    </row>
    <row r="37" ht="15.75">
      <c r="A37" s="385" t="s">
        <v>414</v>
      </c>
    </row>
    <row r="38" ht="15.75">
      <c r="A38" s="385" t="s">
        <v>413</v>
      </c>
    </row>
    <row r="39" ht="15.75">
      <c r="A39" s="385" t="s">
        <v>412</v>
      </c>
    </row>
    <row r="40" ht="15.75">
      <c r="A40" s="385" t="s">
        <v>458</v>
      </c>
    </row>
    <row r="41" ht="15.75">
      <c r="A41" s="385" t="s">
        <v>459</v>
      </c>
    </row>
    <row r="42" ht="15.75">
      <c r="A42" s="385" t="s">
        <v>460</v>
      </c>
    </row>
    <row r="43" ht="15.75">
      <c r="A43" s="385" t="s">
        <v>461</v>
      </c>
    </row>
    <row r="44" ht="15.75">
      <c r="A44" s="385" t="s">
        <v>462</v>
      </c>
    </row>
    <row r="45" ht="15.75">
      <c r="A45" s="385" t="s">
        <v>463</v>
      </c>
    </row>
    <row r="46" ht="15.75">
      <c r="A46" s="385" t="s">
        <v>464</v>
      </c>
    </row>
    <row r="47" ht="15.75">
      <c r="A47" s="385" t="s">
        <v>465</v>
      </c>
    </row>
    <row r="48" ht="15.75">
      <c r="A48" s="385" t="s">
        <v>466</v>
      </c>
    </row>
    <row r="49" ht="15.75">
      <c r="A49" s="385" t="s">
        <v>467</v>
      </c>
    </row>
    <row r="50" ht="15.75">
      <c r="A50" s="385" t="s">
        <v>468</v>
      </c>
    </row>
    <row r="51" ht="15.75">
      <c r="A51" s="385" t="s">
        <v>469</v>
      </c>
    </row>
    <row r="52" ht="105.75">
      <c r="A52" s="385" t="s">
        <v>470</v>
      </c>
    </row>
    <row r="53" ht="30.75">
      <c r="A53" s="385" t="s">
        <v>471</v>
      </c>
    </row>
    <row r="54" ht="45.75">
      <c r="A54" s="385" t="s">
        <v>472</v>
      </c>
    </row>
    <row r="55" ht="82.5" customHeight="1">
      <c r="A55" s="385" t="s">
        <v>724</v>
      </c>
    </row>
    <row r="56" ht="75">
      <c r="A56" s="401" t="s">
        <v>473</v>
      </c>
    </row>
    <row r="57" ht="60.75">
      <c r="A57" s="385" t="s">
        <v>474</v>
      </c>
    </row>
    <row r="58" ht="105.75">
      <c r="A58" s="385" t="s">
        <v>734</v>
      </c>
    </row>
    <row r="59" ht="30.75">
      <c r="A59" s="385" t="s">
        <v>475</v>
      </c>
    </row>
    <row r="60" ht="60.75">
      <c r="A60" s="385" t="s">
        <v>476</v>
      </c>
    </row>
    <row r="61" ht="60.75">
      <c r="A61" s="385" t="s">
        <v>751</v>
      </c>
    </row>
    <row r="62" ht="45.75">
      <c r="A62" s="385" t="s">
        <v>477</v>
      </c>
    </row>
    <row r="63" ht="45.75">
      <c r="A63" s="385" t="s">
        <v>478</v>
      </c>
    </row>
    <row r="64" ht="45.75">
      <c r="A64" s="385" t="s">
        <v>479</v>
      </c>
    </row>
    <row r="65" ht="45.75">
      <c r="A65" s="385" t="s">
        <v>480</v>
      </c>
    </row>
    <row r="66" ht="45.75">
      <c r="A66" s="385" t="s">
        <v>481</v>
      </c>
    </row>
    <row r="67" ht="30.75">
      <c r="A67" s="385" t="s">
        <v>482</v>
      </c>
    </row>
    <row r="68" ht="31.5">
      <c r="A68" s="385" t="s">
        <v>483</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Orange-FY2018-19RER</dc:title>
  <dc:subject/>
  <dc:creator>Donna Ures</dc:creator>
  <cp:keywords>MHSA, RER</cp:keywords>
  <dc:description/>
  <cp:lastModifiedBy>Saelee, Katie (CSD)@DHCS</cp:lastModifiedBy>
  <cp:lastPrinted>2019-12-27T21:04:45Z</cp:lastPrinted>
  <dcterms:created xsi:type="dcterms:W3CDTF">2017-07-05T19:48:18Z</dcterms:created>
  <dcterms:modified xsi:type="dcterms:W3CDTF">2020-02-05T22:47:46Z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DHCSDOC-1797567310-2234</vt:lpwstr>
  </property>
  <property fmtid="{D5CDD505-2E9C-101B-9397-08002B2CF9AE}" pid="3" name="_dlc_DocIdItemGuid">
    <vt:lpwstr>fe5e8c5d-cb24-4084-a506-4769c10d9999</vt:lpwstr>
  </property>
  <property fmtid="{D5CDD505-2E9C-101B-9397-08002B2CF9AE}" pid="4" name="_dlc_DocIdUrl">
    <vt:lpwstr>https://dhcscagovauthoring/_layouts/15/DocIdRedir.aspx?ID=DHCSDOC-1797567310-2234, DHCSDOC-1797567310-2234</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Orange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