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616" yWindow="65506" windowWidth="29040" windowHeight="1764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<sst xmlns="http://schemas.openxmlformats.org/spreadsheetml/2006/main" count="1523" uniqueCount="831">
  <si>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</si>
  <si>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</si>
  <si>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</si>
  <si>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</si>
  <si>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</si>
  <si>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</si>
  <si>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</si>
  <si>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</si>
  <si>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</si>
  <si>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</si>
  <si>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</si>
  <si>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</si>
  <si>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</si>
  <si>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</si>
  <si>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</si>
  <si>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</si>
  <si>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</si>
  <si>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</si>
  <si>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</si>
  <si>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</si>
  <si>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</si>
  <si>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</si>
  <si>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</si>
  <si>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</si>
  <si>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</si>
  <si>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</si>
  <si>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</si>
  <si>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</si>
  <si>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</si>
  <si>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</si>
  <si>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</si>
  <si>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</si>
  <si>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</si>
  <si>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</si>
  <si>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</si>
  <si>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</si>
  <si>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</si>
  <si>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</si>
  <si>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</si>
  <si>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</si>
  <si>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</si>
  <si>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</si>
  <si>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</si>
  <si>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</si>
  <si>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</si>
  <si>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</si>
  <si>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</si>
  <si>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</si>
  <si>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</si>
  <si>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</si>
  <si>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</si>
  <si>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</si>
  <si>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</si>
  <si>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</si>
  <si>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</si>
  <si>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</si>
  <si>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</si>
  <si>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</si>
  <si>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</si>
  <si>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</si>
  <si>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</si>
  <si>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</si>
  <si>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</si>
  <si>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</si>
  <si>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</si>
  <si>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</si>
  <si>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</si>
  <si>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</si>
  <si>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</si>
  <si>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</si>
  <si>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</si>
  <si>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</si>
  <si>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</si>
  <si>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</si>
  <si>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</si>
  <si>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</si>
  <si>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</si>
  <si>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</si>
  <si>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</si>
  <si>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</si>
  <si>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</si>
  <si>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</si>
  <si>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</si>
  <si>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</si>
  <si>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</si>
  <si>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</si>
  <si>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</si>
  <si>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</si>
  <si>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</si>
  <si>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</si>
  <si>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</si>
  <si>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</si>
  <si>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</si>
  <si>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</si>
  <si>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</si>
  <si>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</si>
  <si>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</si>
  <si>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</si>
  <si>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</si>
  <si>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</si>
  <si>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</si>
  <si>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</si>
  <si>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</si>
  <si>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</si>
  <si>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</si>
  <si>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</si>
  <si>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</si>
  <si>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</si>
  <si>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</si>
  <si>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</si>
  <si>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</si>
  <si>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</si>
  <si>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</si>
  <si>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</si>
  <si>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</si>
  <si>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</si>
  <si>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</si>
  <si>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</si>
  <si>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</si>
  <si>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</si>
  <si>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</si>
  <si>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</si>
  <si>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</si>
  <si>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</si>
  <si>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</si>
  <si>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</si>
  <si>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</si>
  <si>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</si>
  <si>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</si>
  <si>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</si>
  <si>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</si>
  <si>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</si>
  <si>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</si>
  <si>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</si>
  <si>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</si>
  <si>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</si>
  <si>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</si>
  <si>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</si>
  <si>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</si>
  <si>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</si>
  <si>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</si>
  <si>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</si>
  <si>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</si>
  <si>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</si>
  <si>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</si>
  <si>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</si>
  <si>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</si>
  <si>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</si>
  <si>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</si>
  <si>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</si>
  <si>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</si>
  <si>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</si>
  <si>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</si>
  <si>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</si>
  <si>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</si>
  <si>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</si>
  <si>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</si>
  <si>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</si>
  <si>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</si>
  <si>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</si>
  <si>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</si>
  <si>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</si>
  <si>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</si>
  <si>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</si>
  <si>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</si>
  <si>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</si>
  <si>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</si>
  <si>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</si>
  <si>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</si>
  <si>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</si>
  <si>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</si>
  <si>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</si>
  <si>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</si>
  <si>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</si>
  <si>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</si>
  <si>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</si>
  <si>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</si>
  <si>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</si>
  <si>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</si>
  <si>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</si>
  <si>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</si>
  <si>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</si>
  <si>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</si>
  <si>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</si>
  <si>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</si>
  <si>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</si>
  <si>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</si>
  <si>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</si>
  <si>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</si>
  <si>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</si>
  <si>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</si>
  <si>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</si>
  <si>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</si>
  <si>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</si>
  <si>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</si>
  <si>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</si>
  <si>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</si>
  <si>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</si>
  <si>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</si>
  <si>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</si>
  <si>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</si>
  <si>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</si>
  <si>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</si>
  <si>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</si>
  <si>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</si>
  <si>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</si>
  <si>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</si>
  <si>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</si>
  <si>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</si>
  <si>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</si>
  <si>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</si>
  <si>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</si>
  <si>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</si>
  <si>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</si>
  <si>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</si>
  <si>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</si>
  <si>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</si>
  <si>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</si>
  <si>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</si>
  <si>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</si>
  <si>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</si>
  <si>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</si>
  <si>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</si>
  <si>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</si>
  <si>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</si>
  <si>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</si>
  <si>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</si>
  <si>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</si>
  <si>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</si>
  <si>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</si>
  <si>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</si>
  <si>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</si>
  <si>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</si>
  <si>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</si>
  <si>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</si>
  <si>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</si>
  <si>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</si>
  <si>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</si>
  <si>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</si>
  <si>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</si>
  <si>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</si>
  <si>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</si>
  <si>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</si>
  <si>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</si>
  <si>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</si>
  <si>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</si>
  <si>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</si>
  <si>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</si>
  <si>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</si>
  <si>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</si>
  <si>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</si>
  <si>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</si>
  <si>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</si>
  <si>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</si>
  <si>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</si>
  <si>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</si>
  <si>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</si>
  <si>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</si>
  <si>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</si>
  <si>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</si>
  <si>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</si>
  <si>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</si>
  <si>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</si>
  <si>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</si>
  <si>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</si>
  <si>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</si>
  <si>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</si>
  <si>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</si>
  <si>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</si>
  <si>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</si>
  <si>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</si>
  <si>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</si>
  <si>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</si>
  <si>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</si>
  <si>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</si>
  <si>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</si>
  <si>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</si>
  <si>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</si>
  <si>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</si>
  <si>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</si>
  <si>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</si>
  <si>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</si>
  <si>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</si>
  <si>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</si>
  <si>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</si>
  <si>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</si>
  <si>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</si>
  <si>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</si>
  <si>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</si>
  <si>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</si>
  <si>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</si>
  <si>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</si>
  <si>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</si>
  <si>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</si>
  <si>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</si>
  <si>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</si>
  <si>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</si>
  <si>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</si>
  <si>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</si>
  <si>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</si>
  <si>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</si>
  <si>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</si>
  <si>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</si>
  <si>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</si>
  <si>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</si>
  <si>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</si>
  <si>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</si>
  <si>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</si>
  <si>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</si>
  <si>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</si>
  <si>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</si>
  <si>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</si>
  <si>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</si>
  <si>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</si>
  <si>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</si>
  <si>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</si>
  <si>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</si>
  <si>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</si>
  <si>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</si>
  <si>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</si>
  <si>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</si>
  <si>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</si>
  <si>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</si>
  <si>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</si>
  <si>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</si>
  <si>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</si>
  <si>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</si>
  <si>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</si>
  <si>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</si>
  <si>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</si>
  <si>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</si>
  <si>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</si>
  <si>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</si>
  <si>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</si>
  <si>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</si>
  <si>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</si>
  <si>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</si>
  <si>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</si>
  <si>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</si>
  <si>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</si>
  <si>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</si>
  <si>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</si>
  <si>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</si>
  <si>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</si>
  <si>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</si>
  <si>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</si>
  <si>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</si>
  <si>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</si>
  <si>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</si>
  <si>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</si>
  <si>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</si>
  <si>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</si>
  <si>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</si>
  <si>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</si>
  <si>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</si>
  <si>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</si>
  <si>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</si>
  <si>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</si>
  <si>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</si>
  <si>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</si>
  <si>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</si>
  <si>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</si>
  <si>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</si>
  <si>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</si>
  <si>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</si>
  <si>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</si>
  <si>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</si>
  <si>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</si>
  <si>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</si>
  <si>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</si>
  <si>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</si>
  <si>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</si>
  <si>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</si>
  <si>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</si>
  <si>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</si>
  <si>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</si>
  <si>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</si>
  <si>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</si>
  <si>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</si>
  <si>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</si>
  <si>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</si>
  <si>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</si>
  <si>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</si>
  <si>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</si>
  <si>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</si>
  <si>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</si>
  <si>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</si>
  <si>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</si>
  <si>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</si>
  <si>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</si>
  <si>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</si>
  <si>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</si>
  <si>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</si>
  <si>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</si>
  <si>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</si>
  <si>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</si>
  <si>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</si>
  <si>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</si>
  <si>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</si>
  <si>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</si>
  <si>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</si>
  <si>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</si>
  <si>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</si>
  <si>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</si>
  <si>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</si>
  <si>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</si>
  <si>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</si>
  <si>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</si>
  <si>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</si>
  <si>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</si>
  <si>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</si>
  <si>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</si>
  <si>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</si>
  <si>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</si>
  <si>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</si>
  <si>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</si>
  <si>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</si>
  <si>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</si>
  <si>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</si>
  <si>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</si>
  <si>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</si>
  <si>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</si>
  <si>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</si>
  <si>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</si>
  <si>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</si>
  <si>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</si>
  <si>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</si>
  <si>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</si>
  <si>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</si>
  <si>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</si>
  <si>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</si>
  <si>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</si>
  <si>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</si>
  <si>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</si>
  <si>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</si>
  <si>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</si>
  <si>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</si>
  <si>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</si>
  <si>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</si>
  <si>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</si>
  <si>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</si>
  <si>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</si>
  <si>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</si>
  <si>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</si>
  <si>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</si>
  <si>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</si>
  <si>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</si>
  <si>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</si>
  <si>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</si>
  <si>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</si>
  <si>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</si>
  <si>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</si>
  <si>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</si>
  <si>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</si>
  <si>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</si>
  <si>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</si>
  <si>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</si>
  <si>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</si>
  <si>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</si>
  <si>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</si>
  <si>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</si>
  <si>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</si>
  <si>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</si>
  <si>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</si>
  <si>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</si>
  <si>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</si>
  <si>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</si>
  <si>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</si>
  <si>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</si>
  <si>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</si>
  <si>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</si>
  <si>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</si>
  <si>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</si>
  <si>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</si>
  <si>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</si>
  <si>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</si>
  <si>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</si>
  <si>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</si>
  <si>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</si>
  <si>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</si>
  <si>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</si>
  <si>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</si>
  <si>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</si>
  <si>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</si>
  <si>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</si>
  <si>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</si>
  <si>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</si>
  <si>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</si>
  <si>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</si>
  <si>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</si>
  <si>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</si>
  <si>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</si>
  <si>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</si>
  <si>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</si>
  <si>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</si>
  <si>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</si>
  <si>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</si>
  <si>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</si>
  <si>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</si>
  <si>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</si>
  <si>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</si>
  <si>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</si>
  <si>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</si>
  <si>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</si>
  <si>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</si>
  <si>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</si>
  <si>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</si>
  <si>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</si>
  <si>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</si>
  <si>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</si>
  <si>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</si>
  <si>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</si>
  <si>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</si>
  <si>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</si>
  <si>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</si>
  <si>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</si>
  <si>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</si>
  <si>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</si>
  <si>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</si>
  <si>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</si>
  <si>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</si>
  <si>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</si>
  <si>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</si>
  <si>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</si>
  <si>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</si>
  <si>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</si>
  <si>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</si>
  <si>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</si>
  <si>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</si>
  <si>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</si>
  <si>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</si>
  <si>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</si>
  <si>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</si>
  <si>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</si>
  <si>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</si>
  <si>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</si>
  <si>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</si>
  <si>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</si>
  <si>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</si>
  <si>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</si>
  <si>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</si>
  <si>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</si>
  <si>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</si>
  <si>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</si>
  <si>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</si>
  <si>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</si>
  <si>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</si>
  <si>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</si>
  <si>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</si>
  <si>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</si>
  <si>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</si>
  <si>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</si>
  <si>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</si>
  <si>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</si>
  <si>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</si>
  <si>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</si>
  <si>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</si>
  <si>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</si>
  <si>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</si>
  <si>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</si>
  <si>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</si>
  <si>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</si>
  <si>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</si>
  <si>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</si>
  <si>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</si>
  <si>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</si>
  <si>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</si>
  <si>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</si>
  <si>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</si>
  <si>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</si>
  <si>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</si>
  <si>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</si>
  <si>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</si>
  <si>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</si>
  <si>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</si>
  <si>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</si>
  <si>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</si>
  <si>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</si>
  <si>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</si>
  <si>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</si>
  <si>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</si>
  <si>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</si>
  <si>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</si>
  <si>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</si>
  <si>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</si>
  <si>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</si>
  <si>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</si>
  <si>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</si>
  <si>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</si>
  <si>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</si>
  <si>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</si>
  <si>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</si>
  <si>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</si>
  <si>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</si>
  <si>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</si>
  <si>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</si>
  <si>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</si>
  <si>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</si>
  <si>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</si>
  <si>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</si>
  <si>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</si>
  <si>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</si>
  <si>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</si>
  <si>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</si>
  <si>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</si>
  <si>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</si>
  <si>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</si>
  <si>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</si>
  <si>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</si>
  <si>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</si>
  <si>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</si>
  <si>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</si>
  <si>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</si>
  <si>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</si>
  <si>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</si>
  <si>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</si>
  <si>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</si>
  <si>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</si>
  <si>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</si>
  <si>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</si>
  <si>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</si>
  <si>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</si>
  <si>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</si>
  <si>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</si>
  <si>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</si>
  <si>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</si>
  <si>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</si>
  <si>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</si>
  <si>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</si>
  <si>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</si>
  <si>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</si>
  <si>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</si>
  <si>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</si>
  <si>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</si>
  <si>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</si>
  <si>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</si>
  <si>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</si>
  <si>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</si>
  <si>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</si>
  <si>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</si>
  <si>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</si>
  <si>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</si>
  <si>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</si>
  <si>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</si>
  <si>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</si>
  <si>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</si>
  <si>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</si>
  <si>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</si>
  <si>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</si>
  <si>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</si>
  <si>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</si>
  <si>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</si>
  <si>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</si>
  <si>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</si>
  <si>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</si>
  <si>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</si>
  <si>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</si>
  <si>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</si>
  <si>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</si>
  <si>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</si>
  <si>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</si>
  <si>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</si>
  <si>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</si>
  <si>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</si>
  <si>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</si>
  <si>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</si>
  <si>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</si>
  <si>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</si>
  <si>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</si>
  <si>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</si>
  <si>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</si>
  <si>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</si>
  <si>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</si>
  <si>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</si>
  <si>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</si>
  <si>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</si>
  <si>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</si>
  <si>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</si>
  <si>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</si>
  <si>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</si>
  <si>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</si>
  <si>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</si>
  <si>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</si>
  <si>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</si>
  <si>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</si>
  <si>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</si>
  <si>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</si>
  <si>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</si>
  <si>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</si>
  <si>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</si>
  <si>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</si>
  <si>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</si>
  <si>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</si>
  <si>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</si>
  <si>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</si>
  <si>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</si>
  <si>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</si>
  <si>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</si>
  <si>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</si>
  <si>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</si>
  <si>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</si>
  <si>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</si>
  <si>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</si>
  <si>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</si>
  <si>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</si>
  <si>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</si>
  <si>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</si>
  <si>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</si>
  <si>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</si>
  <si>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</si>
  <si>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</si>
  <si>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</si>
  <si>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</si>
  <si>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</si>
  <si>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</si>
  <si>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</si>
  <si>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</si>
  <si>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</si>
  <si>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</si>
  <si>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</si>
  <si>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</si>
  <si>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</si>
  <si>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</si>
  <si>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</si>
  <si>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</si>
  <si>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</si>
  <si>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</si>
  <si>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</si>
  <si>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</si>
  <si>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</si>
  <si>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</si>
  <si>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</si>
  <si>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</si>
  <si>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</si>
  <si>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</si>
  <si>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</si>
  <si>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</si>
  <si>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</si>
  <si>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</si>
  <si>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</si>
  <si>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</si>
  <si>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</si>
  <si>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</si>
  <si>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</si>
  <si>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</si>
  <si>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</si>
  <si>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</si>
  <si>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</si>
  <si>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</si>
  <si>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</si>
  <si>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</si>
  <si>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</si>
  <si>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</si>
  <si>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</si>
  <si>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</si>
  <si>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</si>
  <si>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</si>
  <si>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</si>
  <si>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</si>
  <si>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</si>
  <si>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</si>
  <si>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</si>
  <si>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</si>
  <si>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</si>
  <si>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</si>
  <si>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</si>
  <si>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</si>
  <si>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</si>
  <si>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</si>
  <si>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</si>
  <si>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</si>
  <si>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</si>
  <si>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</si>
  <si>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</si>
  <si>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</si>
  <si>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</si>
  <si>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</si>
  <si>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</si>
  <si>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</si>
  <si>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</si>
  <si>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</si>
  <si>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</si>
  <si>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Interest Revenue</t>
  </si>
  <si>
    <t>2018-19</t>
  </si>
  <si>
    <t>2180 Johnson Ave</t>
  </si>
  <si>
    <t>Jalpa Shinglot</t>
  </si>
  <si>
    <t>Accountant III</t>
  </si>
  <si>
    <t>(805) 781-4783</t>
  </si>
  <si>
    <t>jshinglot@co.slo.ca.us</t>
  </si>
  <si>
    <t>Transition Assistance &amp; Relapse Prevention</t>
  </si>
  <si>
    <t>Late Life Empowerment &amp; Affirmation Program</t>
  </si>
  <si>
    <t>Not for Ourselves Alone</t>
  </si>
  <si>
    <t>Creating Opportunities for Latinas to Experience Goal Achievement</t>
  </si>
  <si>
    <t xml:space="preserve">3-by3 Developmental Screening </t>
  </si>
  <si>
    <t xml:space="preserve">SLO Acceptance </t>
  </si>
  <si>
    <t>Positive Development</t>
  </si>
  <si>
    <t>Family Education Training &amp; Support</t>
  </si>
  <si>
    <t>Middle School Comprehensive</t>
  </si>
  <si>
    <t>In-Home Parent Educator</t>
  </si>
  <si>
    <t>Successful Launch</t>
  </si>
  <si>
    <t>Community Therapeutic Services</t>
  </si>
  <si>
    <t>Integrated Wellness-Resource Specialist</t>
  </si>
  <si>
    <t>Young Adult Counseling</t>
  </si>
  <si>
    <t>Outreach for Increasing Recognition of Early Signs of Mental Illness</t>
  </si>
  <si>
    <t xml:space="preserve">Perinatal Mood Anxiety </t>
  </si>
  <si>
    <t xml:space="preserve">Older Adult Mental Health Initiative </t>
  </si>
  <si>
    <t xml:space="preserve">Social Marketing Strategy </t>
  </si>
  <si>
    <t xml:space="preserve">Suicide Prevention </t>
  </si>
  <si>
    <t xml:space="preserve">Improve Timely Access to Services for Underserved Populations </t>
  </si>
  <si>
    <t xml:space="preserve">Stigma and Discrimination Reduction </t>
  </si>
  <si>
    <t xml:space="preserve">Access and Linkage to Treatment </t>
  </si>
  <si>
    <t xml:space="preserve">Early Intervention </t>
  </si>
  <si>
    <t xml:space="preserve">Veterans Outreach </t>
  </si>
  <si>
    <t>Children &amp; Youth FSP</t>
  </si>
  <si>
    <t>Transitional Aged Youth FSP</t>
  </si>
  <si>
    <t>Adult FSP</t>
  </si>
  <si>
    <t>Older Adult FSP</t>
  </si>
  <si>
    <t>Client &amp; Family Wellness</t>
  </si>
  <si>
    <t>Latino Outreach Program</t>
  </si>
  <si>
    <t>Enhanced Crisis &amp; Aftercare</t>
  </si>
  <si>
    <t>School &amp; Family Empowerment</t>
  </si>
  <si>
    <t>Forensic Mental Health Services</t>
  </si>
  <si>
    <t>Youth FSP</t>
  </si>
  <si>
    <t>Wellness &amp; Recovery</t>
  </si>
  <si>
    <t>Latino Services</t>
  </si>
  <si>
    <t>Crisis &amp; Aftercare</t>
  </si>
  <si>
    <t>College Wellness</t>
  </si>
  <si>
    <t>FY 2018-19</t>
  </si>
  <si>
    <t>Settlement error: a difference of $4,216 between Annual Update and RER</t>
  </si>
  <si>
    <t>PEI Section Two:  Details of funds spent including percentage of Clients under 25 was not provided by JPA.</t>
  </si>
  <si>
    <t>Behavioral Health Electronic Health Record (BHEHR) System Development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</si>
</sst>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0">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9" fontId="63" fillId="0" borderId="10" xfId="63"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H51" sqref="H51"/>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San Luis Obispo</v>
      </c>
      <c r="G9" s="226" t="s">
        <v>1</v>
      </c>
      <c r="H9" s="264">
        <f>IF(ISBLANK('1. Information'!D9),"",'1. Information'!D9)</f>
        <v>43801</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c r="G15" s="136"/>
      <c r="H15" s="136"/>
      <c r="I15" s="136"/>
      <c r="J15" s="136"/>
      <c r="K15" s="246">
        <f>SUM(F15:J15)</f>
        <v>0</v>
      </c>
      <c r="L15" s="175"/>
      <c r="M15" s="175"/>
      <c r="N15" s="175"/>
      <c r="O15" s="27"/>
      <c r="P15" s="27"/>
    </row>
    <row r="16" spans="2:16" ht="15.75">
      <c r="B16" s="300">
        <v>2</v>
      </c>
      <c r="C16" s="308" t="s">
        <v>143</v>
      </c>
      <c r="D16" s="242"/>
      <c r="E16" s="243"/>
      <c r="F16" s="136">
        <v>46956.74</v>
      </c>
      <c r="G16" s="136"/>
      <c r="H16" s="136"/>
      <c r="I16" s="136"/>
      <c r="J16" s="136"/>
      <c r="K16" s="246">
        <f>SUM(F16:J16)</f>
        <v>46956.74</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55655.33</v>
      </c>
      <c r="G19" s="312">
        <f>SUMIF($K$29:$K$128,"Project Administration",M$29:M$128)</f>
        <v>0</v>
      </c>
      <c r="H19" s="311">
        <f>SUMIF($K$29:$K$128,"Project Administration",N$29:N$128)</f>
        <v>0</v>
      </c>
      <c r="I19" s="311">
        <f>SUMIF($K$29:$K$128,"Project Administration",O$29:O$128)</f>
        <v>0</v>
      </c>
      <c r="J19" s="311">
        <f>SUMIF($K$29:$K$128,"Project Administration",P$29:P$128)</f>
        <v>0</v>
      </c>
      <c r="K19" s="246">
        <f>SUM(F19:J19)</f>
        <v>55655.33</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538649.72</v>
      </c>
      <c r="G21" s="313">
        <f>SUMIF($K$29:$K$128,"Project Direct",M$29:M$128)</f>
        <v>0</v>
      </c>
      <c r="H21" s="310">
        <f>SUMIF($K$29:$K$128,"Project Direct",N$29:N$128)</f>
        <v>0</v>
      </c>
      <c r="I21" s="310">
        <f>SUMIF($K$29:$K$128,"Project Direct",O$29:O$128)</f>
        <v>0</v>
      </c>
      <c r="J21" s="310">
        <f>SUMIF($K$29:$K$128,"Project Direct",P$29:P$128)</f>
        <v>0</v>
      </c>
      <c r="K21" s="246">
        <f>SUM(F21:J21)</f>
        <v>538649.72</v>
      </c>
      <c r="L21" s="175"/>
      <c r="M21" s="175"/>
      <c r="N21" s="175"/>
      <c r="O21" s="27"/>
      <c r="P21" s="27"/>
    </row>
    <row r="22" spans="2:16" ht="15.75">
      <c r="B22" s="300">
        <v>8</v>
      </c>
      <c r="C22" s="308" t="s">
        <v>146</v>
      </c>
      <c r="D22" s="314"/>
      <c r="F22" s="315">
        <f>SUM(F19:F21)</f>
        <v>594305.0499999999</v>
      </c>
      <c r="G22" s="316">
        <f>SUM(G19:G21)</f>
        <v>0</v>
      </c>
      <c r="H22" s="315">
        <f>SUM(H19:H21)</f>
        <v>0</v>
      </c>
      <c r="I22" s="315">
        <f>SUM(I19:I21)</f>
        <v>0</v>
      </c>
      <c r="J22" s="315">
        <f>SUM(J19:J21)</f>
        <v>0</v>
      </c>
      <c r="K22" s="246">
        <f>SUM(F22:J22)</f>
        <v>594305.0499999999</v>
      </c>
      <c r="L22" s="175"/>
      <c r="M22" s="175"/>
      <c r="N22" s="175"/>
      <c r="O22" s="27"/>
      <c r="P22" s="27"/>
    </row>
    <row r="23" spans="2:16" ht="30.75" customHeight="1">
      <c r="B23" s="300">
        <v>9</v>
      </c>
      <c r="C23" s="317" t="s">
        <v>239</v>
      </c>
      <c r="D23" s="318"/>
      <c r="E23" s="319"/>
      <c r="F23" s="320">
        <f>SUM(F15:F16,F18:F21)</f>
        <v>641261.79</v>
      </c>
      <c r="G23" s="320">
        <f>SUM(G15:G16,G19:G21)</f>
        <v>0</v>
      </c>
      <c r="H23" s="320">
        <f>SUM(H15:H16,H19:H21)</f>
        <v>0</v>
      </c>
      <c r="I23" s="320">
        <f>SUM(I15:I16,I19:I21)</f>
        <v>0</v>
      </c>
      <c r="J23" s="320">
        <f>SUM(J15:J16,J19:J21)</f>
        <v>0</v>
      </c>
      <c r="K23" s="279">
        <f>SUM(F23:J23)</f>
        <v>641261.79</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40</v>
      </c>
      <c r="E29" s="148" t="s">
        <v>789</v>
      </c>
      <c r="F29" s="38"/>
      <c r="G29" s="38">
        <v>42425</v>
      </c>
      <c r="H29" s="38">
        <v>42552</v>
      </c>
      <c r="I29" s="30">
        <v>318475</v>
      </c>
      <c r="J29" s="30"/>
      <c r="K29" s="326" t="s">
        <v>140</v>
      </c>
      <c r="L29" s="32">
        <v>9351.54</v>
      </c>
      <c r="M29" s="32"/>
      <c r="N29" s="30"/>
      <c r="O29" s="30"/>
      <c r="P29" s="34"/>
      <c r="Q29" s="246">
        <f>SUM(L29:P29)</f>
        <v>9351.54</v>
      </c>
    </row>
    <row r="30" spans="2:17" ht="15">
      <c r="B30" s="276">
        <v>10</v>
      </c>
      <c r="C30" s="218" t="s">
        <v>25</v>
      </c>
      <c r="D30" s="327">
        <f aca="true" t="shared" si="0" ref="D30:J31">IF(ISBLANK(D29),"",D29)</f>
        <v>40</v>
      </c>
      <c r="E30" s="328" t="str">
        <f t="shared" si="0"/>
        <v>Transition Assistance &amp; Relapse Prevention</v>
      </c>
      <c r="F30" s="329">
        <f t="shared" si="0"/>
      </c>
      <c r="G30" s="329">
        <f t="shared" si="0"/>
        <v>42425</v>
      </c>
      <c r="H30" s="329">
        <f t="shared" si="0"/>
        <v>42552</v>
      </c>
      <c r="I30" s="330">
        <f t="shared" si="0"/>
        <v>318475</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40</v>
      </c>
      <c r="E31" s="331" t="str">
        <f t="shared" si="2"/>
        <v>Transition Assistance &amp; Relapse Prevention</v>
      </c>
      <c r="F31" s="332">
        <f t="shared" si="2"/>
      </c>
      <c r="G31" s="332">
        <f t="shared" si="2"/>
        <v>42425</v>
      </c>
      <c r="H31" s="332">
        <f t="shared" si="2"/>
        <v>42552</v>
      </c>
      <c r="I31" s="275">
        <f t="shared" si="2"/>
        <v>318475</v>
      </c>
      <c r="J31" s="275">
        <f t="shared" si="0"/>
      </c>
      <c r="K31" s="275" t="s">
        <v>197</v>
      </c>
      <c r="L31" s="32">
        <v>90507.14</v>
      </c>
      <c r="M31" s="32"/>
      <c r="N31" s="30"/>
      <c r="O31" s="30"/>
      <c r="P31" s="34"/>
      <c r="Q31" s="246">
        <f t="shared" si="1"/>
        <v>90507.14</v>
      </c>
    </row>
    <row r="32" spans="2:17" ht="15.75">
      <c r="B32" s="333">
        <v>10</v>
      </c>
      <c r="C32" s="333" t="s">
        <v>202</v>
      </c>
      <c r="D32" s="334">
        <f aca="true" t="shared" si="3" ref="D32:J32">IF(ISBLANK(D29),"",D29)</f>
        <v>40</v>
      </c>
      <c r="E32" s="335" t="str">
        <f t="shared" si="3"/>
        <v>Transition Assistance &amp; Relapse Prevention</v>
      </c>
      <c r="F32" s="336">
        <f t="shared" si="3"/>
      </c>
      <c r="G32" s="336">
        <f t="shared" si="3"/>
        <v>42425</v>
      </c>
      <c r="H32" s="336">
        <f t="shared" si="3"/>
        <v>42552</v>
      </c>
      <c r="I32" s="337">
        <f t="shared" si="3"/>
        <v>318475</v>
      </c>
      <c r="J32" s="337">
        <f t="shared" si="3"/>
      </c>
      <c r="K32" s="279" t="s">
        <v>217</v>
      </c>
      <c r="L32" s="338">
        <f>SUM(L29:L31)</f>
        <v>99858.68</v>
      </c>
      <c r="M32" s="338">
        <f>SUM(M29:M31)</f>
        <v>0</v>
      </c>
      <c r="N32" s="339">
        <f>SUM(N29:N31)</f>
        <v>0</v>
      </c>
      <c r="O32" s="339">
        <f>SUM(O29:O31)</f>
        <v>0</v>
      </c>
      <c r="P32" s="340">
        <f>SUM(P29:P31)</f>
        <v>0</v>
      </c>
      <c r="Q32" s="279">
        <f t="shared" si="1"/>
        <v>99858.68</v>
      </c>
    </row>
    <row r="33" spans="2:17" ht="15">
      <c r="B33" s="276">
        <v>11</v>
      </c>
      <c r="C33" s="293" t="s">
        <v>23</v>
      </c>
      <c r="D33" s="325">
        <f>IF(Q36&lt;&gt;0,VLOOKUP($E$9,Info_County_Code,2,FALSE),"")</f>
        <v>40</v>
      </c>
      <c r="E33" s="148" t="s">
        <v>790</v>
      </c>
      <c r="F33" s="38"/>
      <c r="G33" s="38">
        <v>42425</v>
      </c>
      <c r="H33" s="38">
        <v>42552</v>
      </c>
      <c r="I33" s="30">
        <v>344311</v>
      </c>
      <c r="J33" s="30">
        <v>403915</v>
      </c>
      <c r="K33" s="326" t="str">
        <f>IF(NOT(ISBLANK(E33)),$K$29,"")</f>
        <v>Project Administration</v>
      </c>
      <c r="L33" s="32">
        <v>10494.51</v>
      </c>
      <c r="M33" s="32"/>
      <c r="N33" s="30"/>
      <c r="O33" s="30"/>
      <c r="P33" s="34"/>
      <c r="Q33" s="246">
        <f>SUM(L33:P33)</f>
        <v>10494.51</v>
      </c>
    </row>
    <row r="34" spans="2:17" ht="15">
      <c r="B34" s="276">
        <v>11</v>
      </c>
      <c r="C34" s="218" t="s">
        <v>25</v>
      </c>
      <c r="D34" s="327">
        <f aca="true" t="shared" si="4" ref="D34:J34">IF(ISBLANK(D33),"",D33)</f>
        <v>40</v>
      </c>
      <c r="E34" s="328" t="str">
        <f t="shared" si="4"/>
        <v>Late Life Empowerment &amp; Affirmation Program</v>
      </c>
      <c r="F34" s="329">
        <f t="shared" si="4"/>
      </c>
      <c r="G34" s="329">
        <f t="shared" si="4"/>
        <v>42425</v>
      </c>
      <c r="H34" s="329">
        <f t="shared" si="4"/>
        <v>42552</v>
      </c>
      <c r="I34" s="330">
        <f t="shared" si="4"/>
        <v>344311</v>
      </c>
      <c r="J34" s="330">
        <f t="shared" si="4"/>
        <v>403915</v>
      </c>
      <c r="K34" s="275" t="str">
        <f>IF(NOT(ISBLANK(E33)),$K$30,"")</f>
        <v>Project Evaluation</v>
      </c>
      <c r="L34" s="32"/>
      <c r="M34" s="32"/>
      <c r="N34" s="30"/>
      <c r="O34" s="30"/>
      <c r="P34" s="34"/>
      <c r="Q34" s="246">
        <f>SUM(L34:P34)</f>
        <v>0</v>
      </c>
    </row>
    <row r="35" spans="2:17" ht="15">
      <c r="B35" s="276">
        <v>11</v>
      </c>
      <c r="C35" s="218" t="s">
        <v>27</v>
      </c>
      <c r="D35" s="327">
        <f aca="true" t="shared" si="5" ref="D35:J35">IF(ISBLANK(D33),"",D33)</f>
        <v>40</v>
      </c>
      <c r="E35" s="331" t="str">
        <f t="shared" si="5"/>
        <v>Late Life Empowerment &amp; Affirmation Program</v>
      </c>
      <c r="F35" s="332">
        <f t="shared" si="5"/>
      </c>
      <c r="G35" s="332">
        <f t="shared" si="5"/>
        <v>42425</v>
      </c>
      <c r="H35" s="332">
        <f t="shared" si="5"/>
        <v>42552</v>
      </c>
      <c r="I35" s="275">
        <f t="shared" si="5"/>
        <v>344311</v>
      </c>
      <c r="J35" s="275">
        <f t="shared" si="5"/>
        <v>403915</v>
      </c>
      <c r="K35" s="275" t="str">
        <f>IF(NOT(ISBLANK(E33)),$K$31,"")</f>
        <v>Project Direct</v>
      </c>
      <c r="L35" s="32">
        <v>101569.14</v>
      </c>
      <c r="M35" s="32"/>
      <c r="N35" s="30"/>
      <c r="O35" s="30"/>
      <c r="P35" s="34"/>
      <c r="Q35" s="246">
        <f>SUM(L35:P35)</f>
        <v>101569.14</v>
      </c>
    </row>
    <row r="36" spans="2:17" ht="15.75">
      <c r="B36" s="333">
        <v>11</v>
      </c>
      <c r="C36" s="333" t="s">
        <v>202</v>
      </c>
      <c r="D36" s="334">
        <f aca="true" t="shared" si="6" ref="D36:J36">IF(ISBLANK(D33),"",D33)</f>
        <v>40</v>
      </c>
      <c r="E36" s="335" t="str">
        <f t="shared" si="6"/>
        <v>Late Life Empowerment &amp; Affirmation Program</v>
      </c>
      <c r="F36" s="336">
        <f t="shared" si="6"/>
      </c>
      <c r="G36" s="336">
        <f t="shared" si="6"/>
        <v>42425</v>
      </c>
      <c r="H36" s="336">
        <f t="shared" si="6"/>
        <v>42552</v>
      </c>
      <c r="I36" s="337">
        <f t="shared" si="6"/>
        <v>344311</v>
      </c>
      <c r="J36" s="337">
        <f t="shared" si="6"/>
        <v>403915</v>
      </c>
      <c r="K36" s="279" t="str">
        <f>IF(NOT(ISBLANK(E33)),$K$32,"")</f>
        <v>Project Subtotal</v>
      </c>
      <c r="L36" s="338">
        <f>SUM(L33:L35)</f>
        <v>112063.65</v>
      </c>
      <c r="M36" s="338">
        <f>SUM(M33:M35)</f>
        <v>0</v>
      </c>
      <c r="N36" s="339">
        <f>SUM(N33:N35)</f>
        <v>0</v>
      </c>
      <c r="O36" s="339">
        <f>SUM(O33:O35)</f>
        <v>0</v>
      </c>
      <c r="P36" s="340">
        <f>SUM(P33:P35)</f>
        <v>0</v>
      </c>
      <c r="Q36" s="279">
        <f>SUM(L36:P36)</f>
        <v>112063.65</v>
      </c>
    </row>
    <row r="37" spans="2:17" ht="15">
      <c r="B37" s="276">
        <v>12</v>
      </c>
      <c r="C37" s="293" t="s">
        <v>23</v>
      </c>
      <c r="D37" s="325">
        <f>IF(Q40&lt;&gt;0,VLOOKUP($E$9,Info_County_Code,2,FALSE),"")</f>
        <v>40</v>
      </c>
      <c r="E37" s="148" t="s">
        <v>791</v>
      </c>
      <c r="F37" s="38"/>
      <c r="G37" s="38">
        <v>42425</v>
      </c>
      <c r="H37" s="38">
        <v>42552</v>
      </c>
      <c r="I37" s="30">
        <v>641441</v>
      </c>
      <c r="J37" s="30"/>
      <c r="K37" s="326" t="str">
        <f>IF(NOT(ISBLANK(E37)),$K$29,"")</f>
        <v>Project Administration</v>
      </c>
      <c r="L37" s="32">
        <v>14778.74</v>
      </c>
      <c r="M37" s="32"/>
      <c r="N37" s="30"/>
      <c r="O37" s="30"/>
      <c r="P37" s="34"/>
      <c r="Q37" s="246">
        <f t="shared" si="1"/>
        <v>14778.74</v>
      </c>
    </row>
    <row r="38" spans="2:17" ht="15">
      <c r="B38" s="276">
        <v>12</v>
      </c>
      <c r="C38" s="218" t="s">
        <v>25</v>
      </c>
      <c r="D38" s="327">
        <f aca="true" t="shared" si="7" ref="D38:J38">IF(ISBLANK(D37),"",D37)</f>
        <v>40</v>
      </c>
      <c r="E38" s="328" t="str">
        <f t="shared" si="7"/>
        <v>Not for Ourselves Alone</v>
      </c>
      <c r="F38" s="329">
        <f t="shared" si="7"/>
      </c>
      <c r="G38" s="329">
        <f t="shared" si="7"/>
        <v>42425</v>
      </c>
      <c r="H38" s="329">
        <f t="shared" si="7"/>
        <v>42552</v>
      </c>
      <c r="I38" s="330">
        <f t="shared" si="7"/>
        <v>641441</v>
      </c>
      <c r="J38" s="330">
        <f t="shared" si="7"/>
      </c>
      <c r="K38" s="275" t="str">
        <f>IF(NOT(ISBLANK(E37)),$K$30,"")</f>
        <v>Project Evaluation</v>
      </c>
      <c r="L38" s="32"/>
      <c r="M38" s="32"/>
      <c r="N38" s="30"/>
      <c r="O38" s="30"/>
      <c r="P38" s="34"/>
      <c r="Q38" s="246">
        <f t="shared" si="1"/>
        <v>0</v>
      </c>
    </row>
    <row r="39" spans="2:17" ht="15">
      <c r="B39" s="276">
        <v>12</v>
      </c>
      <c r="C39" s="218" t="s">
        <v>27</v>
      </c>
      <c r="D39" s="327">
        <f aca="true" t="shared" si="8" ref="D39:J39">IF(ISBLANK(D37),"",D37)</f>
        <v>40</v>
      </c>
      <c r="E39" s="331" t="str">
        <f t="shared" si="8"/>
        <v>Not for Ourselves Alone</v>
      </c>
      <c r="F39" s="332">
        <f t="shared" si="8"/>
      </c>
      <c r="G39" s="332">
        <f t="shared" si="8"/>
        <v>42425</v>
      </c>
      <c r="H39" s="332">
        <f t="shared" si="8"/>
        <v>42552</v>
      </c>
      <c r="I39" s="275">
        <f t="shared" si="8"/>
        <v>641441</v>
      </c>
      <c r="J39" s="275">
        <f t="shared" si="8"/>
      </c>
      <c r="K39" s="275" t="str">
        <f>IF(NOT(ISBLANK(E37)),$K$31,"")</f>
        <v>Project Direct</v>
      </c>
      <c r="L39" s="32">
        <v>143033.22</v>
      </c>
      <c r="M39" s="32"/>
      <c r="N39" s="30"/>
      <c r="O39" s="30"/>
      <c r="P39" s="34"/>
      <c r="Q39" s="246">
        <f t="shared" si="1"/>
        <v>143033.22</v>
      </c>
    </row>
    <row r="40" spans="2:17" ht="15.75">
      <c r="B40" s="333">
        <v>12</v>
      </c>
      <c r="C40" s="333" t="s">
        <v>202</v>
      </c>
      <c r="D40" s="334">
        <f aca="true" t="shared" si="9" ref="D40:J40">IF(ISBLANK(D37),"",D37)</f>
        <v>40</v>
      </c>
      <c r="E40" s="335" t="str">
        <f t="shared" si="9"/>
        <v>Not for Ourselves Alone</v>
      </c>
      <c r="F40" s="336">
        <f t="shared" si="9"/>
      </c>
      <c r="G40" s="336">
        <f t="shared" si="9"/>
        <v>42425</v>
      </c>
      <c r="H40" s="336">
        <f t="shared" si="9"/>
        <v>42552</v>
      </c>
      <c r="I40" s="337">
        <f t="shared" si="9"/>
        <v>641441</v>
      </c>
      <c r="J40" s="337">
        <f t="shared" si="9"/>
      </c>
      <c r="K40" s="279" t="str">
        <f>IF(NOT(ISBLANK(E37)),$K$32,"")</f>
        <v>Project Subtotal</v>
      </c>
      <c r="L40" s="338">
        <f>SUM(L37:L39)</f>
        <v>157811.96</v>
      </c>
      <c r="M40" s="338">
        <f>SUM(M37:M39)</f>
        <v>0</v>
      </c>
      <c r="N40" s="339">
        <f>SUM(N37:N39)</f>
        <v>0</v>
      </c>
      <c r="O40" s="339">
        <f>SUM(O37:O39)</f>
        <v>0</v>
      </c>
      <c r="P40" s="340">
        <f>SUM(P37:P39)</f>
        <v>0</v>
      </c>
      <c r="Q40" s="279">
        <f t="shared" si="1"/>
        <v>157811.96</v>
      </c>
    </row>
    <row r="41" spans="2:17" ht="15">
      <c r="B41" s="276">
        <v>13</v>
      </c>
      <c r="C41" s="293" t="s">
        <v>23</v>
      </c>
      <c r="D41" s="325">
        <f>IF(Q44&lt;&gt;0,VLOOKUP($E$9,Info_County_Code,2,FALSE),"")</f>
        <v>40</v>
      </c>
      <c r="E41" s="148" t="s">
        <v>792</v>
      </c>
      <c r="F41" s="38"/>
      <c r="G41" s="38">
        <v>42425</v>
      </c>
      <c r="H41" s="38">
        <v>42552</v>
      </c>
      <c r="I41" s="30">
        <v>615708</v>
      </c>
      <c r="J41" s="30"/>
      <c r="K41" s="326" t="str">
        <f>IF(NOT(ISBLANK(E41)),$K$29,"")</f>
        <v>Project Administration</v>
      </c>
      <c r="L41" s="32">
        <v>19186.68</v>
      </c>
      <c r="M41" s="32"/>
      <c r="N41" s="30"/>
      <c r="O41" s="30"/>
      <c r="P41" s="34"/>
      <c r="Q41" s="246">
        <f t="shared" si="1"/>
        <v>19186.68</v>
      </c>
    </row>
    <row r="42" spans="2:17" ht="30">
      <c r="B42" s="276">
        <v>13</v>
      </c>
      <c r="C42" s="218" t="s">
        <v>25</v>
      </c>
      <c r="D42" s="327">
        <f aca="true" t="shared" si="10" ref="D42:J42">IF(ISBLANK(D41),"",D41)</f>
        <v>40</v>
      </c>
      <c r="E42" s="328" t="str">
        <f t="shared" si="10"/>
        <v>Creating Opportunities for Latinas to Experience Goal Achievement</v>
      </c>
      <c r="F42" s="329">
        <f t="shared" si="10"/>
      </c>
      <c r="G42" s="329">
        <f t="shared" si="10"/>
        <v>42425</v>
      </c>
      <c r="H42" s="329">
        <f t="shared" si="10"/>
        <v>42552</v>
      </c>
      <c r="I42" s="330">
        <f t="shared" si="10"/>
        <v>615708</v>
      </c>
      <c r="J42" s="330">
        <f t="shared" si="10"/>
      </c>
      <c r="K42" s="275" t="str">
        <f>IF(NOT(ISBLANK(E41)),$K$30,"")</f>
        <v>Project Evaluation</v>
      </c>
      <c r="L42" s="32"/>
      <c r="M42" s="32"/>
      <c r="N42" s="30"/>
      <c r="O42" s="30"/>
      <c r="P42" s="34"/>
      <c r="Q42" s="246">
        <f t="shared" si="1"/>
        <v>0</v>
      </c>
    </row>
    <row r="43" spans="2:17" ht="30">
      <c r="B43" s="276">
        <v>13</v>
      </c>
      <c r="C43" s="218" t="s">
        <v>27</v>
      </c>
      <c r="D43" s="327">
        <f aca="true" t="shared" si="11" ref="D43:J43">IF(ISBLANK(D41),"",D41)</f>
        <v>40</v>
      </c>
      <c r="E43" s="331" t="str">
        <f t="shared" si="11"/>
        <v>Creating Opportunities for Latinas to Experience Goal Achievement</v>
      </c>
      <c r="F43" s="332">
        <f t="shared" si="11"/>
      </c>
      <c r="G43" s="332">
        <f t="shared" si="11"/>
        <v>42425</v>
      </c>
      <c r="H43" s="332">
        <f t="shared" si="11"/>
        <v>42552</v>
      </c>
      <c r="I43" s="275">
        <f t="shared" si="11"/>
        <v>615708</v>
      </c>
      <c r="J43" s="275">
        <f t="shared" si="11"/>
      </c>
      <c r="K43" s="275" t="str">
        <f>IF(NOT(ISBLANK(E41)),$K$31,"")</f>
        <v>Project Direct</v>
      </c>
      <c r="L43" s="32">
        <v>185694.68</v>
      </c>
      <c r="M43" s="32"/>
      <c r="N43" s="30"/>
      <c r="O43" s="30"/>
      <c r="P43" s="34"/>
      <c r="Q43" s="246">
        <f t="shared" si="1"/>
        <v>185694.68</v>
      </c>
    </row>
    <row r="44" spans="2:17" ht="31.5">
      <c r="B44" s="333">
        <v>13</v>
      </c>
      <c r="C44" s="333" t="s">
        <v>202</v>
      </c>
      <c r="D44" s="334">
        <f aca="true" t="shared" si="12" ref="D44:J44">IF(ISBLANK(D41),"",D41)</f>
        <v>40</v>
      </c>
      <c r="E44" s="335" t="str">
        <f t="shared" si="12"/>
        <v>Creating Opportunities for Latinas to Experience Goal Achievement</v>
      </c>
      <c r="F44" s="336">
        <f t="shared" si="12"/>
      </c>
      <c r="G44" s="336">
        <f t="shared" si="12"/>
        <v>42425</v>
      </c>
      <c r="H44" s="336">
        <f t="shared" si="12"/>
        <v>42552</v>
      </c>
      <c r="I44" s="337">
        <f t="shared" si="12"/>
        <v>615708</v>
      </c>
      <c r="J44" s="337">
        <f t="shared" si="12"/>
      </c>
      <c r="K44" s="279" t="str">
        <f>IF(NOT(ISBLANK(E41)),$K$32,"")</f>
        <v>Project Subtotal</v>
      </c>
      <c r="L44" s="338">
        <f>SUM(L41:L43)</f>
        <v>204881.36</v>
      </c>
      <c r="M44" s="338">
        <f>SUM(M41:M43)</f>
        <v>0</v>
      </c>
      <c r="N44" s="339">
        <f>SUM(N41:N43)</f>
        <v>0</v>
      </c>
      <c r="O44" s="339">
        <f>SUM(O41:O43)</f>
        <v>0</v>
      </c>
      <c r="P44" s="340">
        <f>SUM(P41:P43)</f>
        <v>0</v>
      </c>
      <c r="Q44" s="279">
        <f t="shared" si="1"/>
        <v>204881.36</v>
      </c>
    </row>
    <row r="45" spans="2:17" ht="15">
      <c r="B45" s="276">
        <v>14</v>
      </c>
      <c r="C45" s="293" t="s">
        <v>23</v>
      </c>
      <c r="D45" s="325">
        <f>IF(Q48&lt;&gt;0,VLOOKUP($E$9,Info_County_Code,2,FALSE),"")</f>
      </c>
      <c r="E45" s="144" t="s">
        <v>793</v>
      </c>
      <c r="F45" s="38"/>
      <c r="G45" s="38">
        <v>43336</v>
      </c>
      <c r="H45" s="38">
        <v>43564</v>
      </c>
      <c r="I45" s="30">
        <v>859998</v>
      </c>
      <c r="J45" s="30"/>
      <c r="K45" s="326" t="str">
        <f>IF(NOT(ISBLANK(E45)),$K$29,"")</f>
        <v>Project Administration</v>
      </c>
      <c r="L45" s="32">
        <v>0</v>
      </c>
      <c r="M45" s="32"/>
      <c r="N45" s="30"/>
      <c r="O45" s="30"/>
      <c r="P45" s="34"/>
      <c r="Q45" s="246">
        <f t="shared" si="1"/>
        <v>0</v>
      </c>
    </row>
    <row r="46" spans="2:17" ht="15">
      <c r="B46" s="276">
        <v>14</v>
      </c>
      <c r="C46" s="218" t="s">
        <v>25</v>
      </c>
      <c r="D46" s="327">
        <f aca="true" t="shared" si="13" ref="D46:J46">IF(ISBLANK(D45),"",D45)</f>
      </c>
      <c r="E46" s="328" t="str">
        <f t="shared" si="13"/>
        <v>3-by3 Developmental Screening </v>
      </c>
      <c r="F46" s="329">
        <f t="shared" si="13"/>
      </c>
      <c r="G46" s="329">
        <f t="shared" si="13"/>
        <v>43336</v>
      </c>
      <c r="H46" s="329">
        <f t="shared" si="13"/>
        <v>43564</v>
      </c>
      <c r="I46" s="330">
        <f t="shared" si="13"/>
        <v>859998</v>
      </c>
      <c r="J46" s="330">
        <f t="shared" si="13"/>
      </c>
      <c r="K46" s="275" t="str">
        <f>IF(NOT(ISBLANK(E45)),$K$30,"")</f>
        <v>Project Evaluation</v>
      </c>
      <c r="L46" s="32"/>
      <c r="M46" s="32"/>
      <c r="N46" s="30"/>
      <c r="O46" s="30"/>
      <c r="P46" s="34"/>
      <c r="Q46" s="246">
        <f t="shared" si="1"/>
        <v>0</v>
      </c>
    </row>
    <row r="47" spans="2:17" ht="15">
      <c r="B47" s="276">
        <v>14</v>
      </c>
      <c r="C47" s="218" t="s">
        <v>27</v>
      </c>
      <c r="D47" s="327">
        <f aca="true" t="shared" si="14" ref="D47:J47">IF(ISBLANK(D45),"",D45)</f>
      </c>
      <c r="E47" s="331" t="str">
        <f t="shared" si="14"/>
        <v>3-by3 Developmental Screening </v>
      </c>
      <c r="F47" s="332">
        <f t="shared" si="14"/>
      </c>
      <c r="G47" s="332">
        <f t="shared" si="14"/>
        <v>43336</v>
      </c>
      <c r="H47" s="332">
        <f t="shared" si="14"/>
        <v>43564</v>
      </c>
      <c r="I47" s="275">
        <f t="shared" si="14"/>
        <v>859998</v>
      </c>
      <c r="J47" s="275">
        <f t="shared" si="14"/>
      </c>
      <c r="K47" s="275" t="str">
        <f>IF(NOT(ISBLANK(E45)),$K$31,"")</f>
        <v>Project Direct</v>
      </c>
      <c r="L47" s="32">
        <v>0</v>
      </c>
      <c r="M47" s="32"/>
      <c r="N47" s="30"/>
      <c r="O47" s="30"/>
      <c r="P47" s="34"/>
      <c r="Q47" s="246">
        <f t="shared" si="1"/>
        <v>0</v>
      </c>
    </row>
    <row r="48" spans="2:17" ht="15.75">
      <c r="B48" s="333">
        <v>14</v>
      </c>
      <c r="C48" s="333" t="s">
        <v>202</v>
      </c>
      <c r="D48" s="334">
        <f aca="true" t="shared" si="15" ref="D48:J48">IF(ISBLANK(D45),"",D45)</f>
      </c>
      <c r="E48" s="335" t="str">
        <f t="shared" si="15"/>
        <v>3-by3 Developmental Screening </v>
      </c>
      <c r="F48" s="336">
        <f t="shared" si="15"/>
      </c>
      <c r="G48" s="336">
        <f t="shared" si="15"/>
        <v>43336</v>
      </c>
      <c r="H48" s="336">
        <f t="shared" si="15"/>
        <v>43564</v>
      </c>
      <c r="I48" s="337">
        <f t="shared" si="15"/>
        <v>859998</v>
      </c>
      <c r="J48" s="337">
        <f t="shared" si="15"/>
      </c>
      <c r="K48" s="279" t="str">
        <f>IF(NOT(ISBLANK(E45)),$K$32,"")</f>
        <v>Project Subtotal</v>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v>40</v>
      </c>
      <c r="E49" s="144" t="s">
        <v>794</v>
      </c>
      <c r="F49" s="38"/>
      <c r="G49" s="38">
        <v>43336</v>
      </c>
      <c r="H49" s="38">
        <v>43480</v>
      </c>
      <c r="I49" s="30">
        <v>554729</v>
      </c>
      <c r="J49" s="30"/>
      <c r="K49" s="326" t="str">
        <f>IF(NOT(ISBLANK(E49)),$K$29,"")</f>
        <v>Project Administration</v>
      </c>
      <c r="L49" s="32">
        <v>1843.86</v>
      </c>
      <c r="M49" s="32"/>
      <c r="N49" s="30"/>
      <c r="O49" s="30"/>
      <c r="P49" s="34"/>
      <c r="Q49" s="246">
        <f t="shared" si="1"/>
        <v>1843.86</v>
      </c>
    </row>
    <row r="50" spans="2:17" ht="15">
      <c r="B50" s="276">
        <v>15</v>
      </c>
      <c r="C50" s="218" t="s">
        <v>25</v>
      </c>
      <c r="D50" s="327">
        <f aca="true" t="shared" si="16" ref="D50:J50">IF(ISBLANK(D49),"",D49)</f>
        <v>40</v>
      </c>
      <c r="E50" s="328" t="str">
        <f t="shared" si="16"/>
        <v>SLO Acceptance </v>
      </c>
      <c r="F50" s="329">
        <f t="shared" si="16"/>
      </c>
      <c r="G50" s="329">
        <f t="shared" si="16"/>
        <v>43336</v>
      </c>
      <c r="H50" s="329">
        <f t="shared" si="16"/>
        <v>43480</v>
      </c>
      <c r="I50" s="330">
        <f t="shared" si="16"/>
        <v>554729</v>
      </c>
      <c r="J50" s="330">
        <f t="shared" si="16"/>
      </c>
      <c r="K50" s="275" t="str">
        <f>IF(NOT(ISBLANK(E49)),$K$30,"")</f>
        <v>Project Evaluation</v>
      </c>
      <c r="L50" s="32"/>
      <c r="M50" s="32"/>
      <c r="N50" s="30"/>
      <c r="O50" s="30"/>
      <c r="P50" s="34"/>
      <c r="Q50" s="246">
        <f t="shared" si="1"/>
        <v>0</v>
      </c>
    </row>
    <row r="51" spans="2:17" ht="15">
      <c r="B51" s="276">
        <v>15</v>
      </c>
      <c r="C51" s="218" t="s">
        <v>27</v>
      </c>
      <c r="D51" s="327">
        <f aca="true" t="shared" si="17" ref="D51:J51">IF(ISBLANK(D49),"",D49)</f>
        <v>40</v>
      </c>
      <c r="E51" s="331" t="str">
        <f t="shared" si="17"/>
        <v>SLO Acceptance </v>
      </c>
      <c r="F51" s="332">
        <f t="shared" si="17"/>
      </c>
      <c r="G51" s="332">
        <f t="shared" si="17"/>
        <v>43336</v>
      </c>
      <c r="H51" s="332">
        <f t="shared" si="17"/>
        <v>43480</v>
      </c>
      <c r="I51" s="275">
        <f t="shared" si="17"/>
        <v>554729</v>
      </c>
      <c r="J51" s="275">
        <f t="shared" si="17"/>
      </c>
      <c r="K51" s="275" t="str">
        <f>IF(NOT(ISBLANK(E49)),$K$31,"")</f>
        <v>Project Direct</v>
      </c>
      <c r="L51" s="32">
        <v>17845.54</v>
      </c>
      <c r="M51" s="32"/>
      <c r="N51" s="30"/>
      <c r="O51" s="30"/>
      <c r="P51" s="34"/>
      <c r="Q51" s="246">
        <f t="shared" si="1"/>
        <v>17845.54</v>
      </c>
    </row>
    <row r="52" spans="2:17" ht="15.75">
      <c r="B52" s="333">
        <v>15</v>
      </c>
      <c r="C52" s="333" t="s">
        <v>202</v>
      </c>
      <c r="D52" s="334">
        <f aca="true" t="shared" si="18" ref="D52:J52">IF(ISBLANK(D49),"",D49)</f>
        <v>40</v>
      </c>
      <c r="E52" s="335" t="str">
        <f t="shared" si="18"/>
        <v>SLO Acceptance </v>
      </c>
      <c r="F52" s="336">
        <f t="shared" si="18"/>
      </c>
      <c r="G52" s="336">
        <f t="shared" si="18"/>
        <v>43336</v>
      </c>
      <c r="H52" s="336">
        <f t="shared" si="18"/>
        <v>43480</v>
      </c>
      <c r="I52" s="337">
        <f t="shared" si="18"/>
        <v>554729</v>
      </c>
      <c r="J52" s="337">
        <f t="shared" si="18"/>
      </c>
      <c r="K52" s="279" t="str">
        <f>IF(NOT(ISBLANK(E49)),$K$32,"")</f>
        <v>Project Subtotal</v>
      </c>
      <c r="L52" s="338">
        <f>SUM(L49:L51)</f>
        <v>19689.4</v>
      </c>
      <c r="M52" s="338">
        <f>SUM(M49:M51)</f>
        <v>0</v>
      </c>
      <c r="N52" s="339">
        <f>SUM(N49:N51)</f>
        <v>0</v>
      </c>
      <c r="O52" s="339">
        <f>SUM(O49:O51)</f>
        <v>0</v>
      </c>
      <c r="P52" s="340">
        <f>SUM(P49:P51)</f>
        <v>0</v>
      </c>
      <c r="Q52" s="279">
        <f t="shared" si="1"/>
        <v>19689.4</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79">
      <selection activeCell="A68" sqref="A68"/>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F30" sqref="F30"/>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San Luis Obispo</v>
      </c>
      <c r="F9" s="226" t="s">
        <v>1</v>
      </c>
      <c r="G9" s="346">
        <f>IF(ISBLANK('1. Information'!D9),"",'1. Information'!D9)</f>
        <v>43801</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1078.77</v>
      </c>
      <c r="G17" s="136"/>
      <c r="H17" s="136"/>
      <c r="I17" s="136"/>
      <c r="J17" s="136"/>
      <c r="K17" s="241">
        <f t="shared" si="0"/>
        <v>1078.77</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76301.95</v>
      </c>
      <c r="G20" s="351">
        <f>SUM(F28:F32)</f>
        <v>4512.77</v>
      </c>
      <c r="H20" s="330">
        <f>SUM(G28:G32)</f>
        <v>0</v>
      </c>
      <c r="I20" s="330">
        <f>SUM(H28:H32)</f>
        <v>0</v>
      </c>
      <c r="J20" s="330">
        <f>SUM(I28:I32)</f>
        <v>1.36</v>
      </c>
      <c r="K20" s="246">
        <f t="shared" si="0"/>
        <v>80816.08</v>
      </c>
      <c r="L20" s="175"/>
      <c r="M20" s="175"/>
      <c r="N20" s="27"/>
      <c r="O20" s="27"/>
    </row>
    <row r="21" spans="1:15" ht="30.75" customHeight="1">
      <c r="A21" s="27"/>
      <c r="B21" s="300">
        <v>7</v>
      </c>
      <c r="C21" s="277" t="s">
        <v>188</v>
      </c>
      <c r="D21" s="277"/>
      <c r="E21" s="277"/>
      <c r="F21" s="279">
        <f>SUM(F15:F17,F19:F20)</f>
        <v>77380.72</v>
      </c>
      <c r="G21" s="251">
        <f>SUM(G15:G17,G20)</f>
        <v>4512.77</v>
      </c>
      <c r="H21" s="250">
        <f>SUM(H15:H17,H20)</f>
        <v>0</v>
      </c>
      <c r="I21" s="250">
        <f>SUM(I15:I17,I20)</f>
        <v>0</v>
      </c>
      <c r="J21" s="250">
        <f>SUM(J15:J17,J20)</f>
        <v>1.36</v>
      </c>
      <c r="K21" s="279">
        <f t="shared" si="0"/>
        <v>81894.85</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v>40</v>
      </c>
      <c r="D29" s="355" t="s">
        <v>99</v>
      </c>
      <c r="E29" s="31">
        <f>24640.52+16908.06+25949.07</f>
        <v>67497.65</v>
      </c>
      <c r="F29" s="32"/>
      <c r="G29" s="31"/>
      <c r="H29" s="31"/>
      <c r="I29" s="128"/>
      <c r="J29" s="275">
        <f>SUM(E29:I29)</f>
        <v>67497.65</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v>40</v>
      </c>
      <c r="D31" s="355" t="s">
        <v>101</v>
      </c>
      <c r="E31" s="31">
        <v>8804.3</v>
      </c>
      <c r="F31" s="32">
        <v>4512.77</v>
      </c>
      <c r="G31" s="31"/>
      <c r="H31" s="31"/>
      <c r="I31" s="128">
        <v>1.36</v>
      </c>
      <c r="J31" s="275">
        <f>SUM(E31:I31)</f>
        <v>13318.43</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4">
      <selection activeCell="E31" sqref="E31"/>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San Luis Obispo</v>
      </c>
      <c r="E9" s="8"/>
      <c r="F9" s="162" t="s">
        <v>1</v>
      </c>
      <c r="G9" s="264">
        <f>IF(ISBLANK('1. Information'!D9),"",'1. Information'!D9)</f>
        <v>43801</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f>496067.21-182.53</f>
        <v>495884.68</v>
      </c>
      <c r="G17" s="136">
        <v>180.53</v>
      </c>
      <c r="H17" s="136"/>
      <c r="I17" s="136"/>
      <c r="J17" s="136">
        <v>2</v>
      </c>
      <c r="K17" s="326">
        <f>SUM(F17:J17)</f>
        <v>496067.21</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1550.23</v>
      </c>
      <c r="G20" s="351">
        <f>SUM(H27:H46)</f>
        <v>0</v>
      </c>
      <c r="H20" s="330">
        <f>SUM(I27:I46)</f>
        <v>0</v>
      </c>
      <c r="I20" s="330">
        <f>SUM(J27:J46)</f>
        <v>0</v>
      </c>
      <c r="J20" s="275">
        <f>SUM(K27:K46)</f>
        <v>0</v>
      </c>
      <c r="K20" s="326">
        <f>SUM(F20:J20)</f>
        <v>1550.23</v>
      </c>
      <c r="L20" s="175"/>
      <c r="M20" s="175"/>
      <c r="U20" s="27"/>
      <c r="V20" s="27"/>
      <c r="W20" s="27"/>
    </row>
    <row r="21" spans="2:23" ht="30.75" customHeight="1">
      <c r="B21" s="300">
        <v>7</v>
      </c>
      <c r="C21" s="359" t="s">
        <v>768</v>
      </c>
      <c r="D21" s="360"/>
      <c r="E21" s="361"/>
      <c r="F21" s="279">
        <f>SUM(F15:F17,F19:F20)</f>
        <v>497434.91</v>
      </c>
      <c r="G21" s="251">
        <f>SUM(G15:G17,G20)</f>
        <v>180.53</v>
      </c>
      <c r="H21" s="251">
        <f>SUM(H15:H17,H20)</f>
        <v>0</v>
      </c>
      <c r="I21" s="251">
        <f>SUM(I15:I17,I20)</f>
        <v>0</v>
      </c>
      <c r="J21" s="251">
        <f>SUM(J15:J17,J20)</f>
        <v>2</v>
      </c>
      <c r="K21" s="250">
        <f>SUM(F21:J21)</f>
        <v>497617.44</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30.75">
      <c r="B27" s="300">
        <v>8</v>
      </c>
      <c r="C27" s="301">
        <f aca="true" t="shared" si="0" ref="C27:C46">IF(L27&lt;&gt;0,VLOOKUP($D$9,Info_County_Code,2,FALSE),"")</f>
        <v>40</v>
      </c>
      <c r="D27" s="144" t="s">
        <v>830</v>
      </c>
      <c r="E27" s="144"/>
      <c r="F27" s="127" t="s">
        <v>155</v>
      </c>
      <c r="G27" s="126">
        <v>1550.23</v>
      </c>
      <c r="H27" s="126"/>
      <c r="I27" s="126"/>
      <c r="J27" s="129"/>
      <c r="K27" s="126"/>
      <c r="L27" s="364">
        <f>SUM(G27:K27)</f>
        <v>1550.23</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E17" sqref="E17"/>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San Luis Obispo</v>
      </c>
      <c r="E9" s="2"/>
      <c r="F9" s="365" t="s">
        <v>156</v>
      </c>
      <c r="G9" s="264">
        <f>IF(ISBLANK('1. Information'!D9),"",'1. Information'!D9)</f>
        <v>43801</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t="s">
        <v>28</v>
      </c>
      <c r="E15" s="40" t="s">
        <v>782</v>
      </c>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F15" sqref="F15"/>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San Luis Obispo</v>
      </c>
      <c r="F9" s="226" t="s">
        <v>1</v>
      </c>
      <c r="G9" s="346">
        <f>IF(ISBLANK('1. Information'!D9),"",'1. Information'!D9)</f>
        <v>43801</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20" sqref="D2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43801</v>
      </c>
    </row>
    <row r="10" spans="2:4" ht="34.5" customHeight="1">
      <c r="B10" s="203">
        <v>2</v>
      </c>
      <c r="C10" s="205" t="s">
        <v>303</v>
      </c>
      <c r="D10" s="151" t="s">
        <v>783</v>
      </c>
    </row>
    <row r="11" spans="2:4" ht="34.5" customHeight="1">
      <c r="B11" s="203">
        <v>3</v>
      </c>
      <c r="C11" s="204" t="s">
        <v>0</v>
      </c>
      <c r="D11" s="135" t="s">
        <v>75</v>
      </c>
    </row>
    <row r="12" spans="2:4" ht="34.5" customHeight="1">
      <c r="B12" s="203">
        <v>4</v>
      </c>
      <c r="C12" s="206" t="s">
        <v>113</v>
      </c>
      <c r="D12" s="182">
        <f>IF(ISBLANK(D11),"",VLOOKUP(D11,Info_County_Code,2))</f>
        <v>40</v>
      </c>
    </row>
    <row r="13" spans="2:4" ht="34.5" customHeight="1">
      <c r="B13" s="203">
        <v>5</v>
      </c>
      <c r="C13" s="204" t="s">
        <v>114</v>
      </c>
      <c r="D13" s="412" t="s">
        <v>784</v>
      </c>
    </row>
    <row r="14" spans="2:4" ht="34.5" customHeight="1">
      <c r="B14" s="203">
        <v>6</v>
      </c>
      <c r="C14" s="204" t="s">
        <v>115</v>
      </c>
      <c r="D14" s="135" t="s">
        <v>75</v>
      </c>
    </row>
    <row r="15" spans="2:4" ht="34.5" customHeight="1">
      <c r="B15" s="203">
        <v>7</v>
      </c>
      <c r="C15" s="204" t="s">
        <v>116</v>
      </c>
      <c r="D15" s="172">
        <v>93401</v>
      </c>
    </row>
    <row r="16" spans="2:4" ht="34.5" customHeight="1">
      <c r="B16" s="203">
        <v>8</v>
      </c>
      <c r="C16" s="207" t="s">
        <v>162</v>
      </c>
      <c r="D16" s="183" t="str">
        <f>IF(ISBLANK(D11),"",VLOOKUP(D11,County_Population,5,FALSE))</f>
        <v>Yes</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788</v>
      </c>
    </row>
    <row r="20" spans="2:4" ht="34.5" customHeight="1">
      <c r="B20" s="203">
        <v>12</v>
      </c>
      <c r="C20" s="209" t="s">
        <v>280</v>
      </c>
      <c r="D20" s="414" t="s">
        <v>787</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14" sqref="E14"/>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San Luis Obispo</v>
      </c>
      <c r="F9" s="226" t="s">
        <v>1</v>
      </c>
      <c r="G9" s="346">
        <f>IF(ISBLANK('1. Information'!D9),"",'1. Information'!D9)</f>
        <v>43801</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30">
      <c r="B13" s="375">
        <v>1</v>
      </c>
      <c r="C13" s="169" t="s">
        <v>28</v>
      </c>
      <c r="D13" s="169" t="s">
        <v>827</v>
      </c>
      <c r="E13" s="117" t="s">
        <v>828</v>
      </c>
    </row>
    <row r="14" spans="2:5" ht="30">
      <c r="B14" s="376">
        <v>2</v>
      </c>
      <c r="C14" s="169" t="s">
        <v>29</v>
      </c>
      <c r="D14" s="169" t="s">
        <v>827</v>
      </c>
      <c r="E14" s="117" t="s">
        <v>829</v>
      </c>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dataValidations count="3">
    <dataValidation type="list" allowBlank="1" showInputMessage="1" showErrorMessage="1" prompt="Select which Account type from the drop down list. " sqref="C13:C52">
      <formula1>"CSS, PEI, INN, WET, CFTN, Prudent Reserve, MHSA HP"</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San Luis Obispo</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6" t="s">
        <v>148</v>
      </c>
      <c r="B1" s="417"/>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9" t="s">
        <v>171</v>
      </c>
      <c r="B2" s="419"/>
      <c r="C2" s="419"/>
      <c r="D2" s="419"/>
      <c r="E2" s="419"/>
    </row>
    <row r="3" spans="1:5" ht="14.25" customHeight="1">
      <c r="A3" s="419" t="s">
        <v>235</v>
      </c>
      <c r="B3" s="419"/>
      <c r="C3" s="419"/>
      <c r="D3" s="419"/>
      <c r="E3" s="419"/>
    </row>
    <row r="4" spans="1:4" ht="14.25" customHeight="1" thickBot="1">
      <c r="A4" s="57"/>
      <c r="B4" s="58"/>
      <c r="C4" s="59"/>
      <c r="D4" s="60"/>
    </row>
    <row r="5" spans="1:5" ht="14.25" customHeight="1">
      <c r="A5" s="61" t="s">
        <v>172</v>
      </c>
      <c r="B5" s="418" t="s">
        <v>173</v>
      </c>
      <c r="C5" s="418"/>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4">
      <selection activeCell="I40" sqref="I40"/>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San Luis Obispo</v>
      </c>
      <c r="F9" s="210" t="s">
        <v>1</v>
      </c>
      <c r="G9" s="185">
        <f>IF(ISBLANK('1. Information'!D9),"",'1. Information'!D9)</f>
        <v>43801</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280045.56</v>
      </c>
      <c r="E14" s="149">
        <v>70011.39</v>
      </c>
      <c r="F14" s="149">
        <v>18424.05</v>
      </c>
      <c r="G14" s="149">
        <v>0</v>
      </c>
      <c r="H14" s="149">
        <v>0</v>
      </c>
      <c r="I14" s="186">
        <f>SUM(D14:H14)</f>
        <v>368481</v>
      </c>
    </row>
    <row r="15" spans="2:9" ht="15">
      <c r="B15" s="218">
        <v>2</v>
      </c>
      <c r="C15" s="219" t="s">
        <v>278</v>
      </c>
      <c r="D15" s="164">
        <v>0</v>
      </c>
      <c r="E15" s="164">
        <v>0</v>
      </c>
      <c r="F15" s="164">
        <v>0</v>
      </c>
      <c r="G15" s="164">
        <v>0</v>
      </c>
      <c r="H15" s="164">
        <v>0</v>
      </c>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5836164</v>
      </c>
      <c r="G19" s="122"/>
      <c r="H19" s="122"/>
      <c r="I19" s="122"/>
    </row>
    <row r="20" spans="2:9" ht="15">
      <c r="B20" s="216">
        <v>4</v>
      </c>
      <c r="C20" s="220" t="s">
        <v>22</v>
      </c>
      <c r="D20" s="149">
        <v>0</v>
      </c>
      <c r="E20" s="149">
        <v>0</v>
      </c>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5836164</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-602498.0800000001</v>
      </c>
      <c r="E27" s="188">
        <f>'3. CSS'!F21</f>
        <v>0</v>
      </c>
      <c r="F27" s="186">
        <f>'3. CSS'!F22</f>
        <v>74936.03</v>
      </c>
      <c r="G27" s="194">
        <f>'3. CSS'!F23</f>
        <v>527562.05</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9530361.11</v>
      </c>
      <c r="E31" s="194">
        <f>'4. PEI'!F22</f>
        <v>2483604.0400000005</v>
      </c>
      <c r="F31" s="194">
        <f>'5. INN'!F23</f>
        <v>641261.79</v>
      </c>
      <c r="G31" s="194">
        <f>'6. WET'!F21</f>
        <v>77380.72</v>
      </c>
      <c r="H31" s="194">
        <f>'7. CFTN'!F21</f>
        <v>497434.91</v>
      </c>
      <c r="I31" s="194">
        <f>SUM(D31:H31)</f>
        <v>13230042.570000002</v>
      </c>
    </row>
    <row r="32" spans="2:9" ht="15">
      <c r="B32" s="211">
        <v>10</v>
      </c>
      <c r="C32" s="223" t="s">
        <v>4</v>
      </c>
      <c r="D32" s="189">
        <f>'3. CSS'!G27</f>
        <v>3019006.6199999996</v>
      </c>
      <c r="E32" s="189">
        <f>'4. PEI'!G22</f>
        <v>0</v>
      </c>
      <c r="F32" s="189">
        <f>'5. INN'!G23</f>
        <v>0</v>
      </c>
      <c r="G32" s="189">
        <f>'6. WET'!G21</f>
        <v>4512.77</v>
      </c>
      <c r="H32" s="189">
        <f>'7. CFTN'!G21</f>
        <v>180.53</v>
      </c>
      <c r="I32" s="194">
        <f>SUM(D32:H32)</f>
        <v>3023699.9199999995</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410687.99</v>
      </c>
      <c r="E35" s="189">
        <f>'4. PEI'!J22</f>
        <v>148901.52000000002</v>
      </c>
      <c r="F35" s="189">
        <f>'5. INN'!J23</f>
        <v>0</v>
      </c>
      <c r="G35" s="189">
        <f>'6. WET'!J21</f>
        <v>1.36</v>
      </c>
      <c r="H35" s="189">
        <f>'7. CFTN'!J21</f>
        <v>2</v>
      </c>
      <c r="I35" s="194">
        <f>SUM(D35:H35)</f>
        <v>559592.87</v>
      </c>
    </row>
    <row r="36" spans="2:9" ht="15.75">
      <c r="B36" s="211">
        <v>14</v>
      </c>
      <c r="C36" s="224" t="s">
        <v>21</v>
      </c>
      <c r="D36" s="195">
        <f>SUM(D31:D35)</f>
        <v>12960055.719999999</v>
      </c>
      <c r="E36" s="195">
        <f>SUM(E31:E35)</f>
        <v>2632505.5600000005</v>
      </c>
      <c r="F36" s="195">
        <f>SUM(F31:F35)</f>
        <v>641261.79</v>
      </c>
      <c r="G36" s="195">
        <f>SUM(G31:G35)</f>
        <v>81894.85</v>
      </c>
      <c r="H36" s="195">
        <f>SUM(H31:H35)</f>
        <v>497617.44</v>
      </c>
      <c r="I36" s="196">
        <f>SUM(D36:H36)</f>
        <v>16813335.36</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0</v>
      </c>
      <c r="E40" s="154"/>
      <c r="F40" s="120"/>
      <c r="H40" s="120"/>
      <c r="I40" s="122"/>
    </row>
    <row r="41" spans="2:9" ht="15.75">
      <c r="B41" s="211">
        <v>16</v>
      </c>
      <c r="C41" s="162" t="s">
        <v>19</v>
      </c>
      <c r="D41" s="197">
        <f>'3. CSS'!F16+'4. PEI'!F16+'5. INN'!F20+'6. WET'!F16+'7. CFTN'!F16</f>
        <v>149746.14</v>
      </c>
      <c r="E41" s="121"/>
      <c r="F41" s="120"/>
      <c r="G41" s="120"/>
      <c r="H41" s="120"/>
      <c r="I41" s="122"/>
    </row>
    <row r="42" spans="2:9" ht="15.75">
      <c r="B42" s="211">
        <v>17</v>
      </c>
      <c r="C42" s="162" t="s">
        <v>20</v>
      </c>
      <c r="D42" s="198">
        <f>'3. CSS'!F17+'4. PEI'!F17+'5. INN'!F16+'5. INN'!F19+'6. WET'!F17+'7. CFTN'!F17</f>
        <v>898044.11</v>
      </c>
      <c r="E42" s="121"/>
      <c r="F42" s="120"/>
      <c r="G42" s="120"/>
      <c r="H42" s="120"/>
      <c r="I42" s="122"/>
    </row>
    <row r="43" spans="2:4" ht="15.75">
      <c r="B43" s="211">
        <v>18</v>
      </c>
      <c r="C43" s="225" t="s">
        <v>243</v>
      </c>
      <c r="D43" s="149">
        <v>0</v>
      </c>
    </row>
    <row r="44" spans="2:4" ht="15.75">
      <c r="B44" s="211">
        <v>19</v>
      </c>
      <c r="C44" s="162" t="s">
        <v>244</v>
      </c>
      <c r="D44" s="199">
        <f>'4. PEI'!F18</f>
        <v>0</v>
      </c>
    </row>
    <row r="45" spans="2:4" ht="15.75">
      <c r="B45" s="211">
        <v>20</v>
      </c>
      <c r="C45" s="225" t="s">
        <v>245</v>
      </c>
      <c r="D45" s="149">
        <v>0</v>
      </c>
    </row>
    <row r="46" spans="2:5" ht="15.75">
      <c r="B46" s="211">
        <v>21</v>
      </c>
      <c r="C46" s="162" t="s">
        <v>249</v>
      </c>
      <c r="D46" s="149">
        <f>204449.34+77981.13</f>
        <v>282430.47</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62">
      <selection activeCell="A80" sqref="A80"/>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25" right="0.25" top="0.75" bottom="0.75" header="0.3" footer="0.3"/>
  <pageSetup horizontalDpi="600" verticalDpi="600" orientation="landscape"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B10">
      <selection activeCell="D42" sqref="D42"/>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San Luis Obispo</v>
      </c>
      <c r="E9" s="123"/>
      <c r="F9" s="226" t="s">
        <v>1</v>
      </c>
      <c r="G9" s="227">
        <f>IF(ISBLANK('1. Information'!D9),"",'1. Information'!D9)</f>
        <v>43801</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c r="G15" s="136"/>
      <c r="H15" s="136"/>
      <c r="I15" s="136"/>
      <c r="J15" s="136"/>
      <c r="K15" s="241">
        <f>SUM(F15:J15)</f>
        <v>0</v>
      </c>
      <c r="L15" s="175"/>
    </row>
    <row r="16" spans="1:12" ht="15" customHeight="1">
      <c r="A16" s="123"/>
      <c r="B16" s="234">
        <v>2</v>
      </c>
      <c r="C16" s="163" t="s">
        <v>7</v>
      </c>
      <c r="D16" s="242"/>
      <c r="E16" s="243"/>
      <c r="F16" s="136">
        <f>31132.58+31132.37+20793.83+20793.85</f>
        <v>103852.63</v>
      </c>
      <c r="G16" s="136"/>
      <c r="H16" s="136"/>
      <c r="I16" s="136"/>
      <c r="J16" s="136"/>
      <c r="K16" s="241">
        <f>SUM(F16:J16)</f>
        <v>103852.63</v>
      </c>
      <c r="L16" s="175"/>
    </row>
    <row r="17" spans="1:12" ht="15.75" customHeight="1">
      <c r="A17" s="123"/>
      <c r="B17" s="234">
        <v>3</v>
      </c>
      <c r="C17" s="163" t="s">
        <v>117</v>
      </c>
      <c r="D17" s="242"/>
      <c r="E17" s="243"/>
      <c r="F17" s="136">
        <f>139892.65-180.53</f>
        <v>139712.12</v>
      </c>
      <c r="G17" s="136">
        <f>15758.45+180.53</f>
        <v>15938.980000000001</v>
      </c>
      <c r="H17" s="136"/>
      <c r="I17" s="136"/>
      <c r="J17" s="136">
        <v>1123.64</v>
      </c>
      <c r="K17" s="241">
        <f>SUM(F17:J17)</f>
        <v>156774.74000000002</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f>8923.79+7370.77+29077.55+10579.38+19839.08-2838.32+1983.78</f>
        <v>74936.03</v>
      </c>
      <c r="G22" s="246"/>
      <c r="H22" s="246"/>
      <c r="I22" s="246"/>
      <c r="J22" s="246"/>
      <c r="K22" s="241">
        <f t="shared" si="0"/>
        <v>74936.03</v>
      </c>
      <c r="L22" s="175"/>
    </row>
    <row r="23" spans="1:12" ht="15.75">
      <c r="A23" s="124"/>
      <c r="B23" s="218">
        <v>9</v>
      </c>
      <c r="C23" s="242" t="s">
        <v>193</v>
      </c>
      <c r="D23" s="245"/>
      <c r="E23" s="243"/>
      <c r="F23" s="136">
        <f>70221.34+77680.54+43442.38+158690.63+177429.65+97.51</f>
        <v>527562.05</v>
      </c>
      <c r="G23" s="246"/>
      <c r="H23" s="246"/>
      <c r="I23" s="246"/>
      <c r="J23" s="246"/>
      <c r="K23" s="241">
        <f t="shared" si="0"/>
        <v>527562.05</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9286796.36</v>
      </c>
      <c r="G25" s="246">
        <f>SUM(H34:H133)</f>
        <v>3003067.6399999997</v>
      </c>
      <c r="H25" s="246">
        <f>SUM(I34:I133)</f>
        <v>0</v>
      </c>
      <c r="I25" s="246">
        <f>SUM(J34:J133)</f>
        <v>0</v>
      </c>
      <c r="J25" s="246">
        <f>SUM(K34:K133)</f>
        <v>409564.35</v>
      </c>
      <c r="K25" s="246">
        <f>SUM(F25:J25)</f>
        <v>12699428.35</v>
      </c>
      <c r="L25" s="175"/>
    </row>
    <row r="26" spans="1:12" ht="30.75" customHeight="1">
      <c r="A26" s="123"/>
      <c r="B26" s="234">
        <v>12</v>
      </c>
      <c r="C26" s="247" t="s">
        <v>190</v>
      </c>
      <c r="D26" s="248"/>
      <c r="E26" s="249"/>
      <c r="F26" s="250">
        <f>SUM(F15:F17,F19:F25)</f>
        <v>10132859.19</v>
      </c>
      <c r="G26" s="250">
        <f>SUM(G15:G17,G25)</f>
        <v>3019006.6199999996</v>
      </c>
      <c r="H26" s="251">
        <f>SUM(H15:H17,H25)</f>
        <v>0</v>
      </c>
      <c r="I26" s="250">
        <f>SUM(I15:I17,I25)</f>
        <v>0</v>
      </c>
      <c r="J26" s="250">
        <f>SUM(J15:J17,J25)</f>
        <v>410687.99</v>
      </c>
      <c r="K26" s="250">
        <f>SUM(F26:J26)</f>
        <v>13562553.799999999</v>
      </c>
      <c r="L26" s="175"/>
    </row>
    <row r="27" spans="1:12" ht="30.75" customHeight="1">
      <c r="A27" s="123"/>
      <c r="B27" s="234">
        <v>13</v>
      </c>
      <c r="C27" s="252" t="s">
        <v>675</v>
      </c>
      <c r="D27" s="252"/>
      <c r="E27" s="252"/>
      <c r="F27" s="250">
        <f>SUM(F15:F17,F19,F20,F25)</f>
        <v>9530361.11</v>
      </c>
      <c r="G27" s="250">
        <f>SUM(G15:G17,G25)</f>
        <v>3019006.6199999996</v>
      </c>
      <c r="H27" s="250">
        <f>SUM(H15:H17,H25)</f>
        <v>0</v>
      </c>
      <c r="I27" s="250">
        <f>SUM(I15:I17,I25)</f>
        <v>0</v>
      </c>
      <c r="J27" s="250">
        <f>SUM(J15:J17,J25)</f>
        <v>410687.99</v>
      </c>
      <c r="K27" s="250">
        <f>SUM(F27:J27)</f>
        <v>12960055.719999999</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40</v>
      </c>
      <c r="D34" s="148" t="s">
        <v>813</v>
      </c>
      <c r="E34" s="144" t="s">
        <v>822</v>
      </c>
      <c r="F34" s="127" t="s">
        <v>95</v>
      </c>
      <c r="G34" s="126">
        <f>590379.32-31132.58-24-1444.21-773.68</f>
        <v>557004.85</v>
      </c>
      <c r="H34" s="126">
        <f>217707.2+1444.21+773.68</f>
        <v>219925.09</v>
      </c>
      <c r="I34" s="126"/>
      <c r="J34" s="129"/>
      <c r="K34" s="126">
        <f>16.43+24</f>
        <v>40.43</v>
      </c>
      <c r="L34" s="246">
        <f>SUM(G34:K34)</f>
        <v>776970.37</v>
      </c>
    </row>
    <row r="35" spans="1:12" ht="15.75">
      <c r="A35" s="123"/>
      <c r="B35" s="262">
        <v>15</v>
      </c>
      <c r="C35" s="263">
        <f t="shared" si="1"/>
        <v>40</v>
      </c>
      <c r="D35" s="148" t="s">
        <v>814</v>
      </c>
      <c r="E35" s="144"/>
      <c r="F35" s="127" t="s">
        <v>95</v>
      </c>
      <c r="G35" s="126">
        <f>533981.72-31132.37-40-1083.16-773.68</f>
        <v>500952.51</v>
      </c>
      <c r="H35" s="126">
        <f>175142.25+1083.16+773.68</f>
        <v>176999.09</v>
      </c>
      <c r="I35" s="126"/>
      <c r="J35" s="129"/>
      <c r="K35" s="126">
        <f>27.4+40</f>
        <v>67.4</v>
      </c>
      <c r="L35" s="246">
        <f aca="true" t="shared" si="2" ref="L35:L98">SUM(G35:K35)</f>
        <v>678019</v>
      </c>
    </row>
    <row r="36" spans="1:12" ht="15.75">
      <c r="A36" s="123"/>
      <c r="B36" s="262">
        <v>16</v>
      </c>
      <c r="C36" s="263">
        <f t="shared" si="1"/>
        <v>40</v>
      </c>
      <c r="D36" s="148" t="s">
        <v>815</v>
      </c>
      <c r="E36" s="144"/>
      <c r="F36" s="127" t="s">
        <v>95</v>
      </c>
      <c r="G36" s="126">
        <f>1257639.39+533536.56+410264.07-20793.83-5235.27</f>
        <v>2175410.92</v>
      </c>
      <c r="H36" s="126">
        <f>641019.2+5235.27</f>
        <v>646254.47</v>
      </c>
      <c r="I36" s="126"/>
      <c r="J36" s="129"/>
      <c r="K36" s="126">
        <v>297536</v>
      </c>
      <c r="L36" s="246">
        <f t="shared" si="2"/>
        <v>3119201.3899999997</v>
      </c>
    </row>
    <row r="37" spans="1:12" ht="15.75">
      <c r="A37" s="123"/>
      <c r="B37" s="262">
        <v>17</v>
      </c>
      <c r="C37" s="263">
        <f t="shared" si="1"/>
        <v>40</v>
      </c>
      <c r="D37" s="148" t="s">
        <v>816</v>
      </c>
      <c r="E37" s="144"/>
      <c r="F37" s="127" t="s">
        <v>95</v>
      </c>
      <c r="G37" s="126">
        <f>452707.64-20793.85-70-722.11</f>
        <v>431121.68000000005</v>
      </c>
      <c r="H37" s="126">
        <f>103505.16+722.11</f>
        <v>104227.27</v>
      </c>
      <c r="I37" s="126"/>
      <c r="J37" s="129"/>
      <c r="K37" s="126">
        <f>47.95+70</f>
        <v>117.95</v>
      </c>
      <c r="L37" s="246">
        <f t="shared" si="2"/>
        <v>535466.9</v>
      </c>
    </row>
    <row r="38" spans="1:12" ht="15.75">
      <c r="A38" s="123"/>
      <c r="B38" s="262">
        <v>18</v>
      </c>
      <c r="C38" s="263">
        <f t="shared" si="1"/>
        <v>40</v>
      </c>
      <c r="D38" s="148" t="s">
        <v>817</v>
      </c>
      <c r="E38" s="144" t="s">
        <v>823</v>
      </c>
      <c r="F38" s="127" t="s">
        <v>96</v>
      </c>
      <c r="G38" s="126">
        <f>1447128.18-4-2346.84-1934.21-4205.24</f>
        <v>1438637.89</v>
      </c>
      <c r="H38" s="126">
        <f>296493.06+2346.84+1934.21</f>
        <v>300774.11000000004</v>
      </c>
      <c r="I38" s="126"/>
      <c r="J38" s="129"/>
      <c r="K38" s="126">
        <f>2.74+257+4</f>
        <v>263.74</v>
      </c>
      <c r="L38" s="246">
        <f t="shared" si="2"/>
        <v>1739675.74</v>
      </c>
    </row>
    <row r="39" spans="1:12" ht="15.75">
      <c r="A39" s="123"/>
      <c r="B39" s="262">
        <v>19</v>
      </c>
      <c r="C39" s="263">
        <f t="shared" si="1"/>
        <v>40</v>
      </c>
      <c r="D39" s="148" t="s">
        <v>818</v>
      </c>
      <c r="E39" s="144" t="s">
        <v>824</v>
      </c>
      <c r="F39" s="127" t="s">
        <v>96</v>
      </c>
      <c r="G39" s="126">
        <f>513172.65-16-1083.16-696.32</f>
        <v>511377.17000000004</v>
      </c>
      <c r="H39" s="126">
        <f>195992.54+1083.16+696.32</f>
        <v>197772.02000000002</v>
      </c>
      <c r="I39" s="126"/>
      <c r="J39" s="129"/>
      <c r="K39" s="126">
        <f>10.95+343+16</f>
        <v>369.95</v>
      </c>
      <c r="L39" s="246">
        <f t="shared" si="2"/>
        <v>709519.14</v>
      </c>
    </row>
    <row r="40" spans="1:12" ht="15.75">
      <c r="A40" s="123"/>
      <c r="B40" s="262">
        <v>20</v>
      </c>
      <c r="C40" s="263">
        <f t="shared" si="1"/>
        <v>40</v>
      </c>
      <c r="D40" s="126" t="s">
        <v>819</v>
      </c>
      <c r="E40" s="144" t="s">
        <v>825</v>
      </c>
      <c r="F40" s="127" t="s">
        <v>96</v>
      </c>
      <c r="G40" s="126">
        <f>1088270.01+1090537.89-10-3249.48-2553.16</f>
        <v>2172995.26</v>
      </c>
      <c r="H40" s="126">
        <f>911143.6+3249.48+2553.16</f>
        <v>916946.24</v>
      </c>
      <c r="I40" s="126"/>
      <c r="J40" s="129"/>
      <c r="K40" s="126">
        <f>23680.44+6.85+579.2+10</f>
        <v>24276.489999999998</v>
      </c>
      <c r="L40" s="246">
        <f t="shared" si="2"/>
        <v>3114217.99</v>
      </c>
    </row>
    <row r="41" spans="1:12" ht="15.75">
      <c r="A41" s="123"/>
      <c r="B41" s="262">
        <v>21</v>
      </c>
      <c r="C41" s="263">
        <f t="shared" si="1"/>
        <v>40</v>
      </c>
      <c r="D41" s="148" t="s">
        <v>820</v>
      </c>
      <c r="E41" s="144"/>
      <c r="F41" s="127" t="s">
        <v>96</v>
      </c>
      <c r="G41" s="126">
        <f>583183.72-16-1263.69-1005.79</f>
        <v>580898.24</v>
      </c>
      <c r="H41" s="126">
        <f>189581.63+1263.69+1005.79</f>
        <v>191851.11000000002</v>
      </c>
      <c r="I41" s="126"/>
      <c r="J41" s="129"/>
      <c r="K41" s="126">
        <f>10.97+5421+16</f>
        <v>5447.97</v>
      </c>
      <c r="L41" s="246">
        <f t="shared" si="2"/>
        <v>778197.32</v>
      </c>
    </row>
    <row r="42" spans="1:12" ht="15.75">
      <c r="A42" s="123"/>
      <c r="B42" s="262">
        <v>22</v>
      </c>
      <c r="C42" s="263">
        <f t="shared" si="1"/>
        <v>40</v>
      </c>
      <c r="D42" s="148" t="s">
        <v>821</v>
      </c>
      <c r="E42" s="144"/>
      <c r="F42" s="127" t="s">
        <v>96</v>
      </c>
      <c r="G42" s="126">
        <f>919679.53-18-1263.69</f>
        <v>918397.8400000001</v>
      </c>
      <c r="H42" s="126">
        <f>247054.55+1263.69</f>
        <v>248318.24</v>
      </c>
      <c r="I42" s="126"/>
      <c r="J42" s="129"/>
      <c r="K42" s="126">
        <f>12.33+80496.09+918+18</f>
        <v>81444.42</v>
      </c>
      <c r="L42" s="246">
        <f t="shared" si="2"/>
        <v>1248160.5</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F25">
      <selection activeCell="Q49" sqref="Q49"/>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San Luis Obispo</v>
      </c>
      <c r="E9" s="27" t="str">
        <f>IF(ISBLANK('1. Information'!D11),"",'1. Information'!D11)</f>
        <v>San Luis Obispo</v>
      </c>
      <c r="F9" s="226" t="s">
        <v>1</v>
      </c>
      <c r="G9" s="264">
        <f>IF(ISBLANK('1. Information'!D9),"",'1. Information'!D9)</f>
        <v>43801</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v>45893.51</v>
      </c>
      <c r="G16" s="136"/>
      <c r="H16" s="136"/>
      <c r="I16" s="136"/>
      <c r="J16" s="136"/>
      <c r="K16" s="241">
        <f aca="true" t="shared" si="0" ref="K16:K22">SUM(F16:J16)</f>
        <v>45893.51</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f>306063.18-101413.2-45893.51</f>
        <v>158756.46999999997</v>
      </c>
      <c r="G17" s="136"/>
      <c r="H17" s="136"/>
      <c r="I17" s="136"/>
      <c r="J17" s="136"/>
      <c r="K17" s="241">
        <f t="shared" si="0"/>
        <v>158756.46999999997</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v>101413.2</v>
      </c>
      <c r="G19" s="244"/>
      <c r="H19" s="244"/>
      <c r="I19" s="244"/>
      <c r="J19" s="244"/>
      <c r="K19" s="241">
        <f>F19</f>
        <v>101413.2</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v>101413.2</v>
      </c>
      <c r="G20" s="244"/>
      <c r="H20" s="244"/>
      <c r="I20" s="244"/>
      <c r="J20" s="244"/>
      <c r="K20" s="241">
        <f>F20</f>
        <v>101413.2</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2177540.8600000003</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148901.52000000002</v>
      </c>
      <c r="K21" s="246">
        <f t="shared" si="0"/>
        <v>2326442.3800000004</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2483604.0400000005</v>
      </c>
      <c r="G22" s="279">
        <f>SUM(G15:G17,G20:G21)</f>
        <v>0</v>
      </c>
      <c r="H22" s="279">
        <f>SUM(H15:H17,H20:H21)</f>
        <v>0</v>
      </c>
      <c r="I22" s="279">
        <f>SUM(I15:I17,I20:I21)</f>
        <v>0</v>
      </c>
      <c r="J22" s="279">
        <f>SUM(J15:J17,J20:J21)</f>
        <v>148901.52000000002</v>
      </c>
      <c r="K22" s="279">
        <f t="shared" si="0"/>
        <v>2632505.5600000005</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0.48235635008841954</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40</v>
      </c>
      <c r="D34" s="144" t="s">
        <v>121</v>
      </c>
      <c r="E34" s="144"/>
      <c r="F34" s="147" t="s">
        <v>126</v>
      </c>
      <c r="G34" s="148" t="s">
        <v>194</v>
      </c>
      <c r="H34" s="33"/>
      <c r="I34" s="36"/>
      <c r="J34" s="36"/>
      <c r="K34" s="302">
        <f>IF(OR(G34="Combined Summary",F34="Standalone"),(SUMPRODUCT(--(D$34:D$133=D34),I$34:I$133,J$34:J$133)),"")</f>
        <v>0.60341102729361</v>
      </c>
      <c r="L34" s="126">
        <f>85230+105472+640832.7+78405.78+131250.4+68481.97</f>
        <v>1109672.85</v>
      </c>
      <c r="M34" s="133"/>
      <c r="N34" s="30"/>
      <c r="O34" s="30"/>
      <c r="P34" s="30"/>
      <c r="Q34" s="303">
        <f>SUM(L34:P34)</f>
        <v>1109672.85</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40</v>
      </c>
      <c r="D35" s="144" t="s">
        <v>121</v>
      </c>
      <c r="E35" s="144"/>
      <c r="F35" s="147" t="s">
        <v>126</v>
      </c>
      <c r="G35" s="148" t="s">
        <v>121</v>
      </c>
      <c r="H35" s="33" t="s">
        <v>795</v>
      </c>
      <c r="I35" s="36">
        <v>0.08</v>
      </c>
      <c r="J35" s="36">
        <f>(823+9)/(823+9+191+9)</f>
        <v>0.8062015503875969</v>
      </c>
      <c r="K35" s="302">
        <f aca="true" t="shared" si="2" ref="K35:K98">IF(OR(G35="Combined Summary",F35="Standalone"),(SUMPRODUCT(--(D$34:D$133=D35),I$34:I$133,J$34:J$133)),"")</f>
      </c>
      <c r="L35" s="126"/>
      <c r="M35" s="133"/>
      <c r="N35" s="30"/>
      <c r="O35" s="30"/>
      <c r="P35" s="30"/>
      <c r="Q35" s="303">
        <f aca="true" t="shared" si="3" ref="Q35:Q98">SUM(L35:P35)</f>
        <v>0</v>
      </c>
      <c r="R35" s="178">
        <f aca="true" t="shared" si="4" ref="R35:R98">IF(OR(G35="Combined Summary",F35="Standalone"),(SUMIF(D$34:D$133,D35,I$34:I$133)),"")</f>
      </c>
      <c r="S35" s="180">
        <f aca="true" t="shared" si="5" ref="S35:S98">IF(AND(F35="Standalone",NOT(R35=1)),"ERROR",IF(AND(G35="Combined Summary",NOT(R35=1)),"ERROR",""))</f>
      </c>
      <c r="T35" s="177"/>
      <c r="AL35" s="27"/>
      <c r="AM35" s="27"/>
      <c r="AN35" s="27"/>
    </row>
    <row r="36" spans="2:40" ht="15.75">
      <c r="B36" s="300">
        <v>12</v>
      </c>
      <c r="C36" s="301">
        <f t="shared" si="1"/>
        <v>40</v>
      </c>
      <c r="D36" s="144" t="s">
        <v>121</v>
      </c>
      <c r="E36" s="144"/>
      <c r="F36" s="147" t="s">
        <v>126</v>
      </c>
      <c r="G36" s="148" t="s">
        <v>121</v>
      </c>
      <c r="H36" s="147" t="s">
        <v>796</v>
      </c>
      <c r="I36" s="36">
        <v>0.1</v>
      </c>
      <c r="J36" s="36">
        <f>(21+45)/(21+45+885+45+163)</f>
        <v>0.056945642795513375</v>
      </c>
      <c r="K36" s="302">
        <f t="shared" si="2"/>
      </c>
      <c r="L36" s="126"/>
      <c r="M36" s="133"/>
      <c r="N36" s="30"/>
      <c r="O36" s="30"/>
      <c r="P36" s="30"/>
      <c r="Q36" s="303">
        <f t="shared" si="3"/>
        <v>0</v>
      </c>
      <c r="R36" s="178">
        <f t="shared" si="4"/>
      </c>
      <c r="S36" s="180">
        <f t="shared" si="5"/>
      </c>
      <c r="AL36" s="27"/>
      <c r="AM36" s="27"/>
      <c r="AN36" s="27"/>
    </row>
    <row r="37" spans="2:40" ht="15.75">
      <c r="B37" s="300">
        <v>13</v>
      </c>
      <c r="C37" s="301">
        <f t="shared" si="1"/>
        <v>40</v>
      </c>
      <c r="D37" s="144" t="s">
        <v>121</v>
      </c>
      <c r="E37" s="144"/>
      <c r="F37" s="147" t="s">
        <v>126</v>
      </c>
      <c r="G37" s="148" t="s">
        <v>121</v>
      </c>
      <c r="H37" s="147" t="s">
        <v>797</v>
      </c>
      <c r="I37" s="36">
        <v>0.61</v>
      </c>
      <c r="J37" s="36">
        <f>(455+52)/(455+52+212+11+37)</f>
        <v>0.6610169491525424</v>
      </c>
      <c r="K37" s="302">
        <f t="shared" si="2"/>
      </c>
      <c r="L37" s="126"/>
      <c r="M37" s="133"/>
      <c r="N37" s="30"/>
      <c r="O37" s="30"/>
      <c r="P37" s="30"/>
      <c r="Q37" s="303">
        <f t="shared" si="3"/>
        <v>0</v>
      </c>
      <c r="R37" s="178">
        <f t="shared" si="4"/>
      </c>
      <c r="S37" s="180">
        <f t="shared" si="5"/>
      </c>
      <c r="AL37" s="27"/>
      <c r="AM37" s="27"/>
      <c r="AN37" s="27"/>
    </row>
    <row r="38" spans="2:40" ht="15.75">
      <c r="B38" s="300">
        <v>14</v>
      </c>
      <c r="C38" s="301">
        <f t="shared" si="1"/>
        <v>40</v>
      </c>
      <c r="D38" s="144" t="s">
        <v>121</v>
      </c>
      <c r="E38" s="144"/>
      <c r="F38" s="147" t="s">
        <v>126</v>
      </c>
      <c r="G38" s="148" t="s">
        <v>121</v>
      </c>
      <c r="H38" s="147" t="s">
        <v>798</v>
      </c>
      <c r="I38" s="36">
        <v>0.08</v>
      </c>
      <c r="J38" s="36">
        <v>0</v>
      </c>
      <c r="K38" s="302">
        <f t="shared" si="2"/>
      </c>
      <c r="L38" s="126"/>
      <c r="M38" s="133"/>
      <c r="N38" s="30"/>
      <c r="O38" s="30"/>
      <c r="P38" s="30"/>
      <c r="Q38" s="303">
        <f t="shared" si="3"/>
        <v>0</v>
      </c>
      <c r="R38" s="178">
        <f t="shared" si="4"/>
      </c>
      <c r="S38" s="180">
        <f t="shared" si="5"/>
      </c>
      <c r="AL38" s="27"/>
      <c r="AM38" s="27"/>
      <c r="AN38" s="27"/>
    </row>
    <row r="39" spans="2:40" ht="15.75">
      <c r="B39" s="300">
        <v>15</v>
      </c>
      <c r="C39" s="301">
        <f t="shared" si="1"/>
        <v>40</v>
      </c>
      <c r="D39" s="144" t="s">
        <v>121</v>
      </c>
      <c r="E39" s="144"/>
      <c r="F39" s="147" t="s">
        <v>126</v>
      </c>
      <c r="G39" s="148" t="s">
        <v>121</v>
      </c>
      <c r="H39" s="147" t="s">
        <v>799</v>
      </c>
      <c r="I39" s="36">
        <v>0.13</v>
      </c>
      <c r="J39" s="36">
        <v>1</v>
      </c>
      <c r="K39" s="302">
        <f t="shared" si="2"/>
      </c>
      <c r="L39" s="126"/>
      <c r="M39" s="133"/>
      <c r="N39" s="30"/>
      <c r="O39" s="30"/>
      <c r="P39" s="30"/>
      <c r="Q39" s="303">
        <f t="shared" si="3"/>
        <v>0</v>
      </c>
      <c r="R39" s="178">
        <f t="shared" si="4"/>
      </c>
      <c r="S39" s="180">
        <f t="shared" si="5"/>
      </c>
      <c r="AL39" s="27"/>
      <c r="AM39" s="27"/>
      <c r="AN39" s="27"/>
    </row>
    <row r="40" spans="2:40" ht="15.75">
      <c r="B40" s="300">
        <v>16</v>
      </c>
      <c r="C40" s="301">
        <f t="shared" si="1"/>
        <v>40</v>
      </c>
      <c r="D40" s="144" t="s">
        <v>811</v>
      </c>
      <c r="E40" s="144"/>
      <c r="F40" s="147" t="s">
        <v>126</v>
      </c>
      <c r="G40" s="148" t="s">
        <v>194</v>
      </c>
      <c r="H40" s="33"/>
      <c r="I40" s="36"/>
      <c r="J40" s="36"/>
      <c r="K40" s="302">
        <f t="shared" si="2"/>
        <v>0.08980051550170282</v>
      </c>
      <c r="L40" s="126">
        <f>51210.69+200848.17+51143.24+30385.56</f>
        <v>333587.66000000003</v>
      </c>
      <c r="M40" s="133"/>
      <c r="N40" s="30"/>
      <c r="O40" s="30"/>
      <c r="P40" s="30">
        <v>119243.52</v>
      </c>
      <c r="Q40" s="303">
        <f t="shared" si="3"/>
        <v>452831.18000000005</v>
      </c>
      <c r="R40" s="178">
        <f t="shared" si="4"/>
        <v>1</v>
      </c>
      <c r="S40" s="180">
        <f t="shared" si="5"/>
      </c>
      <c r="AL40" s="27"/>
      <c r="AM40" s="27"/>
      <c r="AN40" s="27"/>
    </row>
    <row r="41" spans="2:40" ht="15.75">
      <c r="B41" s="300">
        <v>17</v>
      </c>
      <c r="C41" s="301">
        <f t="shared" si="1"/>
        <v>40</v>
      </c>
      <c r="D41" s="144" t="s">
        <v>811</v>
      </c>
      <c r="E41" s="144"/>
      <c r="F41" s="147" t="s">
        <v>126</v>
      </c>
      <c r="G41" s="148" t="s">
        <v>122</v>
      </c>
      <c r="H41" s="147" t="s">
        <v>800</v>
      </c>
      <c r="I41" s="36">
        <v>0.11</v>
      </c>
      <c r="J41" s="36">
        <f>(157+163)/(157+163+197+16)</f>
        <v>0.600375234521576</v>
      </c>
      <c r="K41" s="302">
        <f t="shared" si="2"/>
      </c>
      <c r="L41" s="126"/>
      <c r="M41" s="133"/>
      <c r="N41" s="30"/>
      <c r="O41" s="30"/>
      <c r="P41" s="30"/>
      <c r="Q41" s="303">
        <f t="shared" si="3"/>
        <v>0</v>
      </c>
      <c r="R41" s="178">
        <f t="shared" si="4"/>
      </c>
      <c r="S41" s="180">
        <f t="shared" si="5"/>
      </c>
      <c r="AL41" s="27"/>
      <c r="AM41" s="27"/>
      <c r="AN41" s="27"/>
    </row>
    <row r="42" spans="2:40" ht="15.75">
      <c r="B42" s="300">
        <v>18</v>
      </c>
      <c r="C42" s="301">
        <f t="shared" si="1"/>
        <v>40</v>
      </c>
      <c r="D42" s="144" t="s">
        <v>811</v>
      </c>
      <c r="E42" s="144"/>
      <c r="F42" s="147" t="s">
        <v>126</v>
      </c>
      <c r="G42" s="148" t="s">
        <v>122</v>
      </c>
      <c r="H42" s="147" t="s">
        <v>801</v>
      </c>
      <c r="I42" s="36">
        <v>0.45</v>
      </c>
      <c r="J42" s="36">
        <f>(2+48)/(2+48+469+148+280)</f>
        <v>0.05279831045406547</v>
      </c>
      <c r="K42" s="302">
        <f t="shared" si="2"/>
      </c>
      <c r="L42" s="126"/>
      <c r="M42" s="133"/>
      <c r="N42" s="30"/>
      <c r="O42" s="30"/>
      <c r="P42" s="30"/>
      <c r="Q42" s="303">
        <f t="shared" si="3"/>
        <v>0</v>
      </c>
      <c r="R42" s="178">
        <f t="shared" si="4"/>
      </c>
      <c r="S42" s="180">
        <f t="shared" si="5"/>
      </c>
      <c r="AL42" s="27"/>
      <c r="AM42" s="27"/>
      <c r="AN42" s="27"/>
    </row>
    <row r="43" spans="2:40" ht="15.75">
      <c r="B43" s="300">
        <v>19</v>
      </c>
      <c r="C43" s="301">
        <f t="shared" si="1"/>
        <v>40</v>
      </c>
      <c r="D43" s="144" t="s">
        <v>811</v>
      </c>
      <c r="E43" s="144"/>
      <c r="F43" s="147" t="s">
        <v>126</v>
      </c>
      <c r="G43" s="148" t="s">
        <v>122</v>
      </c>
      <c r="H43" s="147" t="s">
        <v>802</v>
      </c>
      <c r="I43" s="36">
        <v>0.44</v>
      </c>
      <c r="J43" s="36"/>
      <c r="K43" s="302">
        <f t="shared" si="2"/>
      </c>
      <c r="L43" s="126"/>
      <c r="M43" s="133"/>
      <c r="N43" s="30"/>
      <c r="O43" s="30"/>
      <c r="P43" s="30"/>
      <c r="Q43" s="303">
        <f t="shared" si="3"/>
        <v>0</v>
      </c>
      <c r="R43" s="178">
        <f t="shared" si="4"/>
      </c>
      <c r="S43" s="180">
        <f t="shared" si="5"/>
      </c>
      <c r="AL43" s="27"/>
      <c r="AM43" s="27"/>
      <c r="AN43" s="27"/>
    </row>
    <row r="44" spans="2:40" ht="30.75">
      <c r="B44" s="300">
        <v>20</v>
      </c>
      <c r="C44" s="301">
        <f>IF(AND(NOT(COUNTA(D44:J44)),(NOT(COUNTA(L44:P44)))),"",VLOOKUP($D$9,Info_County_Code,2,FALSE))</f>
        <v>40</v>
      </c>
      <c r="D44" s="144" t="s">
        <v>803</v>
      </c>
      <c r="E44" s="144"/>
      <c r="F44" s="147" t="s">
        <v>125</v>
      </c>
      <c r="G44" s="148" t="s">
        <v>127</v>
      </c>
      <c r="H44" s="147" t="s">
        <v>804</v>
      </c>
      <c r="I44" s="36">
        <v>1</v>
      </c>
      <c r="J44" s="36">
        <v>1</v>
      </c>
      <c r="K44" s="302">
        <f t="shared" si="2"/>
        <v>1</v>
      </c>
      <c r="L44" s="126">
        <v>57387.31</v>
      </c>
      <c r="M44" s="133"/>
      <c r="N44" s="30"/>
      <c r="O44" s="30"/>
      <c r="P44" s="30"/>
      <c r="Q44" s="303">
        <f>SUM(L44:P44)</f>
        <v>57387.31</v>
      </c>
      <c r="R44" s="178">
        <f t="shared" si="4"/>
        <v>1</v>
      </c>
      <c r="S44" s="180">
        <f t="shared" si="5"/>
      </c>
      <c r="AL44" s="27"/>
      <c r="AM44" s="27"/>
      <c r="AN44" s="27"/>
    </row>
    <row r="45" spans="2:40" ht="15.75">
      <c r="B45" s="300">
        <v>21</v>
      </c>
      <c r="C45" s="301">
        <f t="shared" si="1"/>
        <v>40</v>
      </c>
      <c r="D45" s="144" t="s">
        <v>810</v>
      </c>
      <c r="E45" s="144"/>
      <c r="F45" s="147" t="s">
        <v>125</v>
      </c>
      <c r="G45" s="148" t="s">
        <v>118</v>
      </c>
      <c r="H45" s="147" t="s">
        <v>805</v>
      </c>
      <c r="I45" s="36">
        <v>1</v>
      </c>
      <c r="J45" s="36">
        <v>1</v>
      </c>
      <c r="K45" s="302">
        <f t="shared" si="2"/>
        <v>1</v>
      </c>
      <c r="L45" s="126">
        <v>242112.22</v>
      </c>
      <c r="M45" s="133"/>
      <c r="N45" s="30"/>
      <c r="O45" s="30"/>
      <c r="P45" s="30"/>
      <c r="Q45" s="303">
        <f t="shared" si="3"/>
        <v>242112.22</v>
      </c>
      <c r="R45" s="178">
        <f t="shared" si="4"/>
        <v>1</v>
      </c>
      <c r="S45" s="180">
        <f t="shared" si="5"/>
      </c>
      <c r="AL45" s="27"/>
      <c r="AM45" s="27"/>
      <c r="AN45" s="27"/>
    </row>
    <row r="46" spans="2:40" ht="15.75">
      <c r="B46" s="300">
        <v>22</v>
      </c>
      <c r="C46" s="301">
        <f>IF(AND(NOT(COUNTA(D46:J46)),(NOT(COUNTA(L46:P46)))),"",VLOOKUP($D$9,Info_County_Code,2,FALSE))</f>
        <v>40</v>
      </c>
      <c r="D46" s="144" t="s">
        <v>809</v>
      </c>
      <c r="E46" s="144"/>
      <c r="F46" s="147" t="s">
        <v>126</v>
      </c>
      <c r="G46" s="148" t="s">
        <v>194</v>
      </c>
      <c r="H46" s="147"/>
      <c r="I46" s="36"/>
      <c r="J46" s="36"/>
      <c r="K46" s="302">
        <f t="shared" si="2"/>
        <v>0.7824078415775262</v>
      </c>
      <c r="L46" s="126">
        <f>18750+130637.31+97482.62+22580.52-29638</f>
        <v>239812.45</v>
      </c>
      <c r="M46" s="133"/>
      <c r="N46" s="30"/>
      <c r="O46" s="30"/>
      <c r="P46" s="30">
        <v>29638</v>
      </c>
      <c r="Q46" s="303">
        <f>SUM(L46:P46)</f>
        <v>269450.45</v>
      </c>
      <c r="R46" s="178">
        <f t="shared" si="4"/>
        <v>1</v>
      </c>
      <c r="S46" s="180">
        <f t="shared" si="5"/>
      </c>
      <c r="AL46" s="27"/>
      <c r="AM46" s="27"/>
      <c r="AN46" s="27"/>
    </row>
    <row r="47" spans="2:40" ht="15.75">
      <c r="B47" s="300">
        <v>23</v>
      </c>
      <c r="C47" s="301">
        <f t="shared" si="1"/>
        <v>40</v>
      </c>
      <c r="D47" s="144" t="s">
        <v>809</v>
      </c>
      <c r="E47" s="144"/>
      <c r="F47" s="147" t="s">
        <v>126</v>
      </c>
      <c r="G47" s="148" t="s">
        <v>128</v>
      </c>
      <c r="H47" s="147" t="s">
        <v>806</v>
      </c>
      <c r="I47" s="415">
        <v>0.61</v>
      </c>
      <c r="J47" s="36">
        <f>(485+1540)/(485+1540+781+276)</f>
        <v>0.6570408825438028</v>
      </c>
      <c r="K47" s="302">
        <f t="shared" si="2"/>
      </c>
      <c r="L47" s="402"/>
      <c r="M47" s="133"/>
      <c r="N47" s="30"/>
      <c r="O47" s="30"/>
      <c r="P47" s="402"/>
      <c r="Q47" s="303">
        <f t="shared" si="3"/>
        <v>0</v>
      </c>
      <c r="R47" s="178">
        <f t="shared" si="4"/>
      </c>
      <c r="S47" s="180">
        <f t="shared" si="5"/>
      </c>
      <c r="AL47" s="27"/>
      <c r="AM47" s="27"/>
      <c r="AN47" s="27"/>
    </row>
    <row r="48" spans="2:40" ht="15.75">
      <c r="B48" s="300">
        <v>24</v>
      </c>
      <c r="C48" s="301">
        <f t="shared" si="1"/>
        <v>40</v>
      </c>
      <c r="D48" s="144" t="s">
        <v>809</v>
      </c>
      <c r="E48" s="144"/>
      <c r="F48" s="147" t="s">
        <v>126</v>
      </c>
      <c r="G48" s="148" t="s">
        <v>128</v>
      </c>
      <c r="H48" s="378" t="s">
        <v>826</v>
      </c>
      <c r="I48" s="36">
        <v>0.39</v>
      </c>
      <c r="J48" s="36">
        <f>91/93</f>
        <v>0.978494623655914</v>
      </c>
      <c r="K48" s="302">
        <f t="shared" si="2"/>
      </c>
      <c r="L48" s="126"/>
      <c r="M48" s="133"/>
      <c r="N48" s="30"/>
      <c r="O48" s="30"/>
      <c r="P48" s="30"/>
      <c r="Q48" s="303">
        <f t="shared" si="3"/>
        <v>0</v>
      </c>
      <c r="R48" s="178">
        <f t="shared" si="4"/>
      </c>
      <c r="S48" s="180">
        <f t="shared" si="5"/>
      </c>
      <c r="AL48" s="27"/>
      <c r="AM48" s="27"/>
      <c r="AN48" s="27"/>
    </row>
    <row r="49" spans="2:40" ht="30.75">
      <c r="B49" s="300">
        <v>25</v>
      </c>
      <c r="C49" s="301">
        <f t="shared" si="1"/>
        <v>40</v>
      </c>
      <c r="D49" s="144" t="s">
        <v>808</v>
      </c>
      <c r="E49" s="144"/>
      <c r="F49" s="147" t="s">
        <v>125</v>
      </c>
      <c r="G49" s="148" t="s">
        <v>127</v>
      </c>
      <c r="H49" s="378" t="s">
        <v>812</v>
      </c>
      <c r="I49" s="36">
        <v>1</v>
      </c>
      <c r="J49" s="36">
        <v>0.1</v>
      </c>
      <c r="K49" s="302">
        <f t="shared" si="2"/>
        <v>0.1</v>
      </c>
      <c r="L49" s="126">
        <f>77961.13</f>
        <v>77961.13</v>
      </c>
      <c r="M49" s="133"/>
      <c r="N49" s="30"/>
      <c r="O49" s="30"/>
      <c r="P49" s="30">
        <v>20</v>
      </c>
      <c r="Q49" s="303">
        <f t="shared" si="3"/>
        <v>77981.13</v>
      </c>
      <c r="R49" s="178">
        <f t="shared" si="4"/>
        <v>1</v>
      </c>
      <c r="S49" s="180">
        <f t="shared" si="5"/>
      </c>
      <c r="AL49" s="27"/>
      <c r="AM49" s="27"/>
      <c r="AN49" s="27"/>
    </row>
    <row r="50" spans="2:40" ht="15.75">
      <c r="B50" s="300">
        <v>26</v>
      </c>
      <c r="C50" s="301">
        <f t="shared" si="1"/>
        <v>40</v>
      </c>
      <c r="D50" s="144" t="s">
        <v>807</v>
      </c>
      <c r="E50" s="144"/>
      <c r="F50" s="147" t="s">
        <v>125</v>
      </c>
      <c r="G50" s="148" t="s">
        <v>129</v>
      </c>
      <c r="H50" s="147" t="s">
        <v>129</v>
      </c>
      <c r="I50" s="36">
        <v>1</v>
      </c>
      <c r="J50" s="36">
        <v>0.03</v>
      </c>
      <c r="K50" s="302">
        <f t="shared" si="2"/>
        <v>0.03</v>
      </c>
      <c r="L50" s="126">
        <v>117007.24</v>
      </c>
      <c r="M50" s="133"/>
      <c r="N50" s="30"/>
      <c r="O50" s="30"/>
      <c r="P50" s="30"/>
      <c r="Q50" s="303">
        <f t="shared" si="3"/>
        <v>117007.24</v>
      </c>
      <c r="R50" s="178">
        <f t="shared" si="4"/>
        <v>1</v>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Program Activity Name (in Combined Program)." sqref="H34:H47 H50:H133"/>
    <dataValidation allowBlank="1" showInputMessage="1" showErrorMessage="1" prompt="Type in Total MHSA Funds (Including Interest)" sqref="L34:L46 L48:L133"/>
    <dataValidation allowBlank="1" showInputMessage="1" showErrorMessage="1" prompt="Type in Other Funds. " sqref="P48:P133 P34:P46"/>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SanLuisObispo-FY2018-19RER</dc:title>
  <dc:subject/>
  <dc:creator>Donna Ures</dc:creator>
  <cp:keywords>MHSA, RER</cp:keywords>
  <dc:description/>
  <cp:lastModifiedBy>Saelee, Katie (CSD)@DHCS</cp:lastModifiedBy>
  <cp:lastPrinted>2019-12-31T22:30:54Z</cp:lastPrinted>
  <dcterms:created xsi:type="dcterms:W3CDTF">2017-07-05T19:48:18Z</dcterms:created>
  <dcterms:modified xsi:type="dcterms:W3CDTF">2020-02-05T22:54:42Z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DHCSDOC-1797567310-2226</vt:lpwstr>
  </property>
  <property fmtid="{D5CDD505-2E9C-101B-9397-08002B2CF9AE}" pid="3" name="_dlc_DocIdItemGuid">
    <vt:lpwstr>e87a2380-910b-4643-923a-c219f4582266</vt:lpwstr>
  </property>
  <property fmtid="{D5CDD505-2E9C-101B-9397-08002B2CF9AE}" pid="4" name="_dlc_DocIdUrl">
    <vt:lpwstr>https://dhcscagovauthoring/_layouts/15/DocIdRedir.aspx?ID=DHCSDOC-1797567310-2226, DHCSDOC-1797567310-2226</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San Luis Obispo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