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CSS'!$B$1:$BD$43</definedName>
    <definedName name="_xlnm.Print_Area" localSheetId="7">'4. PEI'!$B$1:$Q$38</definedName>
    <definedName name="_xlnm.Print_Area" localSheetId="9">'5. INN'!$B$1:$Q$32</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<sst xmlns="http://schemas.openxmlformats.org/spreadsheetml/2006/main" count="1468" uniqueCount="810">
  <si>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</si>
  <si>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</si>
  <si>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</si>
  <si>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</si>
  <si>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</si>
  <si>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</si>
  <si>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</si>
  <si>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</si>
  <si>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</si>
  <si>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</si>
  <si>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</si>
  <si>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</si>
  <si>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</si>
  <si>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</si>
  <si>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</si>
  <si>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</si>
  <si>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</si>
  <si>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</si>
  <si>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</si>
  <si>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</si>
  <si>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</si>
  <si>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</si>
  <si>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</si>
  <si>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</si>
  <si>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</si>
  <si>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</si>
  <si>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</si>
  <si>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</si>
  <si>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</si>
  <si>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</si>
  <si>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</si>
  <si>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</si>
  <si>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</si>
  <si>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</si>
  <si>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</si>
  <si>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</si>
  <si>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</si>
  <si>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</si>
  <si>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</si>
  <si>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</si>
  <si>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</si>
  <si>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</si>
  <si>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</si>
  <si>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</si>
  <si>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</si>
  <si>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</si>
  <si>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</si>
  <si>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</si>
  <si>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</si>
  <si>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</si>
  <si>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</si>
  <si>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</si>
  <si>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</si>
  <si>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</si>
  <si>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</si>
  <si>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</si>
  <si>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</si>
  <si>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</si>
  <si>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</si>
  <si>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</si>
  <si>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</si>
  <si>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</si>
  <si>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</si>
  <si>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</si>
  <si>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</si>
  <si>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</si>
  <si>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</si>
  <si>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</si>
  <si>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</si>
  <si>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</si>
  <si>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</si>
  <si>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</si>
  <si>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</si>
  <si>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</si>
  <si>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</si>
  <si>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</si>
  <si>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</si>
  <si>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</si>
  <si>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</si>
  <si>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</si>
  <si>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</si>
  <si>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</si>
  <si>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</si>
  <si>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</si>
  <si>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</si>
  <si>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</si>
  <si>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</si>
  <si>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</si>
  <si>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</si>
  <si>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</si>
  <si>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</si>
  <si>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</si>
  <si>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</si>
  <si>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</si>
  <si>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</si>
  <si>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</si>
  <si>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</si>
  <si>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</si>
  <si>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</si>
  <si>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</si>
  <si>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</si>
  <si>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</si>
  <si>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</si>
  <si>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</si>
  <si>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</si>
  <si>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</si>
  <si>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</si>
  <si>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</si>
  <si>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</si>
  <si>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</si>
  <si>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</si>
  <si>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</si>
  <si>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</si>
  <si>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</si>
  <si>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</si>
  <si>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</si>
  <si>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</si>
  <si>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</si>
  <si>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</si>
  <si>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</si>
  <si>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</si>
  <si>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</si>
  <si>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</si>
  <si>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</si>
  <si>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</si>
  <si>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</si>
  <si>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</si>
  <si>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</si>
  <si>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</si>
  <si>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</si>
  <si>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</si>
  <si>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</si>
  <si>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</si>
  <si>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</si>
  <si>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</si>
  <si>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</si>
  <si>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</si>
  <si>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</si>
  <si>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</si>
  <si>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</si>
  <si>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</si>
  <si>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</si>
  <si>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</si>
  <si>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</si>
  <si>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</si>
  <si>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</si>
  <si>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</si>
  <si>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</si>
  <si>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</si>
  <si>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</si>
  <si>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</si>
  <si>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</si>
  <si>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</si>
  <si>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</si>
  <si>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</si>
  <si>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</si>
  <si>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</si>
  <si>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</si>
  <si>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</si>
  <si>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</si>
  <si>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</si>
  <si>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</si>
  <si>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</si>
  <si>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</si>
  <si>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</si>
  <si>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</si>
  <si>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</si>
  <si>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</si>
  <si>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</si>
  <si>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</si>
  <si>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</si>
  <si>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</si>
  <si>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</si>
  <si>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</si>
  <si>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</si>
  <si>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</si>
  <si>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</si>
  <si>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</si>
  <si>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</si>
  <si>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</si>
  <si>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</si>
  <si>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</si>
  <si>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</si>
  <si>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</si>
  <si>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</si>
  <si>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</si>
  <si>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</si>
  <si>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</si>
  <si>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</si>
  <si>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</si>
  <si>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</si>
  <si>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</si>
  <si>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</si>
  <si>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</si>
  <si>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</si>
  <si>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</si>
  <si>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</si>
  <si>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</si>
  <si>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</si>
  <si>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</si>
  <si>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</si>
  <si>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</si>
  <si>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</si>
  <si>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</si>
  <si>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</si>
  <si>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</si>
  <si>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</si>
  <si>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</si>
  <si>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</si>
  <si>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</si>
  <si>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</si>
  <si>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</si>
  <si>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</si>
  <si>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</si>
  <si>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</si>
  <si>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</si>
  <si>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</si>
  <si>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</si>
  <si>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</si>
  <si>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</si>
  <si>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</si>
  <si>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</si>
  <si>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</si>
  <si>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</si>
  <si>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</si>
  <si>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</si>
  <si>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</si>
  <si>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</si>
  <si>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</si>
  <si>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</si>
  <si>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</si>
  <si>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</si>
  <si>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</si>
  <si>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</si>
  <si>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</si>
  <si>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</si>
  <si>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</si>
  <si>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</si>
  <si>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</si>
  <si>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</si>
  <si>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</si>
  <si>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</si>
  <si>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</si>
  <si>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</si>
  <si>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</si>
  <si>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</si>
  <si>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</si>
  <si>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</si>
  <si>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</si>
  <si>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</si>
  <si>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</si>
  <si>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</si>
  <si>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</si>
  <si>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</si>
  <si>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</si>
  <si>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</si>
  <si>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</si>
  <si>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</si>
  <si>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</si>
  <si>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</si>
  <si>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</si>
  <si>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</si>
  <si>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</si>
  <si>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</si>
  <si>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</si>
  <si>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</si>
  <si>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</si>
  <si>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</si>
  <si>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</si>
  <si>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</si>
  <si>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</si>
  <si>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</si>
  <si>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</si>
  <si>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</si>
  <si>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</si>
  <si>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</si>
  <si>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</si>
  <si>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</si>
  <si>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</si>
  <si>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</si>
  <si>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</si>
  <si>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</si>
  <si>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</si>
  <si>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</si>
  <si>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</si>
  <si>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</si>
  <si>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</si>
  <si>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</si>
  <si>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</si>
  <si>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</si>
  <si>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</si>
  <si>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</si>
  <si>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</si>
  <si>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</si>
  <si>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</si>
  <si>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</si>
  <si>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</si>
  <si>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</si>
  <si>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</si>
  <si>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</si>
  <si>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</si>
  <si>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</si>
  <si>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</si>
  <si>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</si>
  <si>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</si>
  <si>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</si>
  <si>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</si>
  <si>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</si>
  <si>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</si>
  <si>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</si>
  <si>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</si>
  <si>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</si>
  <si>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</si>
  <si>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</si>
  <si>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</si>
  <si>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</si>
  <si>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</si>
  <si>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</si>
  <si>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</si>
  <si>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</si>
  <si>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</si>
  <si>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</si>
  <si>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</si>
  <si>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</si>
  <si>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</si>
  <si>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</si>
  <si>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</si>
  <si>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</si>
  <si>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</si>
  <si>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</si>
  <si>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</si>
  <si>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</si>
  <si>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</si>
  <si>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</si>
  <si>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</si>
  <si>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</si>
  <si>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</si>
  <si>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</si>
  <si>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</si>
  <si>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</si>
  <si>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</si>
  <si>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</si>
  <si>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</si>
  <si>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</si>
  <si>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</si>
  <si>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</si>
  <si>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</si>
  <si>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</si>
  <si>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</si>
  <si>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</si>
  <si>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</si>
  <si>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</si>
  <si>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</si>
  <si>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</si>
  <si>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</si>
  <si>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</si>
  <si>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</si>
  <si>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</si>
  <si>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</si>
  <si>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</si>
  <si>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</si>
  <si>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</si>
  <si>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</si>
  <si>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</si>
  <si>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</si>
  <si>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</si>
  <si>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</si>
  <si>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</si>
  <si>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</si>
  <si>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</si>
  <si>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</si>
  <si>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</si>
  <si>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</si>
  <si>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</si>
  <si>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</si>
  <si>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</si>
  <si>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</si>
  <si>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</si>
  <si>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</si>
  <si>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</si>
  <si>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</si>
  <si>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</si>
  <si>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</si>
  <si>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</si>
  <si>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</si>
  <si>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</si>
  <si>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</si>
  <si>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</si>
  <si>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</si>
  <si>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</si>
  <si>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</si>
  <si>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</si>
  <si>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</si>
  <si>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</si>
  <si>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</si>
  <si>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</si>
  <si>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</si>
  <si>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</si>
  <si>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</si>
  <si>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</si>
  <si>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</si>
  <si>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</si>
  <si>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</si>
  <si>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</si>
  <si>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</si>
  <si>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</si>
  <si>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</si>
  <si>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</si>
  <si>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</si>
  <si>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</si>
  <si>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</si>
  <si>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</si>
  <si>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</si>
  <si>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</si>
  <si>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</si>
  <si>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</si>
  <si>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</si>
  <si>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</si>
  <si>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</si>
  <si>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</si>
  <si>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</si>
  <si>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</si>
  <si>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</si>
  <si>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</si>
  <si>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</si>
  <si>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</si>
  <si>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</si>
  <si>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</si>
  <si>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</si>
  <si>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</si>
  <si>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</si>
  <si>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</si>
  <si>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</si>
  <si>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</si>
  <si>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</si>
  <si>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</si>
  <si>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</si>
  <si>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</si>
  <si>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</si>
  <si>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</si>
  <si>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</si>
  <si>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</si>
  <si>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</si>
  <si>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</si>
  <si>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</si>
  <si>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</si>
  <si>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</si>
  <si>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</si>
  <si>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</si>
  <si>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</si>
  <si>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</si>
  <si>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</si>
  <si>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</si>
  <si>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</si>
  <si>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</si>
  <si>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</si>
  <si>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</si>
  <si>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</si>
  <si>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</si>
  <si>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</si>
  <si>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</si>
  <si>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</si>
  <si>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</si>
  <si>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</si>
  <si>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</si>
  <si>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</si>
  <si>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</si>
  <si>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</si>
  <si>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</si>
  <si>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</si>
  <si>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</si>
  <si>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</si>
  <si>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</si>
  <si>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</si>
  <si>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</si>
  <si>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</si>
  <si>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</si>
  <si>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</si>
  <si>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</si>
  <si>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</si>
  <si>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</si>
  <si>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</si>
  <si>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</si>
  <si>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</si>
  <si>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</si>
  <si>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</si>
  <si>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</si>
  <si>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</si>
  <si>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</si>
  <si>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</si>
  <si>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</si>
  <si>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</si>
  <si>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</si>
  <si>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</si>
  <si>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</si>
  <si>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</si>
  <si>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</si>
  <si>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</si>
  <si>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</si>
  <si>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</si>
  <si>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</si>
  <si>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</si>
  <si>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</si>
  <si>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</si>
  <si>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</si>
  <si>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</si>
  <si>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</si>
  <si>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</si>
  <si>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</si>
  <si>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</si>
  <si>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</si>
  <si>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</si>
  <si>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</si>
  <si>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</si>
  <si>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</si>
  <si>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</si>
  <si>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</si>
  <si>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</si>
  <si>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</si>
  <si>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</si>
  <si>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</si>
  <si>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</si>
  <si>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</si>
  <si>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</si>
  <si>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</si>
  <si>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</si>
  <si>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</si>
  <si>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</si>
  <si>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</si>
  <si>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</si>
  <si>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</si>
  <si>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</si>
  <si>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</si>
  <si>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</si>
  <si>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</si>
  <si>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</si>
  <si>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</si>
  <si>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</si>
  <si>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</si>
  <si>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</si>
  <si>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</si>
  <si>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</si>
  <si>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</si>
  <si>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</si>
  <si>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</si>
  <si>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</si>
  <si>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</si>
  <si>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</si>
  <si>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</si>
  <si>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</si>
  <si>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</si>
  <si>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</si>
  <si>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</si>
  <si>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</si>
  <si>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</si>
  <si>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</si>
  <si>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</si>
  <si>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</si>
  <si>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</si>
  <si>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</si>
  <si>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</si>
  <si>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</si>
  <si>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</si>
  <si>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</si>
  <si>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</si>
  <si>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</si>
  <si>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</si>
  <si>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</si>
  <si>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</si>
  <si>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</si>
  <si>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</si>
  <si>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</si>
  <si>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</si>
  <si>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</si>
  <si>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</si>
  <si>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</si>
  <si>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</si>
  <si>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</si>
  <si>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</si>
  <si>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</si>
  <si>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</si>
  <si>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</si>
  <si>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</si>
  <si>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</si>
  <si>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</si>
  <si>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</si>
  <si>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</si>
  <si>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</si>
  <si>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</si>
  <si>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</si>
  <si>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</si>
  <si>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</si>
  <si>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</si>
  <si>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</si>
  <si>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</si>
  <si>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</si>
  <si>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</si>
  <si>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</si>
  <si>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</si>
  <si>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</si>
  <si>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</si>
  <si>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</si>
  <si>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</si>
  <si>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</si>
  <si>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</si>
  <si>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</si>
  <si>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</si>
  <si>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</si>
  <si>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</si>
  <si>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</si>
  <si>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</si>
  <si>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</si>
  <si>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</si>
  <si>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</si>
  <si>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</si>
  <si>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</si>
  <si>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</si>
  <si>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</si>
  <si>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</si>
  <si>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</si>
  <si>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</si>
  <si>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</si>
  <si>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</si>
  <si>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</si>
  <si>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</si>
  <si>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</si>
  <si>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</si>
  <si>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</si>
  <si>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</si>
  <si>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</si>
  <si>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</si>
  <si>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</si>
  <si>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</si>
  <si>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</si>
  <si>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</si>
  <si>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</si>
  <si>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</si>
  <si>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</si>
  <si>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</si>
  <si>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</si>
  <si>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</si>
  <si>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</si>
  <si>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</si>
  <si>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</si>
  <si>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</si>
  <si>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</si>
  <si>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</si>
  <si>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</si>
  <si>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</si>
  <si>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</si>
  <si>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</si>
  <si>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</si>
  <si>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</si>
  <si>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</si>
  <si>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</si>
  <si>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</si>
  <si>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</si>
  <si>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</si>
  <si>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</si>
  <si>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</si>
  <si>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</si>
  <si>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</si>
  <si>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</si>
  <si>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</si>
  <si>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</si>
  <si>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</si>
  <si>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</si>
  <si>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</si>
  <si>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</si>
  <si>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</si>
  <si>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</si>
  <si>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</si>
  <si>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</si>
  <si>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</si>
  <si>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</si>
  <si>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</si>
  <si>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</si>
  <si>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</si>
  <si>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</si>
  <si>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</si>
  <si>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</si>
  <si>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</si>
  <si>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</si>
  <si>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</si>
  <si>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</si>
  <si>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</si>
  <si>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</si>
  <si>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</si>
  <si>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</si>
  <si>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</si>
  <si>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</si>
  <si>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</si>
  <si>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</si>
  <si>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</si>
  <si>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</si>
  <si>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</si>
  <si>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</si>
  <si>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</si>
  <si>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</si>
  <si>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</si>
  <si>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</si>
  <si>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</si>
  <si>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</si>
  <si>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</si>
  <si>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</si>
  <si>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</si>
  <si>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</si>
  <si>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</si>
  <si>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</si>
  <si>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</si>
  <si>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</si>
  <si>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</si>
  <si>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</si>
  <si>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</si>
  <si>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</si>
  <si>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</si>
  <si>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</si>
  <si>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</si>
  <si>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</si>
  <si>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</si>
  <si>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</si>
  <si>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</si>
  <si>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</si>
  <si>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</si>
  <si>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</si>
  <si>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</si>
  <si>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</si>
  <si>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</si>
  <si>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</si>
  <si>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</si>
  <si>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</si>
  <si>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</si>
  <si>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</si>
  <si>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</si>
  <si>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</si>
  <si>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</si>
  <si>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</si>
  <si>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</si>
  <si>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</si>
  <si>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</si>
  <si>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</si>
  <si>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</si>
  <si>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</si>
  <si>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</si>
  <si>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</si>
  <si>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</si>
  <si>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</si>
  <si>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</si>
  <si>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</si>
  <si>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</si>
  <si>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</si>
  <si>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</si>
  <si>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</si>
  <si>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</si>
  <si>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</si>
  <si>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</si>
  <si>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</si>
  <si>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</si>
  <si>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</si>
  <si>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</si>
  <si>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</si>
  <si>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</si>
  <si>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</si>
  <si>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</si>
  <si>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</si>
  <si>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</si>
  <si>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</si>
  <si>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</si>
  <si>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</si>
  <si>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</si>
  <si>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</si>
  <si>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</si>
  <si>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</si>
  <si>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</si>
  <si>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</si>
  <si>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</si>
  <si>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</si>
  <si>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</si>
  <si>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</si>
  <si>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</si>
  <si>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</si>
  <si>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</si>
  <si>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Client Family Operated Services</t>
  </si>
  <si>
    <t>Shasta Triumph and Recovery</t>
  </si>
  <si>
    <t>Rural Health Initiative</t>
  </si>
  <si>
    <t>Older Adult Services</t>
  </si>
  <si>
    <t>Crisis Services</t>
  </si>
  <si>
    <t>Crisis Residential and Recovery Center</t>
  </si>
  <si>
    <t>Housing Continuum</t>
  </si>
  <si>
    <t>Access/Outreach</t>
  </si>
  <si>
    <t>Co-Occurring Integration</t>
  </si>
  <si>
    <t>Laura's Law</t>
  </si>
  <si>
    <t>Stigma and Discrimination Reduction</t>
  </si>
  <si>
    <t>Children and Youth in Stressed Families</t>
  </si>
  <si>
    <t>Individuals Experiencing Onset of Serious Psychiatric Illness</t>
  </si>
  <si>
    <t>2018-2019</t>
  </si>
  <si>
    <t>1450 Court St, Suite 308A</t>
  </si>
  <si>
    <t xml:space="preserve">Redding </t>
  </si>
  <si>
    <t>Ted Rios</t>
  </si>
  <si>
    <t>Accountant Auditor</t>
  </si>
  <si>
    <t>Trios@co.shasta.ca.us</t>
  </si>
  <si>
    <t>530-225-5924</t>
  </si>
  <si>
    <t>Counseling and Recovery Engagement Center</t>
  </si>
  <si>
    <t>Expenditure</t>
  </si>
  <si>
    <t>Shasta County inadvertently reported Total CSS Expenditures on the FY 15-16 RER Summary dated 4/14/17 as $6,131,971 (Column A, Section 3, Row D). Expenditures in the amount of $792,178 were not reported but should have been under CSS; increasing the Total CSS to $6,924,149.</t>
  </si>
  <si>
    <t>Shasta County inadvertently reported Total PEI Expenditures on the FY 15-16 RER Summary dated 4/14/17 as $984,535 (Column B, Section 3, Row D). Expenditures in the amount of $86,258 were not reported but should have been under PEI; increasing the Total PEI to $1,070,793.</t>
  </si>
  <si>
    <t>Shasta County inadvertently reported Total CSS Expenditures on the FY 16-17 RER Summary dated 5/18/18 as $8,735,332 (Column A, Section 3, Row 21) with an adjustment of an additional $59,063 (Column A, Section 5, Row 14) and an approved appeal adjustment reduction of $421,537 (see I-6 -Enclosure 3 Appeal Worksheet). Expenditures in the amount of $196,577 were reported but should not have been under CSS; decreasing  the Total CSS to $8,176,281.</t>
  </si>
  <si>
    <t>Shasta County inadvertently reported Total PEI Expenditures on the FY 16-17 RER Summary dated 5/18/18 as $2,205,794 (Column B, Section 3, Row 21). Expenditures in the amount of $336,070 were reported but should not have been under PEI; decreasing  the Total PEI to $1,869,724</t>
  </si>
  <si>
    <t>17-18</t>
  </si>
  <si>
    <t>Shasta County is adjusting the information from the FY 17-18 ARER under the Innovation Summary, Section Two, Columns D, E, and F; the Project Name (Column B) should be Counseling and Recovery Engagement Center, and the date under Project MHSOAC Approval Date (Column D) should be 01/18/16, the Project Start Date (Column E) should be 03/06/16, and the MHSOAC-Authorized Budget (Column F) should be $2,969,053.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</si>
</sst>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3" fillId="0" borderId="10" xfId="0" applyFont="1" applyBorder="1" applyAlignment="1" applyProtection="1">
      <alignment horizontal="left" vertical="center" wrapText="1"/>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view="pageBreakPreview" zoomScale="70" zoomScaleNormal="80" zoomScaleSheetLayoutView="70" zoomScalePageLayoutView="0" workbookViewId="0" topLeftCell="A1">
      <selection activeCell="E43" sqref="E43"/>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2018-2019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Shasta</v>
      </c>
      <c r="G9" s="226" t="s">
        <v>1</v>
      </c>
      <c r="H9" s="264">
        <f>IF(ISBLANK('1. Information'!D9),"",'1. Information'!D9)</f>
        <v>43829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1013.44</v>
      </c>
      <c r="G15" s="136"/>
      <c r="H15" s="136"/>
      <c r="I15" s="136"/>
      <c r="J15" s="136"/>
      <c r="K15" s="246">
        <f>SUM(F15:J15)</f>
        <v>1013.44</v>
      </c>
      <c r="L15" s="175"/>
      <c r="M15" s="175"/>
      <c r="N15" s="175"/>
      <c r="O15" s="27"/>
      <c r="P15" s="27"/>
    </row>
    <row r="16" spans="2:16" ht="15.75">
      <c r="B16" s="300">
        <v>2</v>
      </c>
      <c r="C16" s="308" t="s">
        <v>143</v>
      </c>
      <c r="D16" s="242"/>
      <c r="E16" s="243"/>
      <c r="F16" s="136">
        <f>6977.98-F15</f>
        <v>5964.539999999999</v>
      </c>
      <c r="G16" s="136"/>
      <c r="H16" s="136"/>
      <c r="I16" s="136"/>
      <c r="J16" s="136"/>
      <c r="K16" s="246">
        <f>SUM(F16:J16)</f>
        <v>5964.539999999999</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679956.36</v>
      </c>
      <c r="G21" s="313">
        <f>SUMIF($K$29:$K$128,"Project Direct",M$29:M$128)</f>
        <v>0</v>
      </c>
      <c r="H21" s="310">
        <f>SUMIF($K$29:$K$128,"Project Direct",N$29:N$128)</f>
        <v>0</v>
      </c>
      <c r="I21" s="310">
        <f>SUMIF($K$29:$K$128,"Project Direct",O$29:O$128)</f>
        <v>0</v>
      </c>
      <c r="J21" s="310">
        <f>SUMIF($K$29:$K$128,"Project Direct",P$29:P$128)</f>
        <v>0</v>
      </c>
      <c r="K21" s="246">
        <f>SUM(F21:J21)</f>
        <v>679956.36</v>
      </c>
      <c r="L21" s="175"/>
      <c r="M21" s="175"/>
      <c r="N21" s="175"/>
      <c r="O21" s="27"/>
      <c r="P21" s="27"/>
    </row>
    <row r="22" spans="2:16" ht="15.75">
      <c r="B22" s="300">
        <v>8</v>
      </c>
      <c r="C22" s="308" t="s">
        <v>146</v>
      </c>
      <c r="D22" s="314"/>
      <c r="F22" s="315">
        <f>SUM(F19:F21)</f>
        <v>679956.36</v>
      </c>
      <c r="G22" s="316">
        <f>SUM(G19:G21)</f>
        <v>0</v>
      </c>
      <c r="H22" s="315">
        <f>SUM(H19:H21)</f>
        <v>0</v>
      </c>
      <c r="I22" s="315">
        <f>SUM(I19:I21)</f>
        <v>0</v>
      </c>
      <c r="J22" s="315">
        <f>SUM(J19:J21)</f>
        <v>0</v>
      </c>
      <c r="K22" s="246">
        <f>SUM(F22:J22)</f>
        <v>679956.36</v>
      </c>
      <c r="L22" s="175"/>
      <c r="M22" s="175"/>
      <c r="N22" s="175"/>
      <c r="O22" s="27"/>
      <c r="P22" s="27"/>
    </row>
    <row r="23" spans="2:16" ht="30.75" customHeight="1">
      <c r="B23" s="300">
        <v>9</v>
      </c>
      <c r="C23" s="317" t="s">
        <v>239</v>
      </c>
      <c r="D23" s="318"/>
      <c r="E23" s="319"/>
      <c r="F23" s="320">
        <f>SUM(F15:F16,F18:F21)</f>
        <v>686934.34</v>
      </c>
      <c r="G23" s="320">
        <f>SUM(G15:G16,G19:G21)</f>
        <v>0</v>
      </c>
      <c r="H23" s="320">
        <f>SUM(H15:H16,H19:H21)</f>
        <v>0</v>
      </c>
      <c r="I23" s="320">
        <f>SUM(I15:I16,I19:I21)</f>
        <v>0</v>
      </c>
      <c r="J23" s="320">
        <f>SUM(J15:J16,J19:J21)</f>
        <v>0</v>
      </c>
      <c r="K23" s="279">
        <f>SUM(F23:J23)</f>
        <v>686934.34</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45</v>
      </c>
      <c r="E29" s="144" t="s">
        <v>802</v>
      </c>
      <c r="F29" s="38"/>
      <c r="G29" s="38">
        <v>42397</v>
      </c>
      <c r="H29" s="38">
        <v>42435</v>
      </c>
      <c r="I29" s="30">
        <v>2969053</v>
      </c>
      <c r="J29" s="30"/>
      <c r="K29" s="326" t="s">
        <v>140</v>
      </c>
      <c r="L29" s="32"/>
      <c r="M29" s="32"/>
      <c r="N29" s="30"/>
      <c r="O29" s="30"/>
      <c r="P29" s="34"/>
      <c r="Q29" s="246">
        <f>SUM(L29:P29)</f>
        <v>0</v>
      </c>
    </row>
    <row r="30" spans="2:17" ht="15">
      <c r="B30" s="276">
        <v>10</v>
      </c>
      <c r="C30" s="218" t="s">
        <v>25</v>
      </c>
      <c r="D30" s="327">
        <f aca="true" t="shared" si="0" ref="D30:J31">IF(ISBLANK(D29),"",D29)</f>
        <v>45</v>
      </c>
      <c r="E30" s="328" t="str">
        <f t="shared" si="0"/>
        <v>Counseling and Recovery Engagement Center</v>
      </c>
      <c r="F30" s="329">
        <f t="shared" si="0"/>
      </c>
      <c r="G30" s="329">
        <f t="shared" si="0"/>
        <v>42397</v>
      </c>
      <c r="H30" s="329">
        <f t="shared" si="0"/>
        <v>42435</v>
      </c>
      <c r="I30" s="330">
        <f t="shared" si="0"/>
        <v>2969053</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45</v>
      </c>
      <c r="E31" s="331" t="str">
        <f t="shared" si="2"/>
        <v>Counseling and Recovery Engagement Center</v>
      </c>
      <c r="F31" s="332">
        <f t="shared" si="2"/>
      </c>
      <c r="G31" s="332">
        <f t="shared" si="2"/>
        <v>42397</v>
      </c>
      <c r="H31" s="332">
        <f t="shared" si="2"/>
        <v>42435</v>
      </c>
      <c r="I31" s="275">
        <f t="shared" si="2"/>
        <v>2969053</v>
      </c>
      <c r="J31" s="275">
        <f t="shared" si="0"/>
      </c>
      <c r="K31" s="275" t="s">
        <v>197</v>
      </c>
      <c r="L31" s="32">
        <f>679956.36-M31-N31-O31-P31</f>
        <v>679956.36</v>
      </c>
      <c r="M31" s="32"/>
      <c r="N31" s="30"/>
      <c r="O31" s="30"/>
      <c r="P31" s="34"/>
      <c r="Q31" s="246">
        <f t="shared" si="1"/>
        <v>679956.36</v>
      </c>
    </row>
    <row r="32" spans="2:17" ht="15.75">
      <c r="B32" s="333">
        <v>10</v>
      </c>
      <c r="C32" s="333" t="s">
        <v>202</v>
      </c>
      <c r="D32" s="334">
        <f aca="true" t="shared" si="3" ref="D32:J32">IF(ISBLANK(D29),"",D29)</f>
        <v>45</v>
      </c>
      <c r="E32" s="335" t="str">
        <f t="shared" si="3"/>
        <v>Counseling and Recovery Engagement Center</v>
      </c>
      <c r="F32" s="336">
        <f t="shared" si="3"/>
      </c>
      <c r="G32" s="336">
        <f t="shared" si="3"/>
        <v>42397</v>
      </c>
      <c r="H32" s="336">
        <f t="shared" si="3"/>
        <v>42435</v>
      </c>
      <c r="I32" s="337">
        <f t="shared" si="3"/>
        <v>2969053</v>
      </c>
      <c r="J32" s="337">
        <f t="shared" si="3"/>
      </c>
      <c r="K32" s="279" t="s">
        <v>217</v>
      </c>
      <c r="L32" s="338">
        <f>SUM(L29:L31)</f>
        <v>679956.36</v>
      </c>
      <c r="M32" s="338">
        <f>SUM(M29:M31)</f>
        <v>0</v>
      </c>
      <c r="N32" s="339">
        <f>SUM(N29:N31)</f>
        <v>0</v>
      </c>
      <c r="O32" s="339">
        <f>SUM(O29:O31)</f>
        <v>0</v>
      </c>
      <c r="P32" s="340">
        <f>SUM(P29:P31)</f>
        <v>0</v>
      </c>
      <c r="Q32" s="279">
        <f t="shared" si="1"/>
        <v>679956.36</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8" r:id="rId1"/>
  <headerFooter>
    <oddFooter>&amp;C&amp;"Arial,Regular"&amp;16Page &amp;P of &amp;N</oddFooter>
  </headerFooter>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49">
      <selection activeCell="A2" sqref="A2"/>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
      <selection activeCell="A2" sqref="A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2018-2019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Shasta</v>
      </c>
      <c r="F9" s="226" t="s">
        <v>1</v>
      </c>
      <c r="G9" s="346">
        <f>IF(ISBLANK('1. Information'!D9),"",'1. Information'!D9)</f>
        <v>43829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c r="G17" s="136"/>
      <c r="H17" s="136"/>
      <c r="I17" s="136"/>
      <c r="J17" s="136"/>
      <c r="K17" s="241">
        <f t="shared" si="0"/>
        <v>0</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0</v>
      </c>
      <c r="G20" s="351">
        <f>SUM(F28:F32)</f>
        <v>0</v>
      </c>
      <c r="H20" s="330">
        <f>SUM(G28:G32)</f>
        <v>0</v>
      </c>
      <c r="I20" s="330">
        <f>SUM(H28:H32)</f>
        <v>0</v>
      </c>
      <c r="J20" s="330">
        <f>SUM(I28:I32)</f>
        <v>0</v>
      </c>
      <c r="K20" s="246">
        <f t="shared" si="0"/>
        <v>0</v>
      </c>
      <c r="L20" s="175"/>
      <c r="M20" s="175"/>
      <c r="N20" s="27"/>
      <c r="O20" s="27"/>
    </row>
    <row r="21" spans="1:15" ht="30.75" customHeight="1">
      <c r="A21" s="27"/>
      <c r="B21" s="300">
        <v>7</v>
      </c>
      <c r="C21" s="277" t="s">
        <v>188</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c>
      <c r="D29" s="355" t="s">
        <v>99</v>
      </c>
      <c r="E29" s="31"/>
      <c r="F29" s="32"/>
      <c r="G29" s="31"/>
      <c r="H29" s="31"/>
      <c r="I29" s="128"/>
      <c r="J29" s="275">
        <f>SUM(E29:I29)</f>
        <v>0</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2" sqref="A2"/>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A2" sqref="A2"/>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2018-2019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Shasta</v>
      </c>
      <c r="E9" s="8"/>
      <c r="F9" s="162" t="s">
        <v>1</v>
      </c>
      <c r="G9" s="264">
        <f>IF(ISBLANK('1. Information'!D9),"",'1. Information'!D9)</f>
        <v>43829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0</v>
      </c>
      <c r="G20" s="351">
        <f>SUM(H27:H46)</f>
        <v>0</v>
      </c>
      <c r="H20" s="330">
        <f>SUM(I27:I46)</f>
        <v>0</v>
      </c>
      <c r="I20" s="330">
        <f>SUM(J27:J46)</f>
        <v>0</v>
      </c>
      <c r="J20" s="275">
        <f>SUM(K27:K46)</f>
        <v>0</v>
      </c>
      <c r="K20" s="326">
        <f>SUM(F20:J20)</f>
        <v>0</v>
      </c>
      <c r="L20" s="175"/>
      <c r="M20" s="175"/>
      <c r="U20" s="27"/>
      <c r="V20" s="27"/>
      <c r="W20" s="27"/>
    </row>
    <row r="21" spans="2:23" ht="30.75" customHeight="1">
      <c r="B21" s="300">
        <v>7</v>
      </c>
      <c r="C21" s="359" t="s">
        <v>768</v>
      </c>
      <c r="D21" s="360"/>
      <c r="E21" s="361"/>
      <c r="F21" s="279">
        <f>SUM(F15:F17,F19:F20)</f>
        <v>0</v>
      </c>
      <c r="G21" s="251">
        <f>SUM(G15:G17,G20)</f>
        <v>0</v>
      </c>
      <c r="H21" s="251">
        <f>SUM(H15:H17,H20)</f>
        <v>0</v>
      </c>
      <c r="I21" s="251">
        <f>SUM(I15:I17,I20)</f>
        <v>0</v>
      </c>
      <c r="J21" s="251">
        <f>SUM(J15:J17,J20)</f>
        <v>0</v>
      </c>
      <c r="K21" s="250">
        <f>SUM(F21:J21)</f>
        <v>0</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c>
      <c r="D27" s="144"/>
      <c r="E27" s="144"/>
      <c r="F27" s="127"/>
      <c r="G27" s="126"/>
      <c r="H27" s="126"/>
      <c r="I27" s="126"/>
      <c r="J27" s="129"/>
      <c r="K27" s="126"/>
      <c r="L27" s="364">
        <f>SUM(G27:K27)</f>
        <v>0</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2" sqref="A2"/>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4">
      <selection activeCell="G17" sqref="G17"/>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2018-2019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Shasta</v>
      </c>
      <c r="E9" s="2"/>
      <c r="F9" s="365" t="s">
        <v>156</v>
      </c>
      <c r="G9" s="264">
        <f>IF(ISBLANK('1. Information'!D9),"",'1. Information'!D9)</f>
        <v>43829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90">
      <c r="B15" s="300">
        <v>1</v>
      </c>
      <c r="C15" s="301">
        <f aca="true" t="shared" si="0" ref="C15:C44">IF(G15&lt;&gt;0,VLOOKUP($D$9,Info_County_Code,2,FALSE),"")</f>
        <v>45</v>
      </c>
      <c r="D15" s="40" t="s">
        <v>28</v>
      </c>
      <c r="E15" s="40" t="s">
        <v>803</v>
      </c>
      <c r="F15" s="150">
        <v>2016</v>
      </c>
      <c r="G15" s="132">
        <v>792178</v>
      </c>
      <c r="H15" s="415" t="s">
        <v>804</v>
      </c>
    </row>
    <row r="16" spans="2:8" ht="90">
      <c r="B16" s="300">
        <v>2</v>
      </c>
      <c r="C16" s="301">
        <f t="shared" si="0"/>
        <v>45</v>
      </c>
      <c r="D16" s="40" t="s">
        <v>29</v>
      </c>
      <c r="E16" s="40" t="s">
        <v>803</v>
      </c>
      <c r="F16" s="150">
        <v>2016</v>
      </c>
      <c r="G16" s="132">
        <v>86258</v>
      </c>
      <c r="H16" s="415" t="s">
        <v>805</v>
      </c>
    </row>
    <row r="17" spans="2:8" ht="150">
      <c r="B17" s="300">
        <v>3</v>
      </c>
      <c r="C17" s="301">
        <f t="shared" si="0"/>
        <v>45</v>
      </c>
      <c r="D17" s="40" t="s">
        <v>28</v>
      </c>
      <c r="E17" s="40" t="s">
        <v>803</v>
      </c>
      <c r="F17" s="150">
        <v>2017</v>
      </c>
      <c r="G17" s="132">
        <v>-196577</v>
      </c>
      <c r="H17" s="415" t="s">
        <v>806</v>
      </c>
    </row>
    <row r="18" spans="2:8" ht="90">
      <c r="B18" s="300">
        <v>4</v>
      </c>
      <c r="C18" s="301">
        <f t="shared" si="0"/>
        <v>45</v>
      </c>
      <c r="D18" s="40" t="s">
        <v>29</v>
      </c>
      <c r="E18" s="40" t="s">
        <v>803</v>
      </c>
      <c r="F18" s="150">
        <v>2017</v>
      </c>
      <c r="G18" s="132">
        <v>-336070</v>
      </c>
      <c r="H18" s="415" t="s">
        <v>807</v>
      </c>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A2" sqref="A2"/>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2018-2019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Shasta</v>
      </c>
      <c r="F9" s="226" t="s">
        <v>1</v>
      </c>
      <c r="G9" s="346">
        <f>IF(ISBLANK('1. Information'!D9),"",'1. Information'!D9)</f>
        <v>43829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2018-2019</v>
      </c>
      <c r="C6" s="1"/>
      <c r="D6" s="1"/>
    </row>
    <row r="7" spans="2:5" ht="18">
      <c r="B7" s="382" t="s">
        <v>282</v>
      </c>
      <c r="C7" s="1"/>
      <c r="D7" s="1"/>
      <c r="E7" s="27"/>
    </row>
    <row r="8" ht="15">
      <c r="D8" s="131"/>
    </row>
    <row r="9" spans="2:4" ht="34.5" customHeight="1">
      <c r="B9" s="203">
        <v>1</v>
      </c>
      <c r="C9" s="209" t="s">
        <v>1</v>
      </c>
      <c r="D9" s="113">
        <v>43829</v>
      </c>
    </row>
    <row r="10" spans="2:4" ht="34.5" customHeight="1">
      <c r="B10" s="203">
        <v>2</v>
      </c>
      <c r="C10" s="205" t="s">
        <v>303</v>
      </c>
      <c r="D10" s="151" t="s">
        <v>795</v>
      </c>
    </row>
    <row r="11" spans="2:4" ht="34.5" customHeight="1">
      <c r="B11" s="203">
        <v>3</v>
      </c>
      <c r="C11" s="204" t="s">
        <v>0</v>
      </c>
      <c r="D11" s="135" t="s">
        <v>80</v>
      </c>
    </row>
    <row r="12" spans="2:4" ht="34.5" customHeight="1">
      <c r="B12" s="203">
        <v>4</v>
      </c>
      <c r="C12" s="206" t="s">
        <v>113</v>
      </c>
      <c r="D12" s="182">
        <f>IF(ISBLANK(D11),"",VLOOKUP(D11,Info_County_Code,2))</f>
        <v>45</v>
      </c>
    </row>
    <row r="13" spans="2:4" ht="34.5" customHeight="1">
      <c r="B13" s="203">
        <v>5</v>
      </c>
      <c r="C13" s="204" t="s">
        <v>114</v>
      </c>
      <c r="D13" s="412" t="s">
        <v>796</v>
      </c>
    </row>
    <row r="14" spans="2:4" ht="34.5" customHeight="1">
      <c r="B14" s="203">
        <v>6</v>
      </c>
      <c r="C14" s="204" t="s">
        <v>115</v>
      </c>
      <c r="D14" s="135" t="s">
        <v>797</v>
      </c>
    </row>
    <row r="15" spans="2:4" ht="34.5" customHeight="1">
      <c r="B15" s="203">
        <v>7</v>
      </c>
      <c r="C15" s="204" t="s">
        <v>116</v>
      </c>
      <c r="D15" s="172">
        <v>96001</v>
      </c>
    </row>
    <row r="16" spans="2:4" ht="34.5" customHeight="1">
      <c r="B16" s="203">
        <v>8</v>
      </c>
      <c r="C16" s="207" t="s">
        <v>162</v>
      </c>
      <c r="D16" s="183" t="str">
        <f>IF(ISBLANK(D11),"",VLOOKUP(D11,County_Population,5,FALSE))</f>
        <v>No</v>
      </c>
    </row>
    <row r="17" spans="2:4" ht="34.5" customHeight="1">
      <c r="B17" s="203">
        <v>9</v>
      </c>
      <c r="C17" s="204" t="s">
        <v>112</v>
      </c>
      <c r="D17" s="135" t="s">
        <v>798</v>
      </c>
    </row>
    <row r="18" spans="2:4" ht="34.5" customHeight="1">
      <c r="B18" s="203">
        <v>10</v>
      </c>
      <c r="C18" s="208" t="s">
        <v>167</v>
      </c>
      <c r="D18" s="413" t="s">
        <v>799</v>
      </c>
    </row>
    <row r="19" spans="2:4" ht="34.5" customHeight="1">
      <c r="B19" s="203">
        <v>11</v>
      </c>
      <c r="C19" s="208" t="s">
        <v>184</v>
      </c>
      <c r="D19" s="413" t="s">
        <v>800</v>
      </c>
    </row>
    <row r="20" spans="2:4" ht="34.5" customHeight="1">
      <c r="B20" s="203">
        <v>12</v>
      </c>
      <c r="C20" s="209" t="s">
        <v>280</v>
      </c>
      <c r="D20" s="414" t="s">
        <v>801</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A1" sqref="A1:G13"/>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2018-2019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Shasta</v>
      </c>
      <c r="F9" s="226" t="s">
        <v>1</v>
      </c>
      <c r="G9" s="346">
        <f>IF(ISBLANK('1. Information'!D9),"",'1. Information'!D9)</f>
        <v>43829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05">
      <c r="B13" s="375">
        <v>1</v>
      </c>
      <c r="C13" s="169" t="s">
        <v>30</v>
      </c>
      <c r="D13" s="169" t="s">
        <v>808</v>
      </c>
      <c r="E13" s="117" t="s">
        <v>809</v>
      </c>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F25" sqref="F25"/>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Shasta</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view="pageBreakPreview" zoomScale="70" zoomScaleNormal="80" zoomScaleSheetLayoutView="70" zoomScalePageLayoutView="85" workbookViewId="0" topLeftCell="A1">
      <selection activeCell="F20" sqref="F20"/>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2018-2019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Shasta</v>
      </c>
      <c r="F9" s="210" t="s">
        <v>1</v>
      </c>
      <c r="G9" s="185">
        <f>IF(ISBLANK('1. Information'!D9),"",'1. Information'!D9)</f>
        <v>43829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148122.68</v>
      </c>
      <c r="E14" s="149">
        <v>37030.67</v>
      </c>
      <c r="F14" s="149">
        <v>9744.91</v>
      </c>
      <c r="G14" s="149"/>
      <c r="H14" s="149"/>
      <c r="I14" s="186">
        <f>SUM(D14:H14)</f>
        <v>194898.25999999998</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0</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0</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5668423.0600000005</v>
      </c>
      <c r="E31" s="194">
        <f>'4. PEI'!F22</f>
        <v>1562182.74</v>
      </c>
      <c r="F31" s="194">
        <f>'5. INN'!F23</f>
        <v>686934.34</v>
      </c>
      <c r="G31" s="194">
        <f>'6. WET'!F21</f>
        <v>0</v>
      </c>
      <c r="H31" s="194">
        <f>'7. CFTN'!F21</f>
        <v>0</v>
      </c>
      <c r="I31" s="194">
        <f>SUM(D31:H31)</f>
        <v>7917540.140000001</v>
      </c>
    </row>
    <row r="32" spans="2:9" ht="15">
      <c r="B32" s="211">
        <v>10</v>
      </c>
      <c r="C32" s="223" t="s">
        <v>4</v>
      </c>
      <c r="D32" s="189">
        <f>'3. CSS'!G27</f>
        <v>2893935.21</v>
      </c>
      <c r="E32" s="189">
        <f>'4. PEI'!G22</f>
        <v>369612.63</v>
      </c>
      <c r="F32" s="189">
        <f>'5. INN'!G23</f>
        <v>0</v>
      </c>
      <c r="G32" s="189">
        <f>'6. WET'!G21</f>
        <v>0</v>
      </c>
      <c r="H32" s="189">
        <f>'7. CFTN'!G21</f>
        <v>0</v>
      </c>
      <c r="I32" s="194">
        <f>SUM(D32:H32)</f>
        <v>3263547.84</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455196</v>
      </c>
      <c r="E35" s="189">
        <f>'4. PEI'!J22</f>
        <v>5936</v>
      </c>
      <c r="F35" s="189">
        <f>'5. INN'!J23</f>
        <v>0</v>
      </c>
      <c r="G35" s="189">
        <f>'6. WET'!J21</f>
        <v>0</v>
      </c>
      <c r="H35" s="189">
        <f>'7. CFTN'!J21</f>
        <v>0</v>
      </c>
      <c r="I35" s="194">
        <f>SUM(D35:H35)</f>
        <v>461132</v>
      </c>
    </row>
    <row r="36" spans="2:9" ht="15.75">
      <c r="B36" s="211">
        <v>14</v>
      </c>
      <c r="C36" s="224" t="s">
        <v>21</v>
      </c>
      <c r="D36" s="195">
        <f>SUM(D31:D35)</f>
        <v>9017554.27</v>
      </c>
      <c r="E36" s="195">
        <f>SUM(E31:E35)</f>
        <v>1937731.37</v>
      </c>
      <c r="F36" s="195">
        <f>SUM(F31:F35)</f>
        <v>686934.34</v>
      </c>
      <c r="G36" s="195">
        <f>SUM(G31:G35)</f>
        <v>0</v>
      </c>
      <c r="H36" s="195">
        <f>SUM(H31:H35)</f>
        <v>0</v>
      </c>
      <c r="I36" s="196">
        <f>SUM(D36:H36)</f>
        <v>11642219.98</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17175.87</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1896996.81</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272666</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50"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6">
      <selection activeCell="A2" sqref="A2"/>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view="pageBreakPreview" zoomScale="80" zoomScaleNormal="70" zoomScaleSheetLayoutView="80" zoomScalePageLayoutView="70" workbookViewId="0" topLeftCell="A10">
      <selection activeCell="D17" sqref="D17"/>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2018-2019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Shasta</v>
      </c>
      <c r="E9" s="123"/>
      <c r="F9" s="226" t="s">
        <v>1</v>
      </c>
      <c r="G9" s="227">
        <f>IF(ISBLANK('1. Information'!D9),"",'1. Information'!D9)</f>
        <v>43829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f>13303.68</f>
        <v>13303.68</v>
      </c>
      <c r="G15" s="136"/>
      <c r="H15" s="136"/>
      <c r="I15" s="136"/>
      <c r="J15" s="136"/>
      <c r="K15" s="241">
        <f>SUM(F15:J15)</f>
        <v>13303.68</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f>1559225.27-G17-H17-I17-J17-F15</f>
        <v>1545921.59</v>
      </c>
      <c r="G17" s="136"/>
      <c r="H17" s="136"/>
      <c r="I17" s="136"/>
      <c r="J17" s="136"/>
      <c r="K17" s="241">
        <f>SUM(F17:J17)</f>
        <v>1545921.59</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4109197.79</v>
      </c>
      <c r="G25" s="246">
        <f>SUM(H34:H133)</f>
        <v>2893935.21</v>
      </c>
      <c r="H25" s="246">
        <f>SUM(I34:I133)</f>
        <v>0</v>
      </c>
      <c r="I25" s="246">
        <f>SUM(J34:J133)</f>
        <v>0</v>
      </c>
      <c r="J25" s="246">
        <f>SUM(K34:K133)</f>
        <v>455196</v>
      </c>
      <c r="K25" s="246">
        <f>SUM(F25:J25)</f>
        <v>7458329</v>
      </c>
      <c r="L25" s="175"/>
    </row>
    <row r="26" spans="1:12" ht="30.75" customHeight="1">
      <c r="A26" s="123"/>
      <c r="B26" s="234">
        <v>12</v>
      </c>
      <c r="C26" s="247" t="s">
        <v>190</v>
      </c>
      <c r="D26" s="248"/>
      <c r="E26" s="249"/>
      <c r="F26" s="250">
        <f>SUM(F15:F17,F19:F25)</f>
        <v>5668423.0600000005</v>
      </c>
      <c r="G26" s="250">
        <f>SUM(G15:G17,G25)</f>
        <v>2893935.21</v>
      </c>
      <c r="H26" s="251">
        <f>SUM(H15:H17,H25)</f>
        <v>0</v>
      </c>
      <c r="I26" s="250">
        <f>SUM(I15:I17,I25)</f>
        <v>0</v>
      </c>
      <c r="J26" s="250">
        <f>SUM(J15:J17,J25)</f>
        <v>455196</v>
      </c>
      <c r="K26" s="250">
        <f>SUM(F26:J26)</f>
        <v>9017554.27</v>
      </c>
      <c r="L26" s="175"/>
    </row>
    <row r="27" spans="1:12" ht="30.75" customHeight="1">
      <c r="A27" s="123"/>
      <c r="B27" s="234">
        <v>13</v>
      </c>
      <c r="C27" s="252" t="s">
        <v>675</v>
      </c>
      <c r="D27" s="252"/>
      <c r="E27" s="252"/>
      <c r="F27" s="250">
        <f>SUM(F15:F17,F19,F20,F25)</f>
        <v>5668423.0600000005</v>
      </c>
      <c r="G27" s="250">
        <f>SUM(G15:G17,G25)</f>
        <v>2893935.21</v>
      </c>
      <c r="H27" s="250">
        <f>SUM(H15:H17,H25)</f>
        <v>0</v>
      </c>
      <c r="I27" s="250">
        <f>SUM(I15:I17,I25)</f>
        <v>0</v>
      </c>
      <c r="J27" s="250">
        <f>SUM(J15:J17,J25)</f>
        <v>455196</v>
      </c>
      <c r="K27" s="250">
        <f>SUM(F27:J27)</f>
        <v>9017554.27</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45</v>
      </c>
      <c r="D34" s="144" t="s">
        <v>782</v>
      </c>
      <c r="E34" s="144"/>
      <c r="F34" s="127" t="s">
        <v>95</v>
      </c>
      <c r="G34" s="126">
        <f>446998.54-H34-I34-J34-K34</f>
        <v>446998.54</v>
      </c>
      <c r="H34" s="126">
        <v>0</v>
      </c>
      <c r="I34" s="126"/>
      <c r="J34" s="129"/>
      <c r="K34" s="126"/>
      <c r="L34" s="246">
        <f>SUM(G34:K34)</f>
        <v>446998.54</v>
      </c>
    </row>
    <row r="35" spans="1:12" ht="15.75">
      <c r="A35" s="123"/>
      <c r="B35" s="262">
        <v>15</v>
      </c>
      <c r="C35" s="263">
        <f t="shared" si="1"/>
        <v>45</v>
      </c>
      <c r="D35" s="144" t="s">
        <v>783</v>
      </c>
      <c r="E35" s="144"/>
      <c r="F35" s="127" t="s">
        <v>95</v>
      </c>
      <c r="G35" s="126">
        <f>1345566.69-H35-I35-J35-K35</f>
        <v>883311.69</v>
      </c>
      <c r="H35" s="126">
        <f>449149</f>
        <v>449149</v>
      </c>
      <c r="I35" s="126"/>
      <c r="J35" s="129"/>
      <c r="K35" s="126">
        <f>8157+4949</f>
        <v>13106</v>
      </c>
      <c r="L35" s="246">
        <f aca="true" t="shared" si="2" ref="L35:L98">SUM(G35:K35)</f>
        <v>1345566.69</v>
      </c>
    </row>
    <row r="36" spans="1:12" ht="15.75">
      <c r="A36" s="123"/>
      <c r="B36" s="262">
        <v>16</v>
      </c>
      <c r="C36" s="263">
        <f t="shared" si="1"/>
        <v>45</v>
      </c>
      <c r="D36" s="144" t="s">
        <v>784</v>
      </c>
      <c r="E36" s="144"/>
      <c r="F36" s="127" t="s">
        <v>96</v>
      </c>
      <c r="G36" s="126">
        <f>907540.03-H36-I36-J36-K36</f>
        <v>455453.03</v>
      </c>
      <c r="H36" s="126">
        <f>121067</f>
        <v>121067</v>
      </c>
      <c r="I36" s="126"/>
      <c r="J36" s="129"/>
      <c r="K36" s="126">
        <v>331020</v>
      </c>
      <c r="L36" s="246">
        <f t="shared" si="2"/>
        <v>907540.03</v>
      </c>
    </row>
    <row r="37" spans="1:12" ht="15.75">
      <c r="A37" s="123"/>
      <c r="B37" s="262">
        <v>17</v>
      </c>
      <c r="C37" s="263">
        <f t="shared" si="1"/>
        <v>45</v>
      </c>
      <c r="D37" s="144" t="s">
        <v>785</v>
      </c>
      <c r="E37" s="144"/>
      <c r="F37" s="127" t="s">
        <v>96</v>
      </c>
      <c r="G37" s="126">
        <f>35360.11-H37-I37-J37-K37</f>
        <v>11312.11</v>
      </c>
      <c r="H37" s="126">
        <f>22632</f>
        <v>22632</v>
      </c>
      <c r="I37" s="126"/>
      <c r="J37" s="129"/>
      <c r="K37" s="126">
        <v>1416</v>
      </c>
      <c r="L37" s="246">
        <f t="shared" si="2"/>
        <v>35360.11</v>
      </c>
    </row>
    <row r="38" spans="1:12" ht="15.75">
      <c r="A38" s="123"/>
      <c r="B38" s="262">
        <v>18</v>
      </c>
      <c r="C38" s="263">
        <f t="shared" si="1"/>
        <v>45</v>
      </c>
      <c r="D38" s="144" t="s">
        <v>786</v>
      </c>
      <c r="E38" s="144"/>
      <c r="F38" s="127" t="s">
        <v>95</v>
      </c>
      <c r="G38" s="126">
        <f>1492096.76-H38-I38-J38-K38</f>
        <v>900045.76</v>
      </c>
      <c r="H38" s="126">
        <f>507447</f>
        <v>507447</v>
      </c>
      <c r="I38" s="126"/>
      <c r="J38" s="129"/>
      <c r="K38" s="126">
        <f>500+84104</f>
        <v>84604</v>
      </c>
      <c r="L38" s="246">
        <f t="shared" si="2"/>
        <v>1492096.76</v>
      </c>
    </row>
    <row r="39" spans="1:12" ht="15.75">
      <c r="A39" s="123"/>
      <c r="B39" s="262">
        <v>19</v>
      </c>
      <c r="C39" s="263">
        <f t="shared" si="1"/>
        <v>45</v>
      </c>
      <c r="D39" s="144" t="s">
        <v>787</v>
      </c>
      <c r="E39" s="144"/>
      <c r="F39" s="127" t="s">
        <v>95</v>
      </c>
      <c r="G39" s="126">
        <v>0</v>
      </c>
      <c r="H39" s="126">
        <f>1082235.21</f>
        <v>1082235.21</v>
      </c>
      <c r="I39" s="126"/>
      <c r="J39" s="129"/>
      <c r="K39" s="126">
        <v>732</v>
      </c>
      <c r="L39" s="246">
        <f t="shared" si="2"/>
        <v>1082967.21</v>
      </c>
    </row>
    <row r="40" spans="1:12" ht="15.75">
      <c r="A40" s="123"/>
      <c r="B40" s="262">
        <v>20</v>
      </c>
      <c r="C40" s="263">
        <f t="shared" si="1"/>
        <v>45</v>
      </c>
      <c r="D40" s="144" t="s">
        <v>788</v>
      </c>
      <c r="E40" s="144"/>
      <c r="F40" s="127" t="s">
        <v>95</v>
      </c>
      <c r="G40" s="126">
        <f>60593.83-H40-I40-J40-K40</f>
        <v>12685.830000000002</v>
      </c>
      <c r="H40" s="126">
        <f>47908</f>
        <v>47908</v>
      </c>
      <c r="I40" s="126"/>
      <c r="J40" s="129"/>
      <c r="K40" s="126"/>
      <c r="L40" s="246">
        <f t="shared" si="2"/>
        <v>60593.83</v>
      </c>
    </row>
    <row r="41" spans="1:12" ht="15.75">
      <c r="A41" s="123"/>
      <c r="B41" s="262">
        <v>21</v>
      </c>
      <c r="C41" s="263">
        <f t="shared" si="1"/>
        <v>45</v>
      </c>
      <c r="D41" s="144" t="s">
        <v>789</v>
      </c>
      <c r="E41" s="144"/>
      <c r="F41" s="127" t="s">
        <v>95</v>
      </c>
      <c r="G41" s="126">
        <f>1299026.12-H41-I41-J41-K41</f>
        <v>862790.1200000001</v>
      </c>
      <c r="H41" s="126">
        <f>430263</f>
        <v>430263</v>
      </c>
      <c r="I41" s="126"/>
      <c r="J41" s="129"/>
      <c r="K41" s="126">
        <f>5973</f>
        <v>5973</v>
      </c>
      <c r="L41" s="246">
        <f t="shared" si="2"/>
        <v>1299026.12</v>
      </c>
    </row>
    <row r="42" spans="1:12" ht="15.75">
      <c r="A42" s="123"/>
      <c r="B42" s="262">
        <v>22</v>
      </c>
      <c r="C42" s="263">
        <f t="shared" si="1"/>
        <v>45</v>
      </c>
      <c r="D42" s="144" t="s">
        <v>790</v>
      </c>
      <c r="E42" s="144"/>
      <c r="F42" s="127" t="s">
        <v>96</v>
      </c>
      <c r="G42" s="126">
        <f>306597.17+62000.28-H42-I42-J42-K42</f>
        <v>122432.44999999995</v>
      </c>
      <c r="H42" s="126">
        <f>227820</f>
        <v>227820</v>
      </c>
      <c r="I42" s="126"/>
      <c r="J42" s="129"/>
      <c r="K42" s="126">
        <f>18345</f>
        <v>18345</v>
      </c>
      <c r="L42" s="246">
        <f t="shared" si="2"/>
        <v>368597.44999999995</v>
      </c>
    </row>
    <row r="43" spans="1:12" ht="15.75">
      <c r="A43" s="123"/>
      <c r="B43" s="262">
        <v>23</v>
      </c>
      <c r="C43" s="263">
        <f t="shared" si="1"/>
        <v>45</v>
      </c>
      <c r="D43" s="144" t="s">
        <v>791</v>
      </c>
      <c r="E43" s="144"/>
      <c r="F43" s="127" t="s">
        <v>96</v>
      </c>
      <c r="G43" s="126">
        <f>419582.26-H43-I43-J43-K43</f>
        <v>414168.26</v>
      </c>
      <c r="H43" s="126">
        <f>5414</f>
        <v>5414</v>
      </c>
      <c r="I43" s="126"/>
      <c r="J43" s="129"/>
      <c r="K43" s="126"/>
      <c r="L43" s="246">
        <f t="shared" si="2"/>
        <v>419582.26</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50" r:id="rId1"/>
  <headerFooter>
    <oddFooter>&amp;C&amp;"Arial,Regular"&amp;16Page &amp;P of &amp;N</oddFooter>
  </headerFooter>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70">
      <selection activeCell="A2" sqref="A2"/>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view="pageBreakPreview" zoomScale="70" zoomScaleNormal="70" zoomScaleSheetLayoutView="70" zoomScalePageLayoutView="80" workbookViewId="0" topLeftCell="E7">
      <selection activeCell="I41" sqref="I41"/>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2018-2019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Shasta</v>
      </c>
      <c r="E9" s="27" t="str">
        <f>IF(ISBLANK('1. Information'!D11),"",'1. Information'!D11)</f>
        <v>Shasta</v>
      </c>
      <c r="F9" s="226" t="s">
        <v>1</v>
      </c>
      <c r="G9" s="264">
        <f>IF(ISBLANK('1. Information'!D9),"",'1. Information'!D9)</f>
        <v>43829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f>2858.75</f>
        <v>2858.75</v>
      </c>
      <c r="G15" s="136"/>
      <c r="H15" s="136"/>
      <c r="I15" s="136"/>
      <c r="J15" s="136"/>
      <c r="K15" s="241">
        <f>SUM(F15:J15)</f>
        <v>2858.75</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f>347969.43-G17-H17-I17-J17-F15</f>
        <v>345110.68</v>
      </c>
      <c r="G17" s="136"/>
      <c r="H17" s="136"/>
      <c r="I17" s="136"/>
      <c r="J17" s="136"/>
      <c r="K17" s="241">
        <f t="shared" si="0"/>
        <v>345110.68</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1214213.31</v>
      </c>
      <c r="G21" s="275">
        <f>SUMIF($G$34:$G$133,"Combined Summary",M$34:M$133)+SUMIF($F$34:$F$133,"Standalone",M$34:M$133)</f>
        <v>369612.63</v>
      </c>
      <c r="H21" s="275">
        <f>SUMIF($G$34:$G$133,"Combined Summary",N$34:N$133)+SUMIF($F$34:$F$133,"Standalone",N$34:N$133)</f>
        <v>0</v>
      </c>
      <c r="I21" s="275">
        <f>SUMIF($G$34:$G$133,"Combined Summary",O$34:O$133)+SUMIF($F$34:$F$133,"Standalone",O$34:O$133)</f>
        <v>0</v>
      </c>
      <c r="J21" s="275">
        <f>SUMIF($G$34:$G$133,"Combined Summary",P$34:P$133)+SUMIF($F$34:$F$133,"Standalone",P$34:P$133)</f>
        <v>5936</v>
      </c>
      <c r="K21" s="246">
        <f t="shared" si="0"/>
        <v>1589761.94</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1562182.74</v>
      </c>
      <c r="G22" s="279">
        <f>SUM(G15:G17,G20:G21)</f>
        <v>369612.63</v>
      </c>
      <c r="H22" s="279">
        <f>SUM(H15:H17,H20:H21)</f>
        <v>0</v>
      </c>
      <c r="I22" s="279">
        <f>SUM(I15:I17,I20:I21)</f>
        <v>0</v>
      </c>
      <c r="J22" s="279">
        <f>SUM(J15:J17,J20:J21)</f>
        <v>5936</v>
      </c>
      <c r="K22" s="279">
        <f t="shared" si="0"/>
        <v>1937731.37</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0.47963961232858077</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45</v>
      </c>
      <c r="D34" s="144" t="s">
        <v>792</v>
      </c>
      <c r="E34" s="144"/>
      <c r="F34" s="147" t="s">
        <v>125</v>
      </c>
      <c r="G34" s="148" t="s">
        <v>121</v>
      </c>
      <c r="H34" s="147"/>
      <c r="I34" s="36">
        <v>1</v>
      </c>
      <c r="J34" s="36">
        <v>0.35</v>
      </c>
      <c r="K34" s="302">
        <f>IF(OR(G34="Combined Summary",F34="Standalone"),(SUMPRODUCT(--(D$34:D$133=D34),I$34:I$133,J$34:J$133)),"")</f>
        <v>0.35</v>
      </c>
      <c r="L34" s="126">
        <f>319802.18-M34-N34-O34-P34</f>
        <v>318302.18</v>
      </c>
      <c r="M34" s="133"/>
      <c r="N34" s="30"/>
      <c r="O34" s="30"/>
      <c r="P34" s="30">
        <v>1500</v>
      </c>
      <c r="Q34" s="303">
        <f>SUM(L34:P34)</f>
        <v>319802.18</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45</v>
      </c>
      <c r="D35" s="144" t="s">
        <v>129</v>
      </c>
      <c r="E35" s="144"/>
      <c r="F35" s="147" t="s">
        <v>125</v>
      </c>
      <c r="G35" s="148" t="s">
        <v>121</v>
      </c>
      <c r="H35" s="33"/>
      <c r="I35" s="36">
        <v>1</v>
      </c>
      <c r="J35" s="36">
        <v>0.17</v>
      </c>
      <c r="K35" s="302">
        <f aca="true" t="shared" si="2" ref="K35:K98">IF(OR(G35="Combined Summary",F35="Standalone"),(SUMPRODUCT(--(D$34:D$133=D35),I$34:I$133,J$34:J$133)),"")</f>
        <v>0.17</v>
      </c>
      <c r="L35" s="126">
        <f>125158.64-M35-N35-O35-P35</f>
        <v>125158.64</v>
      </c>
      <c r="M35" s="133"/>
      <c r="N35" s="30"/>
      <c r="O35" s="30"/>
      <c r="P35" s="30"/>
      <c r="Q35" s="303">
        <f aca="true" t="shared" si="3" ref="Q35:Q98">SUM(L35:P35)</f>
        <v>125158.64</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45</v>
      </c>
      <c r="D36" s="144" t="s">
        <v>793</v>
      </c>
      <c r="E36" s="144"/>
      <c r="F36" s="147" t="s">
        <v>125</v>
      </c>
      <c r="G36" s="148" t="s">
        <v>122</v>
      </c>
      <c r="H36" s="33"/>
      <c r="I36" s="36">
        <v>1</v>
      </c>
      <c r="J36" s="36">
        <v>0.8</v>
      </c>
      <c r="K36" s="302">
        <f t="shared" si="2"/>
        <v>0.8</v>
      </c>
      <c r="L36" s="126">
        <f>488604.5+429419.88+16657.38+34009.48-M36-N36-O36-P36</f>
        <v>770752.49</v>
      </c>
      <c r="M36" s="133">
        <f>193838.75</f>
        <v>193838.75</v>
      </c>
      <c r="N36" s="30"/>
      <c r="O36" s="30"/>
      <c r="P36" s="30">
        <f>4100</f>
        <v>4100</v>
      </c>
      <c r="Q36" s="303">
        <f t="shared" si="3"/>
        <v>968691.24</v>
      </c>
      <c r="R36" s="178">
        <f t="shared" si="4"/>
        <v>1</v>
      </c>
      <c r="S36" s="180">
        <f t="shared" si="5"/>
      </c>
      <c r="AL36" s="27"/>
      <c r="AM36" s="27"/>
      <c r="AN36" s="27"/>
    </row>
    <row r="37" spans="2:40" ht="30.75">
      <c r="B37" s="300">
        <v>13</v>
      </c>
      <c r="C37" s="301">
        <f t="shared" si="1"/>
        <v>45</v>
      </c>
      <c r="D37" s="144" t="s">
        <v>794</v>
      </c>
      <c r="E37" s="144"/>
      <c r="F37" s="147" t="s">
        <v>125</v>
      </c>
      <c r="G37" s="148" t="s">
        <v>122</v>
      </c>
      <c r="H37" s="33"/>
      <c r="I37" s="36">
        <v>1</v>
      </c>
      <c r="J37" s="36">
        <v>0.82</v>
      </c>
      <c r="K37" s="302">
        <f t="shared" si="2"/>
        <v>0.82</v>
      </c>
      <c r="L37" s="126">
        <v>0</v>
      </c>
      <c r="M37" s="133">
        <f>248095.99-72322.11</f>
        <v>175773.88</v>
      </c>
      <c r="N37" s="30"/>
      <c r="O37" s="30"/>
      <c r="P37" s="30">
        <f>336</f>
        <v>336</v>
      </c>
      <c r="Q37" s="303">
        <f t="shared" si="3"/>
        <v>176109.88</v>
      </c>
      <c r="R37" s="178">
        <f t="shared" si="4"/>
        <v>1</v>
      </c>
      <c r="S37" s="180">
        <f t="shared" si="5"/>
      </c>
      <c r="AL37" s="27"/>
      <c r="AM37" s="27"/>
      <c r="AN37" s="27"/>
    </row>
    <row r="38" spans="2:40" ht="15.75">
      <c r="B38" s="300">
        <v>14</v>
      </c>
      <c r="C38" s="301">
        <f t="shared" si="1"/>
      </c>
      <c r="D38" s="144"/>
      <c r="E38" s="144"/>
      <c r="F38" s="147"/>
      <c r="G38" s="148"/>
      <c r="H38" s="33"/>
      <c r="I38" s="36"/>
      <c r="J38" s="36"/>
      <c r="K38" s="302">
        <f t="shared" si="2"/>
      </c>
      <c r="L38" s="126"/>
      <c r="M38" s="133"/>
      <c r="N38" s="30"/>
      <c r="O38" s="30"/>
      <c r="P38" s="30"/>
      <c r="Q38" s="303">
        <f t="shared" si="3"/>
        <v>0</v>
      </c>
      <c r="R38" s="178">
        <f t="shared" si="4"/>
      </c>
      <c r="S38" s="180">
        <f t="shared" si="5"/>
      </c>
      <c r="AL38" s="27"/>
      <c r="AM38" s="27"/>
      <c r="AN38" s="27"/>
    </row>
    <row r="39" spans="2:40" ht="15.75">
      <c r="B39" s="300">
        <v>15</v>
      </c>
      <c r="C39" s="301">
        <f t="shared" si="1"/>
      </c>
      <c r="D39" s="144"/>
      <c r="E39" s="144"/>
      <c r="F39" s="147"/>
      <c r="G39" s="148"/>
      <c r="H39" s="33"/>
      <c r="I39" s="36"/>
      <c r="J39" s="36"/>
      <c r="K39" s="302">
        <f t="shared" si="2"/>
      </c>
      <c r="L39" s="126"/>
      <c r="M39" s="133"/>
      <c r="N39" s="30"/>
      <c r="O39" s="30"/>
      <c r="P39" s="30"/>
      <c r="Q39" s="303">
        <f t="shared" si="3"/>
        <v>0</v>
      </c>
      <c r="R39" s="178">
        <f t="shared" si="4"/>
      </c>
      <c r="S39" s="180">
        <f t="shared" si="5"/>
      </c>
      <c r="AL39" s="27"/>
      <c r="AM39" s="27"/>
      <c r="AN39" s="27"/>
    </row>
    <row r="40" spans="2:40" ht="15.75">
      <c r="B40" s="300">
        <v>16</v>
      </c>
      <c r="C40" s="301">
        <f t="shared" si="1"/>
      </c>
      <c r="D40" s="144"/>
      <c r="E40" s="144"/>
      <c r="F40" s="147"/>
      <c r="G40" s="148"/>
      <c r="H40" s="33"/>
      <c r="I40" s="36"/>
      <c r="J40" s="36"/>
      <c r="K40" s="302">
        <f t="shared" si="2"/>
      </c>
      <c r="L40" s="126"/>
      <c r="M40" s="133"/>
      <c r="N40" s="30"/>
      <c r="O40" s="30"/>
      <c r="P40" s="30"/>
      <c r="Q40" s="303">
        <f t="shared" si="3"/>
        <v>0</v>
      </c>
      <c r="R40" s="178">
        <f t="shared" si="4"/>
      </c>
      <c r="S40" s="180">
        <f t="shared" si="5"/>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2" sqref="A2"/>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Shasta-FY2018-19RER</dc:title>
  <dc:subject/>
  <dc:creator>Donna Ures</dc:creator>
  <cp:keywords>MHSA, RER</cp:keywords>
  <dc:description/>
  <cp:lastModifiedBy>Saelee, Katie (CSD)@DHCS</cp:lastModifiedBy>
  <cp:lastPrinted>2019-12-05T17:46:40Z</cp:lastPrinted>
  <dcterms:created xsi:type="dcterms:W3CDTF">2017-07-05T19:48:18Z</dcterms:created>
  <dcterms:modified xsi:type="dcterms:W3CDTF">2020-02-05T23:00:24Z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DHCSDOC-1797567310-2221</vt:lpwstr>
  </property>
  <property fmtid="{D5CDD505-2E9C-101B-9397-08002B2CF9AE}" pid="3" name="_dlc_DocIdItemGuid">
    <vt:lpwstr>9fd4813e-585e-4090-941d-bd1ae965186f</vt:lpwstr>
  </property>
  <property fmtid="{D5CDD505-2E9C-101B-9397-08002B2CF9AE}" pid="4" name="_dlc_DocIdUrl">
    <vt:lpwstr>https://dhcscagovauthoring/_layouts/15/DocIdRedir.aspx?ID=DHCSDOC-1797567310-2221, DHCSDOC-1797567310-2221</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Shasta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