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200" windowHeight="1074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<sst xmlns="http://schemas.openxmlformats.org/spreadsheetml/2006/main" count="1441" uniqueCount="798">
  <si>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</si>
  <si>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</si>
  <si>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</si>
  <si>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</si>
  <si>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</si>
  <si>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</si>
  <si>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</si>
  <si>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</si>
  <si>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</si>
  <si>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</si>
  <si>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</si>
  <si>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</si>
  <si>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</si>
  <si>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</si>
  <si>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</si>
  <si>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</si>
  <si>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</si>
  <si>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</si>
  <si>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</si>
  <si>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</si>
  <si>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</si>
  <si>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</si>
  <si>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</si>
  <si>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</si>
  <si>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</si>
  <si>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</si>
  <si>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</si>
  <si>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</si>
  <si>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</si>
  <si>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</si>
  <si>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</si>
  <si>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</si>
  <si>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</si>
  <si>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</si>
  <si>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</si>
  <si>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</si>
  <si>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</si>
  <si>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</si>
  <si>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</si>
  <si>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</si>
  <si>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</si>
  <si>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</si>
  <si>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</si>
  <si>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</si>
  <si>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</si>
  <si>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</si>
  <si>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</si>
  <si>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</si>
  <si>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</si>
  <si>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</si>
  <si>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</si>
  <si>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</si>
  <si>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</si>
  <si>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</si>
  <si>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</si>
  <si>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</si>
  <si>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</si>
  <si>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</si>
  <si>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</si>
  <si>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</si>
  <si>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</si>
  <si>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</si>
  <si>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</si>
  <si>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</si>
  <si>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</si>
  <si>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</si>
  <si>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</si>
  <si>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</si>
  <si>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</si>
  <si>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</si>
  <si>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</si>
  <si>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</si>
  <si>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</si>
  <si>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</si>
  <si>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</si>
  <si>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</si>
  <si>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</si>
  <si>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</si>
  <si>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</si>
  <si>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</si>
  <si>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</si>
  <si>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</si>
  <si>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</si>
  <si>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</si>
  <si>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</si>
  <si>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</si>
  <si>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</si>
  <si>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</si>
  <si>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</si>
  <si>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</si>
  <si>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</si>
  <si>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</si>
  <si>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</si>
  <si>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</si>
  <si>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</si>
  <si>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</si>
  <si>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</si>
  <si>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</si>
  <si>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</si>
  <si>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</si>
  <si>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</si>
  <si>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</si>
  <si>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</si>
  <si>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</si>
  <si>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</si>
  <si>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</si>
  <si>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</si>
  <si>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</si>
  <si>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</si>
  <si>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</si>
  <si>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</si>
  <si>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</si>
  <si>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</si>
  <si>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</si>
  <si>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</si>
  <si>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</si>
  <si>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</si>
  <si>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</si>
  <si>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</si>
  <si>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</si>
  <si>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</si>
  <si>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</si>
  <si>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</si>
  <si>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</si>
  <si>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</si>
  <si>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</si>
  <si>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</si>
  <si>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</si>
  <si>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</si>
  <si>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</si>
  <si>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</si>
  <si>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</si>
  <si>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</si>
  <si>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</si>
  <si>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</si>
  <si>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</si>
  <si>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</si>
  <si>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</si>
  <si>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</si>
  <si>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</si>
  <si>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</si>
  <si>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</si>
  <si>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</si>
  <si>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</si>
  <si>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</si>
  <si>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</si>
  <si>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</si>
  <si>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</si>
  <si>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</si>
  <si>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</si>
  <si>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</si>
  <si>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</si>
  <si>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</si>
  <si>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</si>
  <si>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</si>
  <si>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</si>
  <si>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</si>
  <si>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</si>
  <si>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</si>
  <si>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</si>
  <si>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</si>
  <si>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</si>
  <si>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</si>
  <si>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</si>
  <si>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</si>
  <si>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</si>
  <si>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</si>
  <si>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</si>
  <si>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</si>
  <si>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</si>
  <si>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</si>
  <si>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</si>
  <si>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</si>
  <si>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</si>
  <si>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</si>
  <si>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</si>
  <si>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</si>
  <si>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</si>
  <si>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</si>
  <si>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</si>
  <si>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</si>
  <si>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</si>
  <si>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</si>
  <si>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</si>
  <si>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</si>
  <si>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</si>
  <si>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</si>
  <si>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</si>
  <si>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</si>
  <si>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</si>
  <si>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</si>
  <si>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</si>
  <si>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</si>
  <si>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</si>
  <si>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</si>
  <si>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</si>
  <si>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</si>
  <si>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</si>
  <si>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</si>
  <si>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</si>
  <si>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</si>
  <si>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</si>
  <si>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</si>
  <si>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</si>
  <si>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</si>
  <si>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</si>
  <si>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</si>
  <si>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</si>
  <si>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</si>
  <si>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</si>
  <si>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</si>
  <si>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</si>
  <si>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</si>
  <si>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</si>
  <si>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</si>
  <si>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</si>
  <si>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</si>
  <si>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</si>
  <si>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</si>
  <si>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</si>
  <si>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</si>
  <si>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</si>
  <si>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</si>
  <si>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</si>
  <si>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</si>
  <si>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</si>
  <si>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</si>
  <si>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</si>
  <si>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</si>
  <si>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</si>
  <si>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</si>
  <si>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</si>
  <si>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</si>
  <si>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</si>
  <si>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</si>
  <si>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</si>
  <si>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</si>
  <si>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</si>
  <si>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</si>
  <si>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</si>
  <si>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</si>
  <si>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</si>
  <si>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</si>
  <si>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</si>
  <si>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</si>
  <si>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</si>
  <si>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</si>
  <si>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</si>
  <si>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</si>
  <si>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</si>
  <si>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</si>
  <si>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</si>
  <si>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</si>
  <si>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</si>
  <si>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</si>
  <si>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</si>
  <si>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</si>
  <si>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</si>
  <si>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</si>
  <si>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</si>
  <si>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</si>
  <si>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</si>
  <si>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</si>
  <si>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</si>
  <si>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</si>
  <si>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</si>
  <si>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</si>
  <si>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</si>
  <si>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</si>
  <si>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</si>
  <si>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</si>
  <si>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</si>
  <si>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</si>
  <si>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</si>
  <si>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</si>
  <si>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</si>
  <si>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</si>
  <si>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</si>
  <si>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</si>
  <si>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</si>
  <si>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</si>
  <si>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</si>
  <si>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</si>
  <si>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</si>
  <si>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</si>
  <si>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</si>
  <si>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</si>
  <si>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</si>
  <si>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</si>
  <si>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</si>
  <si>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</si>
  <si>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</si>
  <si>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</si>
  <si>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</si>
  <si>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</si>
  <si>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</si>
  <si>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</si>
  <si>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</si>
  <si>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</si>
  <si>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</si>
  <si>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</si>
  <si>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</si>
  <si>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</si>
  <si>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</si>
  <si>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</si>
  <si>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</si>
  <si>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</si>
  <si>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</si>
  <si>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</si>
  <si>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</si>
  <si>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</si>
  <si>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</si>
  <si>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</si>
  <si>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</si>
  <si>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</si>
  <si>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</si>
  <si>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</si>
  <si>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</si>
  <si>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</si>
  <si>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</si>
  <si>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</si>
  <si>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</si>
  <si>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</si>
  <si>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</si>
  <si>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</si>
  <si>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</si>
  <si>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</si>
  <si>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</si>
  <si>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</si>
  <si>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</si>
  <si>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</si>
  <si>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</si>
  <si>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</si>
  <si>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</si>
  <si>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</si>
  <si>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</si>
  <si>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</si>
  <si>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</si>
  <si>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</si>
  <si>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</si>
  <si>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</si>
  <si>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</si>
  <si>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</si>
  <si>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</si>
  <si>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</si>
  <si>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</si>
  <si>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</si>
  <si>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</si>
  <si>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</si>
  <si>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</si>
  <si>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</si>
  <si>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</si>
  <si>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</si>
  <si>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</si>
  <si>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</si>
  <si>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</si>
  <si>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</si>
  <si>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</si>
  <si>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</si>
  <si>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</si>
  <si>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</si>
  <si>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</si>
  <si>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</si>
  <si>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</si>
  <si>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</si>
  <si>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</si>
  <si>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</si>
  <si>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</si>
  <si>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</si>
  <si>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</si>
  <si>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</si>
  <si>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</si>
  <si>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</si>
  <si>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</si>
  <si>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</si>
  <si>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</si>
  <si>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</si>
  <si>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</si>
  <si>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</si>
  <si>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</si>
  <si>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</si>
  <si>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</si>
  <si>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</si>
  <si>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</si>
  <si>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</si>
  <si>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</si>
  <si>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</si>
  <si>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</si>
  <si>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</si>
  <si>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</si>
  <si>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</si>
  <si>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</si>
  <si>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</si>
  <si>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</si>
  <si>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</si>
  <si>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</si>
  <si>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</si>
  <si>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</si>
  <si>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</si>
  <si>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</si>
  <si>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</si>
  <si>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</si>
  <si>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</si>
  <si>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</si>
  <si>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</si>
  <si>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</si>
  <si>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</si>
  <si>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</si>
  <si>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</si>
  <si>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</si>
  <si>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</si>
  <si>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</si>
  <si>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</si>
  <si>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</si>
  <si>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</si>
  <si>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</si>
  <si>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</si>
  <si>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</si>
  <si>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</si>
  <si>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</si>
  <si>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</si>
  <si>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</si>
  <si>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</si>
  <si>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</si>
  <si>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</si>
  <si>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</si>
  <si>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</si>
  <si>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</si>
  <si>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</si>
  <si>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</si>
  <si>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</si>
  <si>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</si>
  <si>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</si>
  <si>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</si>
  <si>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</si>
  <si>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</si>
  <si>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</si>
  <si>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</si>
  <si>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</si>
  <si>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</si>
  <si>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</si>
  <si>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</si>
  <si>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</si>
  <si>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</si>
  <si>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</si>
  <si>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</si>
  <si>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</si>
  <si>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</si>
  <si>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</si>
  <si>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</si>
  <si>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</si>
  <si>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</si>
  <si>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</si>
  <si>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</si>
  <si>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</si>
  <si>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</si>
  <si>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</si>
  <si>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</si>
  <si>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</si>
  <si>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</si>
  <si>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</si>
  <si>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</si>
  <si>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</si>
  <si>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</si>
  <si>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</si>
  <si>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</si>
  <si>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</si>
  <si>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</si>
  <si>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</si>
  <si>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</si>
  <si>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</si>
  <si>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</si>
  <si>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</si>
  <si>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</si>
  <si>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</si>
  <si>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</si>
  <si>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</si>
  <si>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</si>
  <si>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</si>
  <si>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</si>
  <si>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</si>
  <si>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</si>
  <si>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</si>
  <si>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</si>
  <si>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</si>
  <si>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</si>
  <si>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</si>
  <si>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</si>
  <si>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</si>
  <si>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</si>
  <si>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</si>
  <si>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</si>
  <si>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</si>
  <si>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</si>
  <si>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</si>
  <si>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</si>
  <si>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</si>
  <si>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</si>
  <si>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</si>
  <si>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</si>
  <si>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</si>
  <si>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</si>
  <si>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</si>
  <si>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</si>
  <si>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</si>
  <si>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</si>
  <si>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</si>
  <si>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</si>
  <si>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</si>
  <si>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</si>
  <si>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</si>
  <si>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</si>
  <si>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</si>
  <si>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</si>
  <si>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</si>
  <si>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</si>
  <si>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</si>
  <si>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</si>
  <si>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</si>
  <si>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</si>
  <si>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</si>
  <si>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</si>
  <si>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</si>
  <si>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</si>
  <si>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</si>
  <si>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</si>
  <si>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</si>
  <si>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</si>
  <si>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</si>
  <si>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</si>
  <si>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</si>
  <si>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</si>
  <si>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</si>
  <si>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</si>
  <si>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</si>
  <si>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</si>
  <si>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</si>
  <si>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</si>
  <si>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</si>
  <si>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</si>
  <si>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</si>
  <si>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</si>
  <si>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</si>
  <si>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</si>
  <si>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</si>
  <si>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</si>
  <si>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</si>
  <si>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</si>
  <si>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</si>
  <si>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</si>
  <si>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</si>
  <si>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</si>
  <si>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</si>
  <si>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</si>
  <si>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</si>
  <si>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</si>
  <si>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</si>
  <si>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</si>
  <si>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</si>
  <si>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</si>
  <si>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</si>
  <si>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</si>
  <si>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</si>
  <si>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</si>
  <si>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</si>
  <si>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</si>
  <si>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</si>
  <si>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</si>
  <si>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</si>
  <si>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</si>
  <si>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</si>
  <si>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</si>
  <si>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</si>
  <si>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</si>
  <si>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</si>
  <si>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</si>
  <si>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</si>
  <si>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</si>
  <si>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</si>
  <si>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</si>
  <si>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</si>
  <si>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</si>
  <si>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</si>
  <si>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</si>
  <si>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</si>
  <si>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</si>
  <si>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</si>
  <si>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</si>
  <si>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</si>
  <si>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</si>
  <si>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</si>
  <si>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</si>
  <si>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</si>
  <si>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</si>
  <si>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</si>
  <si>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</si>
  <si>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</si>
  <si>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</si>
  <si>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</si>
  <si>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</si>
  <si>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</si>
  <si>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</si>
  <si>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</si>
  <si>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</si>
  <si>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</si>
  <si>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</si>
  <si>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</si>
  <si>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</si>
  <si>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</si>
  <si>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</si>
  <si>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</si>
  <si>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</si>
  <si>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</si>
  <si>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</si>
  <si>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</si>
  <si>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</si>
  <si>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</si>
  <si>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</si>
  <si>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</si>
  <si>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</si>
  <si>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</si>
  <si>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</si>
  <si>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</si>
  <si>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</si>
  <si>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</si>
  <si>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</si>
  <si>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</si>
  <si>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</si>
  <si>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</si>
  <si>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</si>
  <si>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</si>
  <si>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</si>
  <si>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</si>
  <si>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</si>
  <si>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</si>
  <si>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</si>
  <si>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</si>
  <si>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</si>
  <si>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</si>
  <si>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</si>
  <si>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</si>
  <si>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</si>
  <si>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</si>
  <si>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</si>
  <si>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</si>
  <si>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</si>
  <si>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</si>
  <si>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</si>
  <si>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</si>
  <si>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</si>
  <si>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</si>
  <si>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</si>
  <si>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</si>
  <si>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</si>
  <si>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</si>
  <si>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</si>
  <si>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</si>
  <si>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</si>
  <si>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</si>
  <si>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</si>
  <si>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</si>
  <si>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</si>
  <si>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</si>
  <si>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</si>
  <si>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</si>
  <si>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</si>
  <si>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</si>
  <si>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</si>
  <si>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</si>
  <si>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</si>
  <si>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</si>
  <si>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</si>
  <si>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</si>
  <si>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</si>
  <si>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</si>
  <si>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</si>
  <si>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</si>
  <si>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</si>
  <si>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</si>
  <si>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</si>
  <si>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</si>
  <si>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</si>
  <si>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</si>
  <si>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</si>
  <si>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</si>
  <si>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</si>
  <si>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</si>
  <si>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</si>
  <si>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</si>
  <si>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</si>
  <si>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</si>
  <si>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</si>
  <si>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</si>
  <si>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</si>
  <si>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</si>
  <si>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</si>
  <si>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</si>
  <si>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</si>
  <si>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</si>
  <si>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</si>
  <si>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</si>
  <si>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</si>
  <si>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</si>
  <si>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</si>
  <si>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</si>
  <si>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</si>
  <si>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</si>
  <si>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</si>
  <si>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</si>
  <si>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</si>
  <si>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</si>
  <si>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</si>
  <si>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</si>
  <si>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</si>
  <si>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</si>
  <si>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</si>
  <si>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</si>
  <si>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</si>
  <si>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</si>
  <si>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</si>
  <si>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</si>
  <si>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</si>
  <si>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</si>
  <si>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</si>
  <si>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</si>
  <si>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</si>
  <si>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</si>
  <si>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</si>
  <si>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</si>
  <si>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</si>
  <si>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</si>
  <si>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</si>
  <si>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</si>
  <si>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</si>
  <si>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</si>
  <si>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</si>
  <si>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</si>
  <si>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</si>
  <si>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</si>
  <si>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</si>
  <si>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</si>
  <si>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</si>
  <si>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</si>
  <si>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</si>
  <si>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</si>
  <si>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</si>
  <si>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</si>
  <si>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</si>
  <si>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</si>
  <si>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</si>
  <si>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</si>
  <si>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</si>
  <si>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</si>
  <si>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</si>
  <si>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</si>
  <si>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</si>
  <si>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</si>
  <si>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</si>
  <si>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</si>
  <si>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</si>
  <si>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</si>
  <si>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</si>
  <si>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</si>
  <si>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</si>
  <si>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</si>
  <si>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</si>
  <si>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</si>
  <si>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</si>
  <si>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</si>
  <si>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</si>
  <si>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</si>
  <si>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</si>
  <si>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</si>
  <si>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</si>
  <si>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</si>
  <si>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</si>
  <si>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</si>
  <si>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</si>
  <si>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</si>
  <si>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</si>
  <si>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</si>
  <si>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</si>
  <si>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</si>
  <si>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 xml:space="preserve">455 K St </t>
  </si>
  <si>
    <t xml:space="preserve">Crescent City </t>
  </si>
  <si>
    <t>Christy Schaad</t>
  </si>
  <si>
    <t>Administrative Anayst</t>
  </si>
  <si>
    <t>clschaad@co.del-norte.ca.us</t>
  </si>
  <si>
    <t>707-464-0860 X2562</t>
  </si>
  <si>
    <t>Coastal Connections</t>
  </si>
  <si>
    <t>Reach for Success</t>
  </si>
  <si>
    <t>PEI Community Program</t>
  </si>
  <si>
    <t xml:space="preserve">Rec Department </t>
  </si>
  <si>
    <t xml:space="preserve">Text to Grow </t>
  </si>
  <si>
    <t>Capital Facilities - Jail Project</t>
  </si>
  <si>
    <t xml:space="preserve">FSP Service center, bridge team, arch team </t>
  </si>
  <si>
    <t>Outreach- service center, bridge team, arch team</t>
  </si>
  <si>
    <t>GSD -service center, bridge team, arch team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</si>
</sst>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Q128"/>
  <sheetViews>
    <sheetView showGridLines="0" zoomScale="80" zoomScaleNormal="80" zoomScaleSheetLayoutView="40" zoomScalePageLayoutView="0" workbookViewId="0" topLeftCell="A7">
      <selection activeCell="M20" sqref="M20"/>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Del Norte</v>
      </c>
      <c r="G9" s="226" t="s">
        <v>1</v>
      </c>
      <c r="H9" s="264">
        <f>IF(ISBLANK('1. Information'!D9),"",'1. Information'!D9)</f>
        <v>44225</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122.7</v>
      </c>
      <c r="G15" s="136"/>
      <c r="H15" s="136"/>
      <c r="I15" s="136"/>
      <c r="J15" s="136"/>
      <c r="K15" s="246">
        <f>SUM(F15:J15)</f>
        <v>122.7</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2468.3</v>
      </c>
      <c r="G19" s="312">
        <f>SUMIF($K$29:$K$128,"Project Administration",M$29:M$128)</f>
        <v>0</v>
      </c>
      <c r="H19" s="311">
        <f>SUMIF($K$29:$K$128,"Project Administration",N$29:N$128)</f>
        <v>0</v>
      </c>
      <c r="I19" s="311">
        <f>SUMIF($K$29:$K$128,"Project Administration",O$29:O$128)</f>
        <v>0</v>
      </c>
      <c r="J19" s="311">
        <f>SUMIF($K$29:$K$128,"Project Administration",P$29:P$128)</f>
        <v>0</v>
      </c>
      <c r="K19" s="246">
        <f>SUM(F19:J19)</f>
        <v>2468.3</v>
      </c>
      <c r="L19" s="175"/>
      <c r="M19" s="175"/>
      <c r="N19" s="175"/>
      <c r="O19" s="27"/>
      <c r="P19" s="27"/>
    </row>
    <row r="20" spans="2:16" ht="15.75">
      <c r="B20" s="300">
        <v>6</v>
      </c>
      <c r="C20" s="308" t="s">
        <v>145</v>
      </c>
      <c r="D20" s="242"/>
      <c r="E20" s="243"/>
      <c r="F20" s="310">
        <f>SUMIF($K$29:$K$128,"Project Evaluation",L$29:L$128)</f>
        <v>317.94</v>
      </c>
      <c r="G20" s="313">
        <f>SUMIF($K$29:$K$128,"Project Evaluation",M$29:M$128)</f>
        <v>0</v>
      </c>
      <c r="H20" s="310">
        <f>SUMIF($K$29:$K$128,"Project Evaluation",N$29:N$128)</f>
        <v>0</v>
      </c>
      <c r="I20" s="310">
        <f>SUMIF($K$29:$K$128,"Project Evaluation",O$29:O$128)</f>
        <v>0</v>
      </c>
      <c r="J20" s="310">
        <f>SUMIF($K$29:$K$128,"Project Evaluation",P$29:P$128)</f>
        <v>0</v>
      </c>
      <c r="K20" s="246">
        <f>SUM(F20:J20)</f>
        <v>317.94</v>
      </c>
      <c r="L20" s="175"/>
      <c r="M20" s="175"/>
      <c r="N20" s="175"/>
      <c r="O20" s="27"/>
      <c r="P20" s="27"/>
    </row>
    <row r="21" spans="2:16" ht="15.75">
      <c r="B21" s="300">
        <v>7</v>
      </c>
      <c r="C21" s="308" t="s">
        <v>196</v>
      </c>
      <c r="D21" s="242"/>
      <c r="E21" s="243"/>
      <c r="F21" s="310">
        <f>SUMIF($K$29:$K$128,"Project Direct",L$29:L$128)</f>
        <v>57840.72</v>
      </c>
      <c r="G21" s="313">
        <f>SUMIF($K$29:$K$128,"Project Direct",M$29:M$128)</f>
        <v>0</v>
      </c>
      <c r="H21" s="310">
        <f>SUMIF($K$29:$K$128,"Project Direct",N$29:N$128)</f>
        <v>0</v>
      </c>
      <c r="I21" s="310">
        <f>SUMIF($K$29:$K$128,"Project Direct",O$29:O$128)</f>
        <v>0</v>
      </c>
      <c r="J21" s="310">
        <f>SUMIF($K$29:$K$128,"Project Direct",P$29:P$128)</f>
        <v>0</v>
      </c>
      <c r="K21" s="246">
        <f>SUM(F21:J21)</f>
        <v>57840.72</v>
      </c>
      <c r="L21" s="175"/>
      <c r="M21" s="175"/>
      <c r="N21" s="175"/>
      <c r="O21" s="27"/>
      <c r="P21" s="27"/>
    </row>
    <row r="22" spans="2:16" ht="15.75">
      <c r="B22" s="300">
        <v>8</v>
      </c>
      <c r="C22" s="308" t="s">
        <v>146</v>
      </c>
      <c r="D22" s="314"/>
      <c r="F22" s="315">
        <f>SUM(F19:F21)</f>
        <v>60626.96</v>
      </c>
      <c r="G22" s="316">
        <f>SUM(G19:G21)</f>
        <v>0</v>
      </c>
      <c r="H22" s="315">
        <f>SUM(H19:H21)</f>
        <v>0</v>
      </c>
      <c r="I22" s="315">
        <f>SUM(I19:I21)</f>
        <v>0</v>
      </c>
      <c r="J22" s="315">
        <f>SUM(J19:J21)</f>
        <v>0</v>
      </c>
      <c r="K22" s="246">
        <f>SUM(F22:J22)</f>
        <v>60626.96</v>
      </c>
      <c r="L22" s="175"/>
      <c r="M22" s="175"/>
      <c r="N22" s="175"/>
      <c r="O22" s="27"/>
      <c r="P22" s="27"/>
    </row>
    <row r="23" spans="2:16" ht="30.75" customHeight="1">
      <c r="B23" s="300">
        <v>9</v>
      </c>
      <c r="C23" s="317" t="s">
        <v>239</v>
      </c>
      <c r="D23" s="318"/>
      <c r="E23" s="319"/>
      <c r="F23" s="320">
        <f>SUM(F15:F16,F18:F21)</f>
        <v>60749.66</v>
      </c>
      <c r="G23" s="320">
        <f>SUM(G15:G16,G19:G21)</f>
        <v>0</v>
      </c>
      <c r="H23" s="320">
        <f>SUM(H15:H16,H19:H21)</f>
        <v>0</v>
      </c>
      <c r="I23" s="320">
        <f>SUM(I15:I16,I19:I21)</f>
        <v>0</v>
      </c>
      <c r="J23" s="320">
        <f>SUM(J15:J16,J19:J21)</f>
        <v>0</v>
      </c>
      <c r="K23" s="279">
        <f>SUM(F23:J23)</f>
        <v>60749.66</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8</v>
      </c>
      <c r="E29" s="144" t="s">
        <v>793</v>
      </c>
      <c r="F29" s="38"/>
      <c r="G29" s="38">
        <v>43307</v>
      </c>
      <c r="H29" s="38">
        <v>43313</v>
      </c>
      <c r="I29" s="30">
        <v>262846</v>
      </c>
      <c r="J29" s="30"/>
      <c r="K29" s="326" t="s">
        <v>140</v>
      </c>
      <c r="L29" s="32">
        <v>2468.3</v>
      </c>
      <c r="M29" s="32"/>
      <c r="N29" s="30"/>
      <c r="O29" s="30"/>
      <c r="P29" s="34"/>
      <c r="Q29" s="246">
        <f>SUM(L29:P29)</f>
        <v>2468.3</v>
      </c>
    </row>
    <row r="30" spans="2:17" ht="15">
      <c r="B30" s="276">
        <v>10</v>
      </c>
      <c r="C30" s="218" t="s">
        <v>25</v>
      </c>
      <c r="D30" s="327">
        <f aca="true" t="shared" si="0" ref="D30:J31">IF(ISBLANK(D29),"",D29)</f>
        <v>8</v>
      </c>
      <c r="E30" s="328" t="str">
        <f t="shared" si="0"/>
        <v>Text to Grow </v>
      </c>
      <c r="F30" s="329">
        <f t="shared" si="0"/>
      </c>
      <c r="G30" s="329">
        <f t="shared" si="0"/>
        <v>43307</v>
      </c>
      <c r="H30" s="329">
        <f t="shared" si="0"/>
        <v>43313</v>
      </c>
      <c r="I30" s="330">
        <f t="shared" si="0"/>
        <v>262846</v>
      </c>
      <c r="J30" s="330">
        <f t="shared" si="0"/>
      </c>
      <c r="K30" s="275" t="s">
        <v>141</v>
      </c>
      <c r="L30" s="32">
        <v>317.94</v>
      </c>
      <c r="M30" s="32"/>
      <c r="N30" s="30"/>
      <c r="O30" s="30"/>
      <c r="P30" s="34"/>
      <c r="Q30" s="246">
        <f aca="true" t="shared" si="1" ref="Q30:Q60">SUM(L30:P30)</f>
        <v>317.94</v>
      </c>
    </row>
    <row r="31" spans="2:17" ht="15">
      <c r="B31" s="276">
        <v>10</v>
      </c>
      <c r="C31" s="218" t="s">
        <v>27</v>
      </c>
      <c r="D31" s="327">
        <f aca="true" t="shared" si="2" ref="D31:I31">IF(ISBLANK(D29),"",D29)</f>
        <v>8</v>
      </c>
      <c r="E31" s="331" t="str">
        <f t="shared" si="2"/>
        <v>Text to Grow </v>
      </c>
      <c r="F31" s="332">
        <f t="shared" si="2"/>
      </c>
      <c r="G31" s="332">
        <f t="shared" si="2"/>
        <v>43307</v>
      </c>
      <c r="H31" s="332">
        <f t="shared" si="2"/>
        <v>43313</v>
      </c>
      <c r="I31" s="275">
        <f t="shared" si="2"/>
        <v>262846</v>
      </c>
      <c r="J31" s="275">
        <f t="shared" si="0"/>
      </c>
      <c r="K31" s="275" t="s">
        <v>197</v>
      </c>
      <c r="L31" s="32">
        <v>57840.72</v>
      </c>
      <c r="M31" s="32"/>
      <c r="N31" s="30"/>
      <c r="O31" s="30"/>
      <c r="P31" s="34"/>
      <c r="Q31" s="246">
        <f t="shared" si="1"/>
        <v>57840.72</v>
      </c>
    </row>
    <row r="32" spans="2:17" ht="15.75">
      <c r="B32" s="333">
        <v>10</v>
      </c>
      <c r="C32" s="333" t="s">
        <v>202</v>
      </c>
      <c r="D32" s="334">
        <f aca="true" t="shared" si="3" ref="D32:J32">IF(ISBLANK(D29),"",D29)</f>
        <v>8</v>
      </c>
      <c r="E32" s="335" t="str">
        <f t="shared" si="3"/>
        <v>Text to Grow </v>
      </c>
      <c r="F32" s="336">
        <f t="shared" si="3"/>
      </c>
      <c r="G32" s="336">
        <f t="shared" si="3"/>
        <v>43307</v>
      </c>
      <c r="H32" s="336">
        <f t="shared" si="3"/>
        <v>43313</v>
      </c>
      <c r="I32" s="337">
        <f t="shared" si="3"/>
        <v>262846</v>
      </c>
      <c r="J32" s="337">
        <f t="shared" si="3"/>
      </c>
      <c r="K32" s="279" t="s">
        <v>217</v>
      </c>
      <c r="L32" s="338">
        <f>SUM(L29:L31)</f>
        <v>60626.96</v>
      </c>
      <c r="M32" s="338">
        <f>SUM(M29:M31)</f>
        <v>0</v>
      </c>
      <c r="N32" s="339">
        <f>SUM(N29:N31)</f>
        <v>0</v>
      </c>
      <c r="O32" s="339">
        <f>SUM(O29:O31)</f>
        <v>0</v>
      </c>
      <c r="P32" s="340">
        <f>SUM(P29:P31)</f>
        <v>0</v>
      </c>
      <c r="Q32" s="279">
        <f t="shared" si="1"/>
        <v>60626.96</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1" fitToWidth="1" horizontalDpi="600" verticalDpi="600" orientation="portrait" scale="31"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pageSetUpPr fitToPage="1"/>
  </sheetPr>
  <dimension ref="A1:V32"/>
  <sheetViews>
    <sheetView showGridLines="0" zoomScale="80" zoomScaleNormal="80" zoomScaleSheetLayoutView="55" zoomScalePageLayoutView="0" workbookViewId="0" topLeftCell="A1">
      <selection activeCell="G22" sqref="G2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Del Norte</v>
      </c>
      <c r="F9" s="226" t="s">
        <v>1</v>
      </c>
      <c r="G9" s="346">
        <f>IF(ISBLANK('1. Information'!D9),"",'1. Information'!D9)</f>
        <v>44225</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683.34</v>
      </c>
      <c r="G15" s="136"/>
      <c r="H15" s="136"/>
      <c r="I15" s="136"/>
      <c r="J15" s="136"/>
      <c r="K15" s="241">
        <f>SUM(F15:J15)</f>
        <v>683.34</v>
      </c>
      <c r="L15" s="175"/>
      <c r="M15" s="175"/>
      <c r="N15" s="27"/>
      <c r="O15" s="27"/>
    </row>
    <row r="16" spans="1:15" ht="15.75">
      <c r="A16" s="27"/>
      <c r="B16" s="300">
        <v>2</v>
      </c>
      <c r="C16" s="163" t="s">
        <v>14</v>
      </c>
      <c r="D16" s="242"/>
      <c r="E16" s="350"/>
      <c r="F16" s="136">
        <v>97.62</v>
      </c>
      <c r="G16" s="136"/>
      <c r="H16" s="136"/>
      <c r="I16" s="136"/>
      <c r="J16" s="136"/>
      <c r="K16" s="241">
        <f aca="true" t="shared" si="0" ref="K16:K21">SUM(F16:J16)</f>
        <v>97.62</v>
      </c>
      <c r="L16" s="175"/>
      <c r="M16" s="175"/>
      <c r="N16" s="27"/>
      <c r="O16" s="27"/>
    </row>
    <row r="17" spans="1:15" ht="15.75">
      <c r="A17" s="27"/>
      <c r="B17" s="300">
        <v>3</v>
      </c>
      <c r="C17" s="163" t="s">
        <v>198</v>
      </c>
      <c r="D17" s="242"/>
      <c r="E17" s="350"/>
      <c r="F17" s="136">
        <v>7463.44</v>
      </c>
      <c r="G17" s="136"/>
      <c r="H17" s="136"/>
      <c r="I17" s="136"/>
      <c r="J17" s="136"/>
      <c r="K17" s="241">
        <f t="shared" si="0"/>
        <v>7463.44</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50142.9</v>
      </c>
      <c r="G20" s="351">
        <f>SUM(F28:F32)</f>
        <v>0</v>
      </c>
      <c r="H20" s="330">
        <f>SUM(G28:G32)</f>
        <v>0</v>
      </c>
      <c r="I20" s="330">
        <f>SUM(H28:H32)</f>
        <v>0</v>
      </c>
      <c r="J20" s="330">
        <f>SUM(I28:I32)</f>
        <v>0</v>
      </c>
      <c r="K20" s="246">
        <f t="shared" si="0"/>
        <v>50142.9</v>
      </c>
      <c r="L20" s="175"/>
      <c r="M20" s="175"/>
      <c r="N20" s="27"/>
      <c r="O20" s="27"/>
    </row>
    <row r="21" spans="1:15" ht="30.75" customHeight="1">
      <c r="A21" s="27"/>
      <c r="B21" s="300">
        <v>7</v>
      </c>
      <c r="C21" s="277" t="s">
        <v>188</v>
      </c>
      <c r="D21" s="277"/>
      <c r="E21" s="277"/>
      <c r="F21" s="279">
        <f>SUM(F15:F17,F19:F20)</f>
        <v>58387.3</v>
      </c>
      <c r="G21" s="251">
        <f>SUM(G15:G17,G20)</f>
        <v>0</v>
      </c>
      <c r="H21" s="250">
        <f>SUM(H15:H17,H20)</f>
        <v>0</v>
      </c>
      <c r="I21" s="250">
        <f>SUM(I15:I17,I20)</f>
        <v>0</v>
      </c>
      <c r="J21" s="250">
        <f>SUM(J15:J17,J20)</f>
        <v>0</v>
      </c>
      <c r="K21" s="279">
        <f t="shared" si="0"/>
        <v>58387.3</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8</v>
      </c>
      <c r="D29" s="355" t="s">
        <v>99</v>
      </c>
      <c r="E29" s="31">
        <v>27279.59</v>
      </c>
      <c r="F29" s="32"/>
      <c r="G29" s="31"/>
      <c r="H29" s="31"/>
      <c r="I29" s="128"/>
      <c r="J29" s="275">
        <f>SUM(E29:I29)</f>
        <v>27279.59</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v>8</v>
      </c>
      <c r="D31" s="355" t="s">
        <v>101</v>
      </c>
      <c r="E31" s="31">
        <v>310</v>
      </c>
      <c r="F31" s="32"/>
      <c r="G31" s="31"/>
      <c r="H31" s="31"/>
      <c r="I31" s="128"/>
      <c r="J31" s="275">
        <f>SUM(E31:I31)</f>
        <v>310</v>
      </c>
      <c r="K31" s="175"/>
      <c r="L31" s="175"/>
      <c r="M31" s="175"/>
      <c r="N31" s="175"/>
      <c r="O31" s="175"/>
      <c r="P31" s="175"/>
      <c r="Q31" s="175"/>
      <c r="R31" s="175"/>
    </row>
    <row r="32" spans="1:18" ht="15.75">
      <c r="A32" s="27"/>
      <c r="B32" s="300">
        <v>12</v>
      </c>
      <c r="C32" s="301">
        <f>IF(J32&lt;&gt;0,VLOOKUP($D$9,Info_County_Code,2,FALSE),"")</f>
        <v>8</v>
      </c>
      <c r="D32" s="355" t="s">
        <v>102</v>
      </c>
      <c r="E32" s="31">
        <v>22553.31</v>
      </c>
      <c r="F32" s="32"/>
      <c r="G32" s="31"/>
      <c r="H32" s="31"/>
      <c r="I32" s="128"/>
      <c r="J32" s="275">
        <f>SUM(E32:I32)</f>
        <v>22553.31</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1" fitToWidth="1" horizontalDpi="600" verticalDpi="600" orientation="portrait" scale="47"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pageSetUpPr fitToPage="1"/>
  </sheetPr>
  <dimension ref="A1:W46"/>
  <sheetViews>
    <sheetView showGridLines="0" zoomScale="80" zoomScaleNormal="80" zoomScaleSheetLayoutView="40" zoomScalePageLayoutView="0" workbookViewId="0" topLeftCell="A1">
      <selection activeCell="F27" sqref="F27"/>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Del Norte</v>
      </c>
      <c r="E9" s="8"/>
      <c r="F9" s="162" t="s">
        <v>1</v>
      </c>
      <c r="G9" s="264">
        <f>IF(ISBLANK('1. Information'!D9),"",'1. Information'!D9)</f>
        <v>44225</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683.34</v>
      </c>
      <c r="G15" s="136"/>
      <c r="H15" s="136"/>
      <c r="I15" s="136"/>
      <c r="J15" s="136"/>
      <c r="K15" s="326">
        <f>SUM(F15:J15)</f>
        <v>683.34</v>
      </c>
      <c r="L15" s="175"/>
      <c r="M15" s="175"/>
      <c r="U15" s="27"/>
      <c r="V15" s="27"/>
      <c r="W15" s="27"/>
    </row>
    <row r="16" spans="2:23" ht="15.75">
      <c r="B16" s="300">
        <v>2</v>
      </c>
      <c r="C16" s="162" t="s">
        <v>309</v>
      </c>
      <c r="D16" s="225"/>
      <c r="E16" s="358"/>
      <c r="F16" s="136">
        <v>97.62</v>
      </c>
      <c r="G16" s="136"/>
      <c r="H16" s="136"/>
      <c r="I16" s="136"/>
      <c r="J16" s="136"/>
      <c r="K16" s="326">
        <f>SUM(F16:J16)</f>
        <v>97.62</v>
      </c>
      <c r="L16" s="175"/>
      <c r="M16" s="175"/>
      <c r="U16" s="27"/>
      <c r="V16" s="27"/>
      <c r="W16" s="27"/>
    </row>
    <row r="17" spans="2:23" ht="15.75">
      <c r="B17" s="300">
        <v>3</v>
      </c>
      <c r="C17" s="162" t="s">
        <v>311</v>
      </c>
      <c r="D17" s="225"/>
      <c r="E17" s="358"/>
      <c r="F17" s="136">
        <v>195.24</v>
      </c>
      <c r="G17" s="136"/>
      <c r="H17" s="136"/>
      <c r="I17" s="136"/>
      <c r="J17" s="136"/>
      <c r="K17" s="326">
        <f>SUM(F17:J17)</f>
        <v>195.24</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39802.63</v>
      </c>
      <c r="G20" s="351">
        <f>SUM(H27:H46)</f>
        <v>0</v>
      </c>
      <c r="H20" s="330">
        <f>SUM(I27:I46)</f>
        <v>0</v>
      </c>
      <c r="I20" s="330">
        <f>SUM(J27:J46)</f>
        <v>0</v>
      </c>
      <c r="J20" s="275">
        <f>SUM(K27:K46)</f>
        <v>0</v>
      </c>
      <c r="K20" s="326">
        <f>SUM(F20:J20)</f>
        <v>39802.63</v>
      </c>
      <c r="L20" s="175"/>
      <c r="M20" s="175"/>
      <c r="U20" s="27"/>
      <c r="V20" s="27"/>
      <c r="W20" s="27"/>
    </row>
    <row r="21" spans="2:23" ht="30.75" customHeight="1">
      <c r="B21" s="300">
        <v>7</v>
      </c>
      <c r="C21" s="359" t="s">
        <v>768</v>
      </c>
      <c r="D21" s="360"/>
      <c r="E21" s="361"/>
      <c r="F21" s="279">
        <f>SUM(F15:F17,F19:F20)</f>
        <v>40778.829999999994</v>
      </c>
      <c r="G21" s="251">
        <f>SUM(G15:G17,G20)</f>
        <v>0</v>
      </c>
      <c r="H21" s="251">
        <f>SUM(H15:H17,H20)</f>
        <v>0</v>
      </c>
      <c r="I21" s="251">
        <f>SUM(I15:I17,I20)</f>
        <v>0</v>
      </c>
      <c r="J21" s="251">
        <f>SUM(J15:J17,J20)</f>
        <v>0</v>
      </c>
      <c r="K21" s="250">
        <f>SUM(F21:J21)</f>
        <v>40778.829999999994</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8</v>
      </c>
      <c r="D27" s="144" t="s">
        <v>794</v>
      </c>
      <c r="E27" s="144"/>
      <c r="F27" s="127" t="s">
        <v>154</v>
      </c>
      <c r="G27" s="126">
        <v>39802.63</v>
      </c>
      <c r="H27" s="126"/>
      <c r="I27" s="126"/>
      <c r="J27" s="129"/>
      <c r="K27" s="126"/>
      <c r="L27" s="364">
        <f>SUM(G27:K27)</f>
        <v>39802.63</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1" fitToWidth="1" horizontalDpi="600" verticalDpi="600" orientation="portrait" scale="37"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E21" sqref="E2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Del Norte</v>
      </c>
      <c r="E9" s="2"/>
      <c r="F9" s="365" t="s">
        <v>156</v>
      </c>
      <c r="G9" s="264">
        <f>IF(ISBLANK('1. Information'!D9),"",'1. Information'!D9)</f>
        <v>44225</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Del Norte</v>
      </c>
      <c r="F9" s="226" t="s">
        <v>1</v>
      </c>
      <c r="G9" s="346">
        <f>IF(ISBLANK('1. Information'!D9),"",'1. Information'!D9)</f>
        <v>44225</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C6" sqref="C6"/>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44225</v>
      </c>
    </row>
    <row r="10" spans="2:4" ht="34.5" customHeight="1">
      <c r="B10" s="203">
        <v>2</v>
      </c>
      <c r="C10" s="205" t="s">
        <v>303</v>
      </c>
      <c r="D10" s="151" t="s">
        <v>782</v>
      </c>
    </row>
    <row r="11" spans="2:4" ht="34.5" customHeight="1">
      <c r="B11" s="203">
        <v>3</v>
      </c>
      <c r="C11" s="204" t="s">
        <v>0</v>
      </c>
      <c r="D11" s="135" t="s">
        <v>43</v>
      </c>
    </row>
    <row r="12" spans="2:4" ht="34.5" customHeight="1">
      <c r="B12" s="203">
        <v>4</v>
      </c>
      <c r="C12" s="206" t="s">
        <v>113</v>
      </c>
      <c r="D12" s="182">
        <f>IF(ISBLANK(D11),"",VLOOKUP(D11,Info_County_Code,2))</f>
        <v>8</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95531</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Del Norte</v>
      </c>
      <c r="F9" s="226" t="s">
        <v>1</v>
      </c>
      <c r="G9" s="346">
        <f>IF(ISBLANK('1. Information'!D9),"",'1. Information'!D9)</f>
        <v>44225</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Del Norte</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A1">
      <selection activeCell="C26" sqref="C26"/>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Del Norte</v>
      </c>
      <c r="F9" s="210" t="s">
        <v>1</v>
      </c>
      <c r="G9" s="185">
        <f>IF(ISBLANK('1. Information'!D9),"",'1. Information'!D9)</f>
        <v>44225</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f>41683.98+11143.49</f>
        <v>52827.47</v>
      </c>
      <c r="E14" s="149">
        <v>16601.81</v>
      </c>
      <c r="F14" s="149">
        <v>9195.04</v>
      </c>
      <c r="G14" s="149">
        <v>3177.08</v>
      </c>
      <c r="H14" s="149">
        <v>14940.79</v>
      </c>
      <c r="I14" s="186">
        <f>SUM(D14:H14)</f>
        <v>96742.19</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614386</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614386</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1753272.3199999998</v>
      </c>
      <c r="E31" s="194">
        <f>'4. PEI'!F22</f>
        <v>586379.06</v>
      </c>
      <c r="F31" s="194">
        <f>'5. INN'!F23</f>
        <v>60749.66</v>
      </c>
      <c r="G31" s="194">
        <f>'6. WET'!F21</f>
        <v>58387.3</v>
      </c>
      <c r="H31" s="194">
        <f>'7. CFTN'!F21</f>
        <v>40778.829999999994</v>
      </c>
      <c r="I31" s="194">
        <f>SUM(D31:H31)</f>
        <v>2499567.17</v>
      </c>
    </row>
    <row r="32" spans="2:9" ht="15">
      <c r="B32" s="211">
        <v>10</v>
      </c>
      <c r="C32" s="223" t="s">
        <v>4</v>
      </c>
      <c r="D32" s="189">
        <f>'3. CSS'!G27</f>
        <v>120799.68</v>
      </c>
      <c r="E32" s="189">
        <f>'4. PEI'!G22</f>
        <v>0</v>
      </c>
      <c r="F32" s="189">
        <f>'5. INN'!G23</f>
        <v>0</v>
      </c>
      <c r="G32" s="189">
        <f>'6. WET'!G21</f>
        <v>0</v>
      </c>
      <c r="H32" s="189">
        <f>'7. CFTN'!G21</f>
        <v>0</v>
      </c>
      <c r="I32" s="194">
        <f>SUM(D32:H32)</f>
        <v>120799.68</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602845.42</v>
      </c>
      <c r="E35" s="189">
        <f>'4. PEI'!J22</f>
        <v>30565.68</v>
      </c>
      <c r="F35" s="189">
        <f>'5. INN'!J23</f>
        <v>0</v>
      </c>
      <c r="G35" s="189">
        <f>'6. WET'!J21</f>
        <v>0</v>
      </c>
      <c r="H35" s="189">
        <f>'7. CFTN'!J21</f>
        <v>0</v>
      </c>
      <c r="I35" s="194">
        <f>SUM(D35:H35)</f>
        <v>633411.1000000001</v>
      </c>
    </row>
    <row r="36" spans="2:9" ht="15.75">
      <c r="B36" s="211">
        <v>14</v>
      </c>
      <c r="C36" s="224" t="s">
        <v>21</v>
      </c>
      <c r="D36" s="195">
        <f>SUM(D31:D35)</f>
        <v>2476917.42</v>
      </c>
      <c r="E36" s="195">
        <f>SUM(E31:E35)</f>
        <v>616944.7400000001</v>
      </c>
      <c r="F36" s="195">
        <f>SUM(F31:F35)</f>
        <v>60749.66</v>
      </c>
      <c r="G36" s="195">
        <f>SUM(G31:G35)</f>
        <v>58387.3</v>
      </c>
      <c r="H36" s="195">
        <f>SUM(H31:H35)</f>
        <v>40778.829999999994</v>
      </c>
      <c r="I36" s="196">
        <f>SUM(D36:H36)</f>
        <v>3253777.95</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24331.43</v>
      </c>
      <c r="E40" s="154"/>
      <c r="F40" s="120"/>
      <c r="H40" s="120"/>
      <c r="I40" s="122"/>
    </row>
    <row r="41" spans="2:9" ht="15.75">
      <c r="B41" s="211">
        <v>16</v>
      </c>
      <c r="C41" s="162" t="s">
        <v>19</v>
      </c>
      <c r="D41" s="197">
        <f>'3. CSS'!F16+'4. PEI'!F16+'5. INN'!F20+'6. WET'!F16+'7. CFTN'!F16</f>
        <v>29120.939999999995</v>
      </c>
      <c r="E41" s="121"/>
      <c r="F41" s="120"/>
      <c r="G41" s="120"/>
      <c r="H41" s="120"/>
      <c r="I41" s="122"/>
    </row>
    <row r="42" spans="2:9" ht="15.75">
      <c r="B42" s="211">
        <v>17</v>
      </c>
      <c r="C42" s="162" t="s">
        <v>20</v>
      </c>
      <c r="D42" s="198">
        <f>'3. CSS'!F17+'4. PEI'!F17+'5. INN'!F16+'5. INN'!F19+'6. WET'!F17+'7. CFTN'!F17</f>
        <v>313601.16</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5755.52</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1" fitToWidth="1" horizontalDpi="600" verticalDpi="600" orientation="landscape" scale="60"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2" sqref="A2"/>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L134"/>
  <sheetViews>
    <sheetView showGridLines="0" zoomScale="80" zoomScaleNormal="80" zoomScaleSheetLayoutView="40" zoomScalePageLayoutView="70" workbookViewId="0" topLeftCell="A12">
      <selection activeCell="D42" sqref="D42"/>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Del Norte</v>
      </c>
      <c r="E9" s="123"/>
      <c r="F9" s="226" t="s">
        <v>1</v>
      </c>
      <c r="G9" s="227">
        <f>IF(ISBLANK('1. Information'!D9),"",'1. Information'!D9)</f>
        <v>44225</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18808.92</v>
      </c>
      <c r="G15" s="136"/>
      <c r="H15" s="136"/>
      <c r="I15" s="136"/>
      <c r="J15" s="136"/>
      <c r="K15" s="241">
        <f>SUM(F15:J15)</f>
        <v>18808.92</v>
      </c>
      <c r="L15" s="175"/>
    </row>
    <row r="16" spans="1:12" ht="15" customHeight="1">
      <c r="A16" s="123"/>
      <c r="B16" s="234">
        <v>2</v>
      </c>
      <c r="C16" s="163" t="s">
        <v>7</v>
      </c>
      <c r="D16" s="242"/>
      <c r="E16" s="243"/>
      <c r="F16" s="136">
        <v>26899.19</v>
      </c>
      <c r="G16" s="136"/>
      <c r="H16" s="136"/>
      <c r="I16" s="136"/>
      <c r="J16" s="136"/>
      <c r="K16" s="241">
        <f>SUM(F16:J16)</f>
        <v>26899.19</v>
      </c>
      <c r="L16" s="175"/>
    </row>
    <row r="17" spans="1:12" ht="15.75" customHeight="1">
      <c r="A17" s="123"/>
      <c r="B17" s="234">
        <v>3</v>
      </c>
      <c r="C17" s="163" t="s">
        <v>117</v>
      </c>
      <c r="D17" s="242"/>
      <c r="E17" s="243"/>
      <c r="F17" s="136">
        <v>247691.74</v>
      </c>
      <c r="G17" s="136"/>
      <c r="H17" s="136"/>
      <c r="I17" s="136"/>
      <c r="J17" s="136"/>
      <c r="K17" s="241">
        <f>SUM(F17:J17)</f>
        <v>247691.74</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1459872.47</v>
      </c>
      <c r="G25" s="246">
        <f>SUM(H34:H133)</f>
        <v>120799.68</v>
      </c>
      <c r="H25" s="246">
        <f>SUM(I34:I133)</f>
        <v>0</v>
      </c>
      <c r="I25" s="246">
        <f>SUM(J34:J133)</f>
        <v>0</v>
      </c>
      <c r="J25" s="246">
        <f>SUM(K34:K133)</f>
        <v>602845.42</v>
      </c>
      <c r="K25" s="246">
        <f>SUM(F25:J25)</f>
        <v>2183517.57</v>
      </c>
      <c r="L25" s="175"/>
    </row>
    <row r="26" spans="1:12" ht="30.75" customHeight="1">
      <c r="A26" s="123"/>
      <c r="B26" s="234">
        <v>12</v>
      </c>
      <c r="C26" s="247" t="s">
        <v>190</v>
      </c>
      <c r="D26" s="248"/>
      <c r="E26" s="249"/>
      <c r="F26" s="250">
        <f>SUM(F15:F17,F19:F25)</f>
        <v>1753272.3199999998</v>
      </c>
      <c r="G26" s="250">
        <f>SUM(G15:G17,G25)</f>
        <v>120799.68</v>
      </c>
      <c r="H26" s="251">
        <f>SUM(H15:H17,H25)</f>
        <v>0</v>
      </c>
      <c r="I26" s="250">
        <f>SUM(I15:I17,I25)</f>
        <v>0</v>
      </c>
      <c r="J26" s="250">
        <f>SUM(J15:J17,J25)</f>
        <v>602845.42</v>
      </c>
      <c r="K26" s="250">
        <f>SUM(F26:J26)</f>
        <v>2476917.42</v>
      </c>
      <c r="L26" s="175"/>
    </row>
    <row r="27" spans="1:12" ht="30.75" customHeight="1">
      <c r="A27" s="123"/>
      <c r="B27" s="234">
        <v>13</v>
      </c>
      <c r="C27" s="252" t="s">
        <v>675</v>
      </c>
      <c r="D27" s="252"/>
      <c r="E27" s="252"/>
      <c r="F27" s="250">
        <f>SUM(F15:F17,F19,F20,F25)</f>
        <v>1753272.3199999998</v>
      </c>
      <c r="G27" s="250">
        <f>SUM(G15:G17,G25)</f>
        <v>120799.68</v>
      </c>
      <c r="H27" s="250">
        <f>SUM(H15:H17,H25)</f>
        <v>0</v>
      </c>
      <c r="I27" s="250">
        <f>SUM(I15:I17,I25)</f>
        <v>0</v>
      </c>
      <c r="J27" s="250">
        <f>SUM(J15:J17,J25)</f>
        <v>602845.42</v>
      </c>
      <c r="K27" s="250">
        <f>SUM(F27:J27)</f>
        <v>2476917.42</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8</v>
      </c>
      <c r="D34" s="144" t="s">
        <v>795</v>
      </c>
      <c r="E34" s="144"/>
      <c r="F34" s="127" t="s">
        <v>95</v>
      </c>
      <c r="G34" s="126">
        <f>1505920.4-80935.79-403906.43</f>
        <v>1021078.1799999999</v>
      </c>
      <c r="H34" s="126">
        <f>120799.68*0.67</f>
        <v>80935.7856</v>
      </c>
      <c r="I34" s="126"/>
      <c r="J34" s="129"/>
      <c r="K34" s="126">
        <f>602845.42*0.67</f>
        <v>403906.43140000006</v>
      </c>
      <c r="L34" s="246">
        <f>SUM(G34:K34)</f>
        <v>1505920.397</v>
      </c>
    </row>
    <row r="35" spans="1:12" ht="30.75">
      <c r="A35" s="123"/>
      <c r="B35" s="262">
        <v>15</v>
      </c>
      <c r="C35" s="263">
        <f t="shared" si="1"/>
        <v>8</v>
      </c>
      <c r="D35" s="144" t="s">
        <v>796</v>
      </c>
      <c r="E35" s="144"/>
      <c r="F35" s="127" t="s">
        <v>96</v>
      </c>
      <c r="G35" s="126">
        <f>148615.05-36170.73</f>
        <v>112444.31999999998</v>
      </c>
      <c r="H35" s="126"/>
      <c r="I35" s="126"/>
      <c r="J35" s="129"/>
      <c r="K35" s="126">
        <f>602845.42*0.06</f>
        <v>36170.7252</v>
      </c>
      <c r="L35" s="246">
        <f aca="true" t="shared" si="2" ref="L35:L98">SUM(G35:K35)</f>
        <v>148615.0452</v>
      </c>
    </row>
    <row r="36" spans="1:12" ht="15.75">
      <c r="A36" s="123"/>
      <c r="B36" s="262">
        <v>16</v>
      </c>
      <c r="C36" s="263">
        <f t="shared" si="1"/>
        <v>8</v>
      </c>
      <c r="D36" s="144" t="s">
        <v>797</v>
      </c>
      <c r="E36" s="144"/>
      <c r="F36" s="127" t="s">
        <v>96</v>
      </c>
      <c r="G36" s="126">
        <f>528982.12-39863.89-162768.26</f>
        <v>326349.97</v>
      </c>
      <c r="H36" s="126">
        <f>120799.68*0.33</f>
        <v>39863.8944</v>
      </c>
      <c r="I36" s="126"/>
      <c r="J36" s="129"/>
      <c r="K36" s="126">
        <f>602845.42*0.27</f>
        <v>162768.26340000003</v>
      </c>
      <c r="L36" s="246">
        <f t="shared" si="2"/>
        <v>528982.1278</v>
      </c>
    </row>
    <row r="37" spans="1:12" ht="15.75">
      <c r="A37" s="123"/>
      <c r="B37" s="262">
        <v>17</v>
      </c>
      <c r="C37" s="263">
        <f t="shared" si="1"/>
      </c>
      <c r="D37" s="144"/>
      <c r="E37" s="144"/>
      <c r="F37" s="127"/>
      <c r="G37" s="126"/>
      <c r="H37" s="126"/>
      <c r="I37" s="126"/>
      <c r="J37" s="129"/>
      <c r="K37" s="126"/>
      <c r="L37" s="246">
        <f t="shared" si="2"/>
        <v>0</v>
      </c>
    </row>
    <row r="38" spans="1:12" ht="15.75">
      <c r="A38" s="123"/>
      <c r="B38" s="262">
        <v>18</v>
      </c>
      <c r="C38" s="263">
        <f t="shared" si="1"/>
      </c>
      <c r="D38" s="144"/>
      <c r="E38" s="144"/>
      <c r="F38" s="127"/>
      <c r="G38" s="126"/>
      <c r="H38" s="126"/>
      <c r="I38" s="126"/>
      <c r="J38" s="129"/>
      <c r="K38" s="126"/>
      <c r="L38" s="246">
        <f t="shared" si="2"/>
        <v>0</v>
      </c>
    </row>
    <row r="39" spans="1:12" ht="15.75">
      <c r="A39" s="123"/>
      <c r="B39" s="262">
        <v>19</v>
      </c>
      <c r="C39" s="263">
        <f t="shared" si="1"/>
      </c>
      <c r="D39" s="144"/>
      <c r="E39" s="144"/>
      <c r="F39" s="127"/>
      <c r="G39" s="126"/>
      <c r="H39" s="126"/>
      <c r="I39" s="126"/>
      <c r="J39" s="129"/>
      <c r="K39" s="126"/>
      <c r="L39" s="246">
        <f t="shared" si="2"/>
        <v>0</v>
      </c>
    </row>
    <row r="40" spans="1:12" ht="15.75">
      <c r="A40" s="123"/>
      <c r="B40" s="262">
        <v>20</v>
      </c>
      <c r="C40" s="263">
        <f t="shared" si="1"/>
      </c>
      <c r="D40" s="144"/>
      <c r="E40" s="144"/>
      <c r="F40" s="127"/>
      <c r="G40" s="126"/>
      <c r="H40" s="126"/>
      <c r="I40" s="126"/>
      <c r="J40" s="129"/>
      <c r="K40" s="126"/>
      <c r="L40" s="246">
        <f t="shared" si="2"/>
        <v>0</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fitToHeight="1" fitToWidth="1" horizontalDpi="600" verticalDpi="600" orientation="portrait" scale="29"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N134"/>
  <sheetViews>
    <sheetView showGridLines="0" zoomScale="80" zoomScaleNormal="80" zoomScaleSheetLayoutView="40" zoomScalePageLayoutView="80" workbookViewId="0" topLeftCell="A1">
      <selection activeCell="I27" sqref="I27"/>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Del Norte</v>
      </c>
      <c r="E9" s="27" t="str">
        <f>IF(ISBLANK('1. Information'!D11),"",'1. Information'!D11)</f>
        <v>Del Norte</v>
      </c>
      <c r="F9" s="226" t="s">
        <v>1</v>
      </c>
      <c r="G9" s="264">
        <f>IF(ISBLANK('1. Information'!D9),"",'1. Information'!D9)</f>
        <v>44225</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4033.13</v>
      </c>
      <c r="G15" s="136"/>
      <c r="H15" s="136"/>
      <c r="I15" s="136"/>
      <c r="J15" s="136"/>
      <c r="K15" s="241">
        <f>SUM(F15:J15)</f>
        <v>4033.13</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1708.57</v>
      </c>
      <c r="G16" s="136"/>
      <c r="H16" s="136"/>
      <c r="I16" s="136"/>
      <c r="J16" s="136"/>
      <c r="K16" s="241">
        <f aca="true" t="shared" si="0" ref="K16:K22">SUM(F16:J16)</f>
        <v>1708.57</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55782.44</v>
      </c>
      <c r="G17" s="136"/>
      <c r="H17" s="136"/>
      <c r="I17" s="136"/>
      <c r="J17" s="136"/>
      <c r="K17" s="241">
        <f t="shared" si="0"/>
        <v>55782.44</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524854.92</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30565.68</v>
      </c>
      <c r="K21" s="246">
        <f t="shared" si="0"/>
        <v>555420.6000000001</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586379.06</v>
      </c>
      <c r="G22" s="279">
        <f>SUM(G15:G17,G20:G21)</f>
        <v>0</v>
      </c>
      <c r="H22" s="279">
        <f>SUM(H15:H17,H20:H21)</f>
        <v>0</v>
      </c>
      <c r="I22" s="279">
        <f>SUM(I15:I17,I20:I21)</f>
        <v>0</v>
      </c>
      <c r="J22" s="279">
        <f>SUM(J15:J17,J20:J21)</f>
        <v>30565.68</v>
      </c>
      <c r="K22" s="279">
        <f t="shared" si="0"/>
        <v>616944.7400000001</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0.895077869936215</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8</v>
      </c>
      <c r="D34" s="144" t="s">
        <v>789</v>
      </c>
      <c r="E34" s="144"/>
      <c r="F34" s="147" t="s">
        <v>125</v>
      </c>
      <c r="G34" s="148" t="s">
        <v>118</v>
      </c>
      <c r="H34" s="33"/>
      <c r="I34" s="36">
        <v>1</v>
      </c>
      <c r="J34" s="36">
        <v>1</v>
      </c>
      <c r="K34" s="302">
        <f>IF(OR(G34="Combined Summary",F34="Standalone"),(SUMPRODUCT(--(D$34:D$133=D34),I$34:I$133,J$34:J$133)),"")</f>
        <v>1</v>
      </c>
      <c r="L34" s="126">
        <f>372694.4-2016.57-854.29-27891.22-15282.84+14850.87</f>
        <v>341500.35000000003</v>
      </c>
      <c r="M34" s="133"/>
      <c r="N34" s="30"/>
      <c r="O34" s="30"/>
      <c r="P34" s="30">
        <f>30565.68/2</f>
        <v>15282.84</v>
      </c>
      <c r="Q34" s="303">
        <f>SUM(L34:P34)</f>
        <v>356783.19000000006</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8</v>
      </c>
      <c r="D35" s="144" t="s">
        <v>790</v>
      </c>
      <c r="E35" s="144"/>
      <c r="F35" s="147" t="s">
        <v>125</v>
      </c>
      <c r="G35" s="148" t="s">
        <v>121</v>
      </c>
      <c r="H35" s="33"/>
      <c r="I35" s="36">
        <v>1</v>
      </c>
      <c r="J35" s="36">
        <v>1</v>
      </c>
      <c r="K35" s="302">
        <f aca="true" t="shared" si="2" ref="K35:K98">IF(OR(G35="Combined Summary",F35="Standalone"),(SUMPRODUCT(--(D$34:D$133=D35),I$34:I$133,J$34:J$133)),"")</f>
        <v>1</v>
      </c>
      <c r="L35" s="126">
        <f>115194.37-2016.57-854.29-27891.22-15282.84+14850.87</f>
        <v>84000.31999999999</v>
      </c>
      <c r="M35" s="133"/>
      <c r="N35" s="30"/>
      <c r="O35" s="30"/>
      <c r="P35" s="30">
        <f>30565.68/2</f>
        <v>15282.84</v>
      </c>
      <c r="Q35" s="303">
        <f aca="true" t="shared" si="3" ref="Q35:Q98">SUM(L35:P35)</f>
        <v>99283.15999999999</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8</v>
      </c>
      <c r="D36" s="144" t="s">
        <v>791</v>
      </c>
      <c r="E36" s="144"/>
      <c r="F36" s="147" t="s">
        <v>125</v>
      </c>
      <c r="G36" s="148" t="s">
        <v>121</v>
      </c>
      <c r="H36" s="33"/>
      <c r="I36" s="36">
        <v>1</v>
      </c>
      <c r="J36" s="36">
        <v>1</v>
      </c>
      <c r="K36" s="302">
        <f t="shared" si="2"/>
        <v>1</v>
      </c>
      <c r="L36" s="126">
        <v>13317.91</v>
      </c>
      <c r="M36" s="133"/>
      <c r="N36" s="30"/>
      <c r="O36" s="30"/>
      <c r="P36" s="30"/>
      <c r="Q36" s="303">
        <f t="shared" si="3"/>
        <v>13317.91</v>
      </c>
      <c r="R36" s="178">
        <f t="shared" si="4"/>
        <v>1</v>
      </c>
      <c r="S36" s="180">
        <f t="shared" si="5"/>
      </c>
      <c r="AL36" s="27"/>
      <c r="AM36" s="27"/>
      <c r="AN36" s="27"/>
    </row>
    <row r="37" spans="2:40" ht="15.75">
      <c r="B37" s="300">
        <v>13</v>
      </c>
      <c r="C37" s="301">
        <f t="shared" si="1"/>
        <v>8</v>
      </c>
      <c r="D37" s="144" t="s">
        <v>792</v>
      </c>
      <c r="E37" s="144"/>
      <c r="F37" s="147" t="s">
        <v>125</v>
      </c>
      <c r="G37" s="148" t="s">
        <v>128</v>
      </c>
      <c r="H37" s="33"/>
      <c r="I37" s="36">
        <v>1</v>
      </c>
      <c r="J37" s="36">
        <v>1</v>
      </c>
      <c r="K37" s="302">
        <f t="shared" si="2"/>
        <v>1</v>
      </c>
      <c r="L37" s="126">
        <v>86036.34</v>
      </c>
      <c r="M37" s="133"/>
      <c r="N37" s="30"/>
      <c r="O37" s="30"/>
      <c r="P37" s="30"/>
      <c r="Q37" s="303">
        <f t="shared" si="3"/>
        <v>86036.34</v>
      </c>
      <c r="R37" s="178">
        <f t="shared" si="4"/>
        <v>1</v>
      </c>
      <c r="S37" s="180">
        <f t="shared" si="5"/>
      </c>
      <c r="AL37" s="27"/>
      <c r="AM37" s="27"/>
      <c r="AN37" s="27"/>
    </row>
    <row r="38" spans="2:40" ht="15.75">
      <c r="B38" s="300">
        <v>14</v>
      </c>
      <c r="C38" s="301">
        <f t="shared" si="1"/>
      </c>
      <c r="D38" s="144"/>
      <c r="E38" s="144"/>
      <c r="F38" s="147"/>
      <c r="G38" s="148"/>
      <c r="H38" s="33"/>
      <c r="I38" s="36"/>
      <c r="J38" s="36"/>
      <c r="K38" s="302">
        <f t="shared" si="2"/>
      </c>
      <c r="L38" s="126"/>
      <c r="M38" s="133"/>
      <c r="N38" s="30"/>
      <c r="O38" s="30"/>
      <c r="P38" s="30"/>
      <c r="Q38" s="303">
        <f t="shared" si="3"/>
        <v>0</v>
      </c>
      <c r="R38" s="178">
        <f t="shared" si="4"/>
      </c>
      <c r="S38" s="180">
        <f t="shared" si="5"/>
      </c>
      <c r="AL38" s="27"/>
      <c r="AM38" s="27"/>
      <c r="AN38" s="27"/>
    </row>
    <row r="39" spans="2:40" ht="15.75">
      <c r="B39" s="300">
        <v>15</v>
      </c>
      <c r="C39" s="301">
        <f t="shared" si="1"/>
      </c>
      <c r="D39" s="144"/>
      <c r="E39" s="144"/>
      <c r="F39" s="147"/>
      <c r="G39" s="148"/>
      <c r="H39" s="33"/>
      <c r="I39" s="36"/>
      <c r="J39" s="36"/>
      <c r="K39" s="302">
        <f t="shared" si="2"/>
      </c>
      <c r="L39" s="126"/>
      <c r="M39" s="133"/>
      <c r="N39" s="30"/>
      <c r="O39" s="30"/>
      <c r="P39" s="30"/>
      <c r="Q39" s="303">
        <f t="shared" si="3"/>
        <v>0</v>
      </c>
      <c r="R39" s="178">
        <f t="shared" si="4"/>
      </c>
      <c r="S39" s="180">
        <f t="shared" si="5"/>
      </c>
      <c r="AL39" s="27"/>
      <c r="AM39" s="27"/>
      <c r="AN39" s="27"/>
    </row>
    <row r="40" spans="2:40" ht="15.75">
      <c r="B40" s="300">
        <v>16</v>
      </c>
      <c r="C40" s="301">
        <f t="shared" si="1"/>
      </c>
      <c r="D40" s="144"/>
      <c r="E40" s="144"/>
      <c r="F40" s="147"/>
      <c r="G40" s="148"/>
      <c r="H40" s="33"/>
      <c r="I40" s="36"/>
      <c r="J40" s="36"/>
      <c r="K40" s="302">
        <f t="shared" si="2"/>
      </c>
      <c r="L40" s="126"/>
      <c r="M40" s="133"/>
      <c r="N40" s="30"/>
      <c r="O40" s="30"/>
      <c r="P40" s="30"/>
      <c r="Q40" s="303">
        <f t="shared" si="3"/>
        <v>0</v>
      </c>
      <c r="R40" s="178">
        <f t="shared" si="4"/>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1" fitToWidth="1" horizontalDpi="600" verticalDpi="600" orientation="portrait" scale="23"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3">
      <selection activeCell="A60" sqref="A60"/>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DelNorteFY2019-20RER</dc:title>
  <dc:subject/>
  <dc:creator>Donna Ures</dc:creator>
  <cp:keywords>MHSA, RER</cp:keywords>
  <dc:description/>
  <cp:lastModifiedBy>Saelee, Katie (CSD)@DHCS</cp:lastModifiedBy>
  <cp:lastPrinted>2021-02-16T23:03:11Z</cp:lastPrinted>
  <dcterms:created xsi:type="dcterms:W3CDTF">2017-07-05T19:48:18Z</dcterms:created>
  <dcterms:modified xsi:type="dcterms:W3CDTF">2021-03-18T20:49:22Z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DHCSDOC-1797567310-3518</vt:lpwstr>
  </property>
  <property fmtid="{D5CDD505-2E9C-101B-9397-08002B2CF9AE}" pid="3" name="_dlc_DocIdItemGuid">
    <vt:lpwstr>06955c57-3406-4bca-8e73-a6015ec22f58</vt:lpwstr>
  </property>
  <property fmtid="{D5CDD505-2E9C-101B-9397-08002B2CF9AE}" pid="4" name="_dlc_DocIdUrl">
    <vt:lpwstr>https://dhcscagovauthoring/_layouts/15/DocIdRedir.aspx?ID=DHCSDOC-1797567310-3518, DHCSDOC-1797567310-3518</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DelNorteFY2019-20RER</vt:lpwstr>
  </property>
  <property fmtid="{D5CDD505-2E9C-101B-9397-08002B2CF9AE}" pid="9" name="PublishingContactName">
    <vt:lpwstr>Donna Ures</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