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320" windowHeight="696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<sst xmlns="http://schemas.openxmlformats.org/spreadsheetml/2006/main" count="1462" uniqueCount="810">
  <si>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</si>
  <si>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</si>
  <si>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</si>
  <si>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</si>
  <si>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</si>
  <si>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</si>
  <si>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</si>
  <si>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</si>
  <si>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</si>
  <si>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</si>
  <si>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</si>
  <si>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</si>
  <si>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</si>
  <si>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</si>
  <si>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</si>
  <si>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</si>
  <si>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</si>
  <si>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</si>
  <si>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</si>
  <si>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</si>
  <si>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</si>
  <si>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</si>
  <si>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</si>
  <si>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</si>
  <si>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</si>
  <si>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</si>
  <si>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</si>
  <si>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</si>
  <si>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</si>
  <si>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</si>
  <si>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</si>
  <si>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</si>
  <si>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</si>
  <si>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</si>
  <si>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</si>
  <si>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</si>
  <si>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</si>
  <si>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</si>
  <si>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</si>
  <si>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</si>
  <si>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</si>
  <si>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</si>
  <si>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</si>
  <si>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</si>
  <si>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</si>
  <si>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</si>
  <si>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</si>
  <si>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</si>
  <si>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</si>
  <si>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</si>
  <si>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</si>
  <si>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</si>
  <si>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</si>
  <si>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</si>
  <si>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</si>
  <si>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</si>
  <si>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</si>
  <si>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</si>
  <si>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</si>
  <si>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</si>
  <si>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</si>
  <si>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</si>
  <si>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</si>
  <si>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</si>
  <si>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</si>
  <si>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</si>
  <si>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</si>
  <si>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</si>
  <si>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</si>
  <si>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</si>
  <si>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</si>
  <si>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</si>
  <si>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</si>
  <si>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</si>
  <si>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</si>
  <si>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</si>
  <si>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</si>
  <si>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</si>
  <si>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</si>
  <si>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</si>
  <si>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</si>
  <si>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</si>
  <si>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</si>
  <si>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</si>
  <si>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</si>
  <si>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</si>
  <si>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</si>
  <si>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</si>
  <si>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</si>
  <si>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</si>
  <si>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</si>
  <si>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</si>
  <si>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</si>
  <si>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</si>
  <si>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</si>
  <si>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</si>
  <si>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</si>
  <si>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</si>
  <si>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</si>
  <si>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</si>
  <si>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</si>
  <si>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</si>
  <si>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</si>
  <si>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</si>
  <si>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</si>
  <si>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</si>
  <si>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</si>
  <si>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</si>
  <si>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</si>
  <si>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</si>
  <si>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</si>
  <si>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</si>
  <si>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</si>
  <si>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</si>
  <si>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</si>
  <si>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</si>
  <si>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</si>
  <si>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</si>
  <si>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</si>
  <si>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</si>
  <si>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</si>
  <si>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</si>
  <si>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</si>
  <si>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</si>
  <si>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</si>
  <si>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</si>
  <si>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</si>
  <si>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</si>
  <si>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</si>
  <si>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</si>
  <si>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</si>
  <si>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</si>
  <si>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</si>
  <si>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</si>
  <si>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</si>
  <si>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</si>
  <si>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</si>
  <si>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</si>
  <si>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</si>
  <si>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</si>
  <si>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</si>
  <si>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</si>
  <si>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</si>
  <si>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</si>
  <si>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</si>
  <si>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</si>
  <si>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</si>
  <si>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</si>
  <si>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</si>
  <si>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</si>
  <si>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</si>
  <si>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</si>
  <si>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</si>
  <si>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</si>
  <si>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</si>
  <si>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</si>
  <si>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</si>
  <si>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</si>
  <si>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</si>
  <si>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</si>
  <si>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</si>
  <si>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</si>
  <si>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</si>
  <si>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</si>
  <si>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</si>
  <si>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</si>
  <si>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</si>
  <si>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</si>
  <si>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</si>
  <si>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</si>
  <si>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</si>
  <si>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</si>
  <si>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</si>
  <si>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</si>
  <si>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</si>
  <si>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</si>
  <si>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</si>
  <si>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</si>
  <si>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</si>
  <si>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</si>
  <si>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</si>
  <si>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</si>
  <si>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</si>
  <si>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</si>
  <si>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</si>
  <si>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</si>
  <si>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</si>
  <si>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</si>
  <si>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</si>
  <si>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</si>
  <si>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</si>
  <si>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</si>
  <si>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</si>
  <si>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</si>
  <si>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</si>
  <si>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</si>
  <si>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</si>
  <si>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</si>
  <si>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</si>
  <si>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</si>
  <si>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</si>
  <si>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</si>
  <si>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</si>
  <si>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</si>
  <si>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</si>
  <si>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</si>
  <si>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</si>
  <si>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</si>
  <si>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</si>
  <si>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</si>
  <si>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</si>
  <si>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</si>
  <si>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</si>
  <si>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</si>
  <si>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</si>
  <si>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</si>
  <si>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</si>
  <si>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</si>
  <si>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</si>
  <si>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</si>
  <si>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</si>
  <si>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</si>
  <si>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</si>
  <si>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</si>
  <si>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</si>
  <si>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</si>
  <si>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</si>
  <si>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</si>
  <si>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</si>
  <si>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</si>
  <si>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</si>
  <si>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</si>
  <si>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</si>
  <si>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</si>
  <si>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</si>
  <si>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</si>
  <si>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</si>
  <si>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</si>
  <si>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</si>
  <si>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</si>
  <si>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</si>
  <si>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</si>
  <si>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</si>
  <si>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</si>
  <si>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</si>
  <si>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</si>
  <si>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</si>
  <si>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</si>
  <si>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</si>
  <si>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</si>
  <si>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</si>
  <si>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</si>
  <si>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</si>
  <si>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</si>
  <si>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</si>
  <si>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</si>
  <si>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</si>
  <si>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</si>
  <si>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</si>
  <si>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</si>
  <si>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</si>
  <si>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</si>
  <si>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</si>
  <si>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</si>
  <si>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</si>
  <si>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</si>
  <si>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</si>
  <si>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</si>
  <si>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</si>
  <si>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</si>
  <si>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</si>
  <si>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</si>
  <si>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</si>
  <si>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</si>
  <si>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</si>
  <si>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</si>
  <si>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</si>
  <si>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</si>
  <si>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</si>
  <si>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</si>
  <si>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</si>
  <si>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</si>
  <si>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</si>
  <si>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</si>
  <si>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</si>
  <si>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</si>
  <si>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</si>
  <si>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</si>
  <si>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</si>
  <si>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</si>
  <si>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</si>
  <si>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</si>
  <si>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</si>
  <si>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</si>
  <si>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</si>
  <si>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</si>
  <si>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</si>
  <si>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</si>
  <si>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</si>
  <si>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</si>
  <si>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</si>
  <si>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</si>
  <si>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</si>
  <si>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</si>
  <si>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</si>
  <si>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</si>
  <si>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</si>
  <si>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</si>
  <si>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</si>
  <si>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</si>
  <si>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</si>
  <si>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</si>
  <si>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</si>
  <si>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</si>
  <si>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</si>
  <si>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</si>
  <si>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</si>
  <si>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</si>
  <si>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</si>
  <si>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</si>
  <si>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</si>
  <si>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</si>
  <si>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</si>
  <si>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</si>
  <si>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</si>
  <si>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</si>
  <si>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</si>
  <si>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</si>
  <si>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</si>
  <si>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</si>
  <si>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</si>
  <si>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</si>
  <si>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</si>
  <si>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</si>
  <si>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</si>
  <si>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</si>
  <si>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</si>
  <si>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</si>
  <si>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</si>
  <si>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</si>
  <si>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</si>
  <si>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</si>
  <si>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</si>
  <si>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</si>
  <si>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</si>
  <si>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</si>
  <si>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</si>
  <si>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</si>
  <si>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</si>
  <si>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</si>
  <si>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</si>
  <si>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</si>
  <si>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</si>
  <si>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</si>
  <si>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</si>
  <si>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</si>
  <si>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</si>
  <si>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</si>
  <si>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</si>
  <si>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</si>
  <si>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</si>
  <si>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</si>
  <si>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</si>
  <si>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</si>
  <si>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</si>
  <si>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</si>
  <si>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</si>
  <si>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</si>
  <si>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</si>
  <si>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</si>
  <si>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</si>
  <si>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</si>
  <si>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</si>
  <si>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</si>
  <si>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</si>
  <si>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</si>
  <si>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</si>
  <si>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</si>
  <si>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</si>
  <si>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</si>
  <si>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</si>
  <si>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</si>
  <si>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</si>
  <si>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</si>
  <si>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</si>
  <si>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</si>
  <si>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</si>
  <si>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</si>
  <si>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</si>
  <si>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</si>
  <si>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</si>
  <si>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</si>
  <si>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</si>
  <si>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</si>
  <si>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</si>
  <si>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</si>
  <si>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</si>
  <si>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</si>
  <si>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</si>
  <si>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</si>
  <si>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</si>
  <si>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</si>
  <si>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</si>
  <si>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</si>
  <si>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</si>
  <si>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</si>
  <si>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</si>
  <si>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</si>
  <si>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</si>
  <si>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</si>
  <si>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</si>
  <si>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</si>
  <si>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</si>
  <si>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</si>
  <si>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</si>
  <si>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</si>
  <si>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</si>
  <si>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</si>
  <si>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</si>
  <si>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</si>
  <si>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</si>
  <si>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</si>
  <si>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</si>
  <si>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</si>
  <si>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</si>
  <si>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</si>
  <si>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</si>
  <si>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</si>
  <si>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</si>
  <si>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</si>
  <si>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</si>
  <si>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</si>
  <si>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</si>
  <si>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</si>
  <si>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</si>
  <si>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</si>
  <si>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</si>
  <si>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</si>
  <si>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</si>
  <si>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</si>
  <si>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</si>
  <si>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</si>
  <si>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</si>
  <si>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</si>
  <si>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</si>
  <si>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</si>
  <si>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</si>
  <si>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</si>
  <si>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</si>
  <si>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</si>
  <si>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</si>
  <si>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</si>
  <si>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</si>
  <si>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</si>
  <si>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</si>
  <si>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</si>
  <si>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</si>
  <si>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</si>
  <si>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</si>
  <si>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</si>
  <si>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</si>
  <si>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</si>
  <si>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</si>
  <si>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</si>
  <si>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</si>
  <si>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</si>
  <si>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</si>
  <si>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</si>
  <si>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</si>
  <si>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</si>
  <si>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</si>
  <si>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</si>
  <si>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</si>
  <si>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</si>
  <si>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</si>
  <si>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</si>
  <si>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</si>
  <si>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</si>
  <si>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</si>
  <si>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</si>
  <si>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</si>
  <si>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</si>
  <si>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</si>
  <si>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</si>
  <si>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</si>
  <si>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</si>
  <si>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</si>
  <si>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</si>
  <si>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</si>
  <si>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</si>
  <si>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</si>
  <si>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</si>
  <si>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</si>
  <si>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</si>
  <si>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</si>
  <si>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</si>
  <si>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</si>
  <si>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</si>
  <si>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</si>
  <si>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</si>
  <si>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</si>
  <si>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</si>
  <si>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</si>
  <si>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</si>
  <si>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</si>
  <si>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</si>
  <si>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</si>
  <si>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</si>
  <si>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</si>
  <si>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</si>
  <si>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</si>
  <si>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</si>
  <si>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</si>
  <si>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</si>
  <si>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</si>
  <si>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</si>
  <si>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</si>
  <si>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</si>
  <si>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</si>
  <si>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</si>
  <si>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</si>
  <si>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</si>
  <si>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</si>
  <si>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</si>
  <si>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</si>
  <si>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</si>
  <si>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</si>
  <si>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</si>
  <si>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</si>
  <si>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</si>
  <si>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</si>
  <si>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</si>
  <si>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</si>
  <si>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</si>
  <si>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</si>
  <si>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</si>
  <si>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</si>
  <si>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</si>
  <si>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</si>
  <si>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</si>
  <si>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</si>
  <si>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</si>
  <si>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</si>
  <si>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</si>
  <si>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</si>
  <si>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</si>
  <si>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</si>
  <si>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</si>
  <si>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</si>
  <si>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</si>
  <si>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</si>
  <si>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</si>
  <si>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</si>
  <si>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</si>
  <si>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</si>
  <si>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</si>
  <si>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</si>
  <si>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</si>
  <si>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</si>
  <si>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</si>
  <si>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</si>
  <si>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</si>
  <si>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</si>
  <si>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</si>
  <si>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</si>
  <si>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</si>
  <si>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</si>
  <si>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</si>
  <si>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</si>
  <si>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</si>
  <si>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</si>
  <si>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</si>
  <si>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</si>
  <si>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</si>
  <si>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</si>
  <si>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</si>
  <si>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</si>
  <si>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</si>
  <si>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</si>
  <si>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</si>
  <si>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</si>
  <si>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</si>
  <si>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</si>
  <si>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</si>
  <si>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</si>
  <si>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</si>
  <si>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</si>
  <si>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</si>
  <si>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</si>
  <si>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</si>
  <si>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</si>
  <si>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</si>
  <si>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</si>
  <si>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</si>
  <si>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</si>
  <si>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</si>
  <si>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</si>
  <si>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</si>
  <si>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</si>
  <si>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</si>
  <si>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</si>
  <si>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</si>
  <si>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</si>
  <si>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</si>
  <si>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</si>
  <si>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</si>
  <si>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</si>
  <si>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</si>
  <si>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</si>
  <si>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</si>
  <si>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</si>
  <si>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</si>
  <si>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</si>
  <si>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</si>
  <si>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</si>
  <si>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</si>
  <si>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</si>
  <si>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</si>
  <si>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</si>
  <si>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</si>
  <si>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</si>
  <si>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</si>
  <si>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</si>
  <si>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</si>
  <si>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</si>
  <si>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</si>
  <si>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</si>
  <si>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</si>
  <si>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</si>
  <si>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</si>
  <si>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</si>
  <si>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</si>
  <si>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</si>
  <si>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</si>
  <si>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</si>
  <si>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</si>
  <si>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</si>
  <si>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</si>
  <si>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</si>
  <si>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</si>
  <si>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</si>
  <si>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</si>
  <si>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</si>
  <si>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</si>
  <si>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</si>
  <si>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</si>
  <si>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</si>
  <si>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</si>
  <si>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</si>
  <si>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</si>
  <si>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</si>
  <si>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</si>
  <si>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</si>
  <si>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</si>
  <si>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</si>
  <si>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</si>
  <si>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</si>
  <si>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</si>
  <si>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</si>
  <si>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</si>
  <si>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</si>
  <si>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</si>
  <si>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</si>
  <si>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</si>
  <si>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</si>
  <si>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</si>
  <si>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</si>
  <si>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</si>
  <si>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</si>
  <si>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</si>
  <si>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</si>
  <si>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</si>
  <si>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</si>
  <si>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</si>
  <si>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</si>
  <si>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</si>
  <si>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</si>
  <si>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</si>
  <si>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</si>
  <si>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</si>
  <si>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</si>
  <si>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</si>
  <si>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</si>
  <si>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</si>
  <si>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</si>
  <si>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</si>
  <si>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</si>
  <si>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</si>
  <si>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</si>
  <si>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</si>
  <si>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</si>
  <si>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</si>
  <si>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</si>
  <si>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</si>
  <si>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</si>
  <si>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</si>
  <si>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</si>
  <si>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</si>
  <si>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</si>
  <si>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</si>
  <si>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</si>
  <si>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</si>
  <si>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</si>
  <si>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</si>
  <si>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</si>
  <si>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</si>
  <si>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</si>
  <si>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</si>
  <si>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</si>
  <si>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</si>
  <si>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</si>
  <si>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</si>
  <si>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</si>
  <si>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</si>
  <si>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</si>
  <si>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</si>
  <si>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</si>
  <si>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</si>
  <si>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</si>
  <si>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</si>
  <si>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</si>
  <si>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</si>
  <si>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</si>
  <si>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</si>
  <si>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</si>
  <si>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</si>
  <si>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</si>
  <si>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</si>
  <si>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</si>
  <si>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</si>
  <si>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</si>
  <si>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</si>
  <si>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</si>
  <si>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</si>
  <si>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</si>
  <si>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</si>
  <si>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</si>
  <si>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</si>
  <si>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</si>
  <si>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</si>
  <si>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</si>
  <si>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</si>
  <si>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</si>
  <si>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</si>
  <si>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</si>
  <si>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</si>
  <si>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</si>
  <si>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</si>
  <si>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</si>
  <si>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</si>
  <si>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</si>
  <si>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</si>
  <si>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</si>
  <si>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</si>
  <si>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</si>
  <si>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</si>
  <si>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</si>
  <si>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</si>
  <si>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</si>
  <si>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</si>
  <si>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</si>
  <si>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</si>
  <si>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</si>
  <si>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</si>
  <si>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</si>
  <si>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</si>
  <si>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</si>
  <si>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</si>
  <si>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</si>
  <si>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</si>
  <si>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</si>
  <si>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</si>
  <si>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</si>
  <si>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</si>
  <si>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</si>
  <si>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</si>
  <si>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</si>
  <si>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</si>
  <si>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</si>
  <si>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</si>
  <si>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</si>
  <si>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</si>
  <si>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Jennifer Ross</t>
  </si>
  <si>
    <t>jross@co.lassen.ca.us</t>
  </si>
  <si>
    <t>530-251-8355</t>
  </si>
  <si>
    <t>Susanville</t>
  </si>
  <si>
    <t>555 Hospital Lane</t>
  </si>
  <si>
    <t>FY 2019-20</t>
  </si>
  <si>
    <t>Admin/Fiscal Officer-MHSA</t>
  </si>
  <si>
    <t>One Stop Re-Model</t>
  </si>
  <si>
    <t>One Stop Centers</t>
  </si>
  <si>
    <t>Full Service Partnership</t>
  </si>
  <si>
    <t>Outreach and Engagement Project Services</t>
  </si>
  <si>
    <t>CSS General System Development</t>
  </si>
  <si>
    <t>Early Newborn Observation (ENO)</t>
  </si>
  <si>
    <t>Tele-Med</t>
  </si>
  <si>
    <t>2019/20</t>
  </si>
  <si>
    <t>Increase of$ 94899.00 taken from PR to decrease the PR funding level to meet the allowable maximum per DHCS information notice 19-017</t>
  </si>
  <si>
    <t>Increase of $94900.00 taken from PR to decrease the PR funding level to meet the allowable maximum per DHCS information notice 19-017</t>
  </si>
  <si>
    <t>Mental Health First Aid</t>
  </si>
  <si>
    <t>Community Health Fair</t>
  </si>
  <si>
    <t>Stigma and Discrimination Reduction</t>
  </si>
  <si>
    <t>Strengthening Families and Adult Programs</t>
  </si>
  <si>
    <t>Youth Programs FNL/Botvin</t>
  </si>
  <si>
    <t xml:space="preserve">Crisis Intervention </t>
  </si>
  <si>
    <t>standalone</t>
  </si>
  <si>
    <t>After Hours Wellness</t>
  </si>
  <si>
    <t>Integration with Primary Care via Virtual Coordinated Care Team</t>
  </si>
  <si>
    <t>$20763.73 CalHFA SNHP interest returned to Lassen County</t>
  </si>
  <si>
    <t>$404010.60 CAlHFA SNHP balance returned to Lassen County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</si>
</sst>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0">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3" fillId="0" borderId="23" xfId="0" applyFont="1" applyBorder="1" applyAlignment="1" applyProtection="1">
      <alignment horizontal="left" vertical="center" wrapText="1"/>
      <protection locked="0"/>
    </xf>
    <xf numFmtId="14" fontId="63" fillId="0" borderId="10" xfId="0" applyNumberFormat="1" applyFont="1"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B13">
      <selection activeCell="G16" sqref="G16"/>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FY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Lassen</v>
      </c>
      <c r="G9" s="226" t="s">
        <v>1</v>
      </c>
      <c r="H9" s="264">
        <f>IF(ISBLANK('1. Information'!D9),"",'1. Information'!D9)</f>
        <v>44221</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73759.13</v>
      </c>
      <c r="G15" s="136"/>
      <c r="H15" s="136"/>
      <c r="I15" s="136"/>
      <c r="J15" s="136"/>
      <c r="K15" s="246">
        <f>SUM(F15:J15)</f>
        <v>73759.13</v>
      </c>
      <c r="L15" s="175"/>
      <c r="M15" s="175"/>
      <c r="N15" s="175"/>
      <c r="O15" s="27"/>
      <c r="P15" s="27"/>
    </row>
    <row r="16" spans="2:16" ht="15.75">
      <c r="B16" s="300">
        <v>2</v>
      </c>
      <c r="C16" s="308" t="s">
        <v>143</v>
      </c>
      <c r="D16" s="242"/>
      <c r="E16" s="243"/>
      <c r="F16" s="136">
        <v>160027.9</v>
      </c>
      <c r="G16" s="136"/>
      <c r="H16" s="136"/>
      <c r="I16" s="136"/>
      <c r="J16" s="136"/>
      <c r="K16" s="246">
        <f>SUM(F16:J16)</f>
        <v>160027.9</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5940</v>
      </c>
      <c r="G19" s="312">
        <f>SUMIF($K$29:$K$128,"Project Administration",M$29:M$128)</f>
        <v>0</v>
      </c>
      <c r="H19" s="311">
        <f>SUMIF($K$29:$K$128,"Project Administration",N$29:N$128)</f>
        <v>0</v>
      </c>
      <c r="I19" s="311">
        <f>SUMIF($K$29:$K$128,"Project Administration",O$29:O$128)</f>
        <v>0</v>
      </c>
      <c r="J19" s="311">
        <f>SUMIF($K$29:$K$128,"Project Administration",P$29:P$128)</f>
        <v>0</v>
      </c>
      <c r="K19" s="246">
        <f>SUM(F19:J19)</f>
        <v>5940</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46975</v>
      </c>
      <c r="G21" s="313">
        <f>SUMIF($K$29:$K$128,"Project Direct",M$29:M$128)</f>
        <v>0</v>
      </c>
      <c r="H21" s="310">
        <f>SUMIF($K$29:$K$128,"Project Direct",N$29:N$128)</f>
        <v>0</v>
      </c>
      <c r="I21" s="310">
        <f>SUMIF($K$29:$K$128,"Project Direct",O$29:O$128)</f>
        <v>0</v>
      </c>
      <c r="J21" s="310">
        <f>SUMIF($K$29:$K$128,"Project Direct",P$29:P$128)</f>
        <v>0</v>
      </c>
      <c r="K21" s="246">
        <f>SUM(F21:J21)</f>
        <v>46975</v>
      </c>
      <c r="L21" s="175"/>
      <c r="M21" s="175"/>
      <c r="N21" s="175"/>
      <c r="O21" s="27"/>
      <c r="P21" s="27"/>
    </row>
    <row r="22" spans="2:16" ht="15.75">
      <c r="B22" s="300">
        <v>8</v>
      </c>
      <c r="C22" s="308" t="s">
        <v>146</v>
      </c>
      <c r="D22" s="314"/>
      <c r="F22" s="315">
        <f>SUM(F19:F21)</f>
        <v>52915</v>
      </c>
      <c r="G22" s="316">
        <f>SUM(G19:G21)</f>
        <v>0</v>
      </c>
      <c r="H22" s="315">
        <f>SUM(H19:H21)</f>
        <v>0</v>
      </c>
      <c r="I22" s="315">
        <f>SUM(I19:I21)</f>
        <v>0</v>
      </c>
      <c r="J22" s="315">
        <f>SUM(J19:J21)</f>
        <v>0</v>
      </c>
      <c r="K22" s="246">
        <f>SUM(F22:J22)</f>
        <v>52915</v>
      </c>
      <c r="L22" s="175"/>
      <c r="M22" s="175"/>
      <c r="N22" s="175"/>
      <c r="O22" s="27"/>
      <c r="P22" s="27"/>
    </row>
    <row r="23" spans="2:16" ht="30.75" customHeight="1">
      <c r="B23" s="300">
        <v>9</v>
      </c>
      <c r="C23" s="317" t="s">
        <v>239</v>
      </c>
      <c r="D23" s="318"/>
      <c r="E23" s="319"/>
      <c r="F23" s="320">
        <f>SUM(F15:F16,F18:F21)</f>
        <v>286702.03</v>
      </c>
      <c r="G23" s="320">
        <f>SUM(G15:G16,G19:G21)</f>
        <v>0</v>
      </c>
      <c r="H23" s="320">
        <f>SUM(H15:H16,H19:H21)</f>
        <v>0</v>
      </c>
      <c r="I23" s="320">
        <f>SUM(I15:I16,I19:I21)</f>
        <v>0</v>
      </c>
      <c r="J23" s="320">
        <f>SUM(J15:J16,J19:J21)</f>
        <v>0</v>
      </c>
      <c r="K23" s="279">
        <f>SUM(F23:J23)</f>
        <v>286702.03</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30">
      <c r="B29" s="276">
        <v>10</v>
      </c>
      <c r="C29" s="293" t="s">
        <v>23</v>
      </c>
      <c r="D29" s="325">
        <f>IF(Q32&lt;&gt;0,VLOOKUP($E$9,Info_County_Code,2,FALSE),"")</f>
        <v>18</v>
      </c>
      <c r="E29" s="144" t="s">
        <v>807</v>
      </c>
      <c r="F29" s="415" t="s">
        <v>795</v>
      </c>
      <c r="G29" s="38">
        <v>42152</v>
      </c>
      <c r="H29" s="38">
        <v>42186</v>
      </c>
      <c r="I29" s="30">
        <v>498171</v>
      </c>
      <c r="J29" s="30">
        <v>380358</v>
      </c>
      <c r="K29" s="326" t="s">
        <v>140</v>
      </c>
      <c r="L29" s="32">
        <v>5940</v>
      </c>
      <c r="M29" s="32"/>
      <c r="N29" s="30"/>
      <c r="O29" s="30"/>
      <c r="P29" s="34"/>
      <c r="Q29" s="246">
        <f>SUM(L29:P29)</f>
        <v>5940</v>
      </c>
    </row>
    <row r="30" spans="2:17" ht="30">
      <c r="B30" s="276">
        <v>10</v>
      </c>
      <c r="C30" s="218" t="s">
        <v>25</v>
      </c>
      <c r="D30" s="327">
        <f aca="true" t="shared" si="0" ref="D30:J31">IF(ISBLANK(D29),"",D29)</f>
        <v>18</v>
      </c>
      <c r="E30" s="328" t="str">
        <f t="shared" si="0"/>
        <v>Integration with Primary Care via Virtual Coordinated Care Team</v>
      </c>
      <c r="F30" s="329" t="str">
        <f t="shared" si="0"/>
        <v>Tele-Med</v>
      </c>
      <c r="G30" s="329">
        <f t="shared" si="0"/>
        <v>42152</v>
      </c>
      <c r="H30" s="329">
        <f t="shared" si="0"/>
        <v>42186</v>
      </c>
      <c r="I30" s="330">
        <f t="shared" si="0"/>
        <v>498171</v>
      </c>
      <c r="J30" s="330">
        <f t="shared" si="0"/>
        <v>380358</v>
      </c>
      <c r="K30" s="275" t="s">
        <v>141</v>
      </c>
      <c r="L30" s="32"/>
      <c r="M30" s="32"/>
      <c r="N30" s="30"/>
      <c r="O30" s="30"/>
      <c r="P30" s="34"/>
      <c r="Q30" s="246">
        <f aca="true" t="shared" si="1" ref="Q30:Q60">SUM(L30:P30)</f>
        <v>0</v>
      </c>
    </row>
    <row r="31" spans="2:17" ht="30">
      <c r="B31" s="276">
        <v>10</v>
      </c>
      <c r="C31" s="218" t="s">
        <v>27</v>
      </c>
      <c r="D31" s="327">
        <f aca="true" t="shared" si="2" ref="D31:I31">IF(ISBLANK(D29),"",D29)</f>
        <v>18</v>
      </c>
      <c r="E31" s="331" t="str">
        <f t="shared" si="2"/>
        <v>Integration with Primary Care via Virtual Coordinated Care Team</v>
      </c>
      <c r="F31" s="332" t="str">
        <f t="shared" si="2"/>
        <v>Tele-Med</v>
      </c>
      <c r="G31" s="332">
        <f t="shared" si="2"/>
        <v>42152</v>
      </c>
      <c r="H31" s="332">
        <f t="shared" si="2"/>
        <v>42186</v>
      </c>
      <c r="I31" s="275">
        <f t="shared" si="2"/>
        <v>498171</v>
      </c>
      <c r="J31" s="275">
        <f t="shared" si="0"/>
        <v>380358</v>
      </c>
      <c r="K31" s="275" t="s">
        <v>197</v>
      </c>
      <c r="L31" s="32">
        <v>46975</v>
      </c>
      <c r="M31" s="32"/>
      <c r="N31" s="30"/>
      <c r="O31" s="30"/>
      <c r="P31" s="34"/>
      <c r="Q31" s="246">
        <f t="shared" si="1"/>
        <v>46975</v>
      </c>
    </row>
    <row r="32" spans="2:17" ht="31.5">
      <c r="B32" s="333">
        <v>10</v>
      </c>
      <c r="C32" s="333" t="s">
        <v>202</v>
      </c>
      <c r="D32" s="334">
        <f aca="true" t="shared" si="3" ref="D32:J32">IF(ISBLANK(D29),"",D29)</f>
        <v>18</v>
      </c>
      <c r="E32" s="335" t="str">
        <f t="shared" si="3"/>
        <v>Integration with Primary Care via Virtual Coordinated Care Team</v>
      </c>
      <c r="F32" s="336" t="str">
        <f t="shared" si="3"/>
        <v>Tele-Med</v>
      </c>
      <c r="G32" s="336">
        <f t="shared" si="3"/>
        <v>42152</v>
      </c>
      <c r="H32" s="336">
        <f t="shared" si="3"/>
        <v>42186</v>
      </c>
      <c r="I32" s="337">
        <f t="shared" si="3"/>
        <v>498171</v>
      </c>
      <c r="J32" s="337">
        <f t="shared" si="3"/>
        <v>380358</v>
      </c>
      <c r="K32" s="279" t="s">
        <v>217</v>
      </c>
      <c r="L32" s="338">
        <f>SUM(L29:L31)</f>
        <v>52915</v>
      </c>
      <c r="M32" s="338">
        <f>SUM(M29:M31)</f>
        <v>0</v>
      </c>
      <c r="N32" s="339">
        <f>SUM(N29:N31)</f>
        <v>0</v>
      </c>
      <c r="O32" s="339">
        <f>SUM(O29:O31)</f>
        <v>0</v>
      </c>
      <c r="P32" s="340">
        <f>SUM(P29:P31)</f>
        <v>0</v>
      </c>
      <c r="Q32" s="279">
        <f t="shared" si="1"/>
        <v>52915</v>
      </c>
    </row>
    <row r="33" spans="2:17" ht="15">
      <c r="B33" s="276">
        <v>11</v>
      </c>
      <c r="C33" s="293" t="s">
        <v>23</v>
      </c>
      <c r="D33" s="325">
        <f>IF(Q36&lt;&gt;0,VLOOKUP($E$9,Info_County_Code,2,FALSE),"")</f>
      </c>
      <c r="E33" s="144"/>
      <c r="F33" s="415"/>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49">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3">
      <selection activeCell="E32" sqref="E32"/>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FY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Lassen</v>
      </c>
      <c r="F9" s="226" t="s">
        <v>1</v>
      </c>
      <c r="G9" s="346">
        <f>IF(ISBLANK('1. Information'!D9),"",'1. Information'!D9)</f>
        <v>44221</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v>0</v>
      </c>
      <c r="G16" s="136"/>
      <c r="H16" s="136"/>
      <c r="I16" s="136"/>
      <c r="J16" s="136"/>
      <c r="K16" s="241">
        <f aca="true" t="shared" si="0" ref="K16:K21">SUM(F16:J16)</f>
        <v>0</v>
      </c>
      <c r="L16" s="175"/>
      <c r="M16" s="175"/>
      <c r="N16" s="27"/>
      <c r="O16" s="27"/>
    </row>
    <row r="17" spans="1:15" ht="15.75">
      <c r="A17" s="27"/>
      <c r="B17" s="300">
        <v>3</v>
      </c>
      <c r="C17" s="163" t="s">
        <v>198</v>
      </c>
      <c r="D17" s="242"/>
      <c r="E17" s="350"/>
      <c r="F17" s="136">
        <v>0</v>
      </c>
      <c r="G17" s="136"/>
      <c r="H17" s="136"/>
      <c r="I17" s="136"/>
      <c r="J17" s="136"/>
      <c r="K17" s="241">
        <f t="shared" si="0"/>
        <v>0</v>
      </c>
      <c r="L17" s="175"/>
      <c r="M17" s="175"/>
      <c r="N17" s="27"/>
      <c r="O17" s="27"/>
    </row>
    <row r="18" spans="1:15" ht="15.75">
      <c r="A18" s="27"/>
      <c r="B18" s="300">
        <v>4</v>
      </c>
      <c r="C18" s="163" t="s">
        <v>189</v>
      </c>
      <c r="D18" s="242"/>
      <c r="E18" s="350"/>
      <c r="F18" s="136">
        <v>0</v>
      </c>
      <c r="G18" s="275"/>
      <c r="H18" s="275"/>
      <c r="I18" s="275"/>
      <c r="J18" s="275"/>
      <c r="K18" s="241">
        <f>F18</f>
        <v>0</v>
      </c>
      <c r="L18" s="175"/>
      <c r="M18" s="175"/>
      <c r="N18" s="27"/>
      <c r="O18" s="27"/>
    </row>
    <row r="19" spans="1:15" ht="15.75">
      <c r="A19" s="27"/>
      <c r="B19" s="300">
        <v>5</v>
      </c>
      <c r="C19" s="163" t="s">
        <v>296</v>
      </c>
      <c r="D19" s="242"/>
      <c r="E19" s="350"/>
      <c r="F19" s="136">
        <v>0</v>
      </c>
      <c r="G19" s="275"/>
      <c r="H19" s="275"/>
      <c r="I19" s="275"/>
      <c r="J19" s="275"/>
      <c r="K19" s="241">
        <f>F19</f>
        <v>0</v>
      </c>
      <c r="L19" s="175"/>
      <c r="M19" s="175"/>
      <c r="N19" s="27"/>
      <c r="O19" s="27"/>
    </row>
    <row r="20" spans="1:15" ht="15.75">
      <c r="A20" s="27"/>
      <c r="B20" s="300">
        <v>6</v>
      </c>
      <c r="C20" s="242" t="s">
        <v>153</v>
      </c>
      <c r="D20" s="245"/>
      <c r="E20" s="243"/>
      <c r="F20" s="330">
        <f>SUM(E28:E32)</f>
        <v>0</v>
      </c>
      <c r="G20" s="351">
        <f>SUM(F28:F32)</f>
        <v>0</v>
      </c>
      <c r="H20" s="330">
        <f>SUM(G28:G32)</f>
        <v>0</v>
      </c>
      <c r="I20" s="330">
        <f>SUM(H28:H32)</f>
        <v>0</v>
      </c>
      <c r="J20" s="330">
        <f>SUM(I28:I32)</f>
        <v>0</v>
      </c>
      <c r="K20" s="246">
        <f t="shared" si="0"/>
        <v>0</v>
      </c>
      <c r="L20" s="175"/>
      <c r="M20" s="175"/>
      <c r="N20" s="27"/>
      <c r="O20" s="27"/>
    </row>
    <row r="21" spans="1:15" ht="30.75" customHeight="1">
      <c r="A21" s="27"/>
      <c r="B21" s="300">
        <v>7</v>
      </c>
      <c r="C21" s="277" t="s">
        <v>188</v>
      </c>
      <c r="D21" s="277"/>
      <c r="E21" s="277"/>
      <c r="F21" s="279">
        <f>SUM(F15:F17,F19:F20)</f>
        <v>0</v>
      </c>
      <c r="G21" s="251">
        <f>SUM(G15:G17,G20)</f>
        <v>0</v>
      </c>
      <c r="H21" s="250">
        <f>SUM(H15:H17,H20)</f>
        <v>0</v>
      </c>
      <c r="I21" s="250">
        <f>SUM(I15:I17,I20)</f>
        <v>0</v>
      </c>
      <c r="J21" s="250">
        <f>SUM(J15:J17,J20)</f>
        <v>0</v>
      </c>
      <c r="K21" s="279">
        <f t="shared" si="0"/>
        <v>0</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c>
      <c r="D28" s="355" t="s">
        <v>98</v>
      </c>
      <c r="E28" s="31">
        <v>0</v>
      </c>
      <c r="F28" s="32"/>
      <c r="G28" s="31"/>
      <c r="H28" s="31"/>
      <c r="I28" s="128"/>
      <c r="J28" s="275">
        <f>SUM(E28:I28)</f>
        <v>0</v>
      </c>
      <c r="K28" s="175"/>
      <c r="L28" s="175"/>
      <c r="M28" s="175"/>
      <c r="N28" s="175"/>
      <c r="O28" s="175"/>
      <c r="P28" s="175"/>
      <c r="Q28" s="175"/>
      <c r="R28" s="175"/>
    </row>
    <row r="29" spans="1:18" ht="15.75">
      <c r="A29" s="27"/>
      <c r="B29" s="300">
        <v>9</v>
      </c>
      <c r="C29" s="301">
        <f>IF(J29&lt;&gt;0,VLOOKUP($D$9,Info_County_Code,2,FALSE),"")</f>
      </c>
      <c r="D29" s="355" t="s">
        <v>99</v>
      </c>
      <c r="E29" s="31">
        <v>0</v>
      </c>
      <c r="F29" s="32"/>
      <c r="G29" s="31"/>
      <c r="H29" s="31"/>
      <c r="I29" s="128"/>
      <c r="J29" s="275">
        <f>SUM(E29:I29)</f>
        <v>0</v>
      </c>
      <c r="K29" s="175"/>
      <c r="L29" s="175"/>
      <c r="M29" s="175"/>
      <c r="N29" s="175"/>
      <c r="O29" s="175"/>
      <c r="P29" s="175"/>
      <c r="Q29" s="175"/>
      <c r="R29" s="175"/>
    </row>
    <row r="30" spans="1:18" ht="15.75">
      <c r="A30" s="27"/>
      <c r="B30" s="300">
        <v>10</v>
      </c>
      <c r="C30" s="301">
        <f>IF(J30&lt;&gt;0,VLOOKUP($D$9,Info_County_Code,2,FALSE),"")</f>
      </c>
      <c r="D30" s="219" t="s">
        <v>295</v>
      </c>
      <c r="E30" s="31">
        <v>0</v>
      </c>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v>0</v>
      </c>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v>0</v>
      </c>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B13">
      <selection activeCell="B28" sqref="A28:IV28"/>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FY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Lassen</v>
      </c>
      <c r="E9" s="8"/>
      <c r="F9" s="162" t="s">
        <v>1</v>
      </c>
      <c r="G9" s="264">
        <f>IF(ISBLANK('1. Information'!D9),"",'1. Information'!D9)</f>
        <v>44221</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540</v>
      </c>
      <c r="G15" s="136"/>
      <c r="H15" s="136"/>
      <c r="I15" s="136"/>
      <c r="J15" s="136"/>
      <c r="K15" s="326">
        <f>SUM(F15:J15)</f>
        <v>540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v>0</v>
      </c>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221851</v>
      </c>
      <c r="G20" s="351">
        <f>SUM(H27:H46)</f>
        <v>0</v>
      </c>
      <c r="H20" s="330">
        <f>SUM(I27:I46)</f>
        <v>0</v>
      </c>
      <c r="I20" s="330">
        <f>SUM(J27:J46)</f>
        <v>0</v>
      </c>
      <c r="J20" s="275">
        <f>SUM(K27:K46)</f>
        <v>0</v>
      </c>
      <c r="K20" s="326">
        <f>SUM(F20:J20)</f>
        <v>221851</v>
      </c>
      <c r="L20" s="175"/>
      <c r="M20" s="175"/>
      <c r="U20" s="27"/>
      <c r="V20" s="27"/>
      <c r="W20" s="27"/>
    </row>
    <row r="21" spans="2:23" ht="30.75" customHeight="1">
      <c r="B21" s="300">
        <v>7</v>
      </c>
      <c r="C21" s="359" t="s">
        <v>768</v>
      </c>
      <c r="D21" s="360"/>
      <c r="E21" s="361"/>
      <c r="F21" s="279">
        <f>SUM(F15:F17,F19:F20)</f>
        <v>222391</v>
      </c>
      <c r="G21" s="251">
        <f>SUM(G15:G17,G20)</f>
        <v>0</v>
      </c>
      <c r="H21" s="251">
        <f>SUM(H15:H17,H20)</f>
        <v>0</v>
      </c>
      <c r="I21" s="251">
        <f>SUM(I15:I17,I20)</f>
        <v>0</v>
      </c>
      <c r="J21" s="251">
        <f>SUM(J15:J17,J20)</f>
        <v>0</v>
      </c>
      <c r="K21" s="250">
        <f>SUM(F21:J21)</f>
        <v>222391</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18</v>
      </c>
      <c r="D27" s="144" t="s">
        <v>789</v>
      </c>
      <c r="E27" s="144"/>
      <c r="F27" s="127" t="s">
        <v>154</v>
      </c>
      <c r="G27" s="126">
        <v>221851</v>
      </c>
      <c r="H27" s="126"/>
      <c r="I27" s="126"/>
      <c r="J27" s="129"/>
      <c r="K27" s="126"/>
      <c r="L27" s="364">
        <f>SUM(G27:K27)</f>
        <v>221851</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55">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H15" sqref="H15:H20"/>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FY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Lassen</v>
      </c>
      <c r="E9" s="2"/>
      <c r="F9" s="365" t="s">
        <v>156</v>
      </c>
      <c r="G9" s="264">
        <f>IF(ISBLANK('1. Information'!D9),"",'1. Information'!D9)</f>
        <v>44221</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139"/>
      <c r="F16" s="150"/>
      <c r="G16" s="132"/>
      <c r="H16" s="134"/>
    </row>
    <row r="17" spans="2:8" ht="15">
      <c r="B17" s="300">
        <v>3</v>
      </c>
      <c r="C17" s="301">
        <f t="shared" si="0"/>
      </c>
      <c r="D17" s="40"/>
      <c r="E17" s="139"/>
      <c r="F17" s="150"/>
      <c r="G17" s="132"/>
      <c r="H17" s="134"/>
    </row>
    <row r="18" spans="2:8" ht="15">
      <c r="B18" s="300">
        <v>4</v>
      </c>
      <c r="C18" s="301">
        <f t="shared" si="0"/>
      </c>
      <c r="D18" s="139"/>
      <c r="E18" s="139"/>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FY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Lassen</v>
      </c>
      <c r="F9" s="226" t="s">
        <v>1</v>
      </c>
      <c r="G9" s="346">
        <f>IF(ISBLANK('1. Information'!D9),"",'1. Information'!D9)</f>
        <v>44221</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4">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FY 2019-20</v>
      </c>
      <c r="C6" s="1"/>
      <c r="D6" s="1"/>
    </row>
    <row r="7" spans="2:5" ht="18">
      <c r="B7" s="382" t="s">
        <v>282</v>
      </c>
      <c r="C7" s="1"/>
      <c r="D7" s="1"/>
      <c r="E7" s="27"/>
    </row>
    <row r="8" ht="15">
      <c r="D8" s="131"/>
    </row>
    <row r="9" spans="2:4" ht="34.5" customHeight="1">
      <c r="B9" s="203">
        <v>1</v>
      </c>
      <c r="C9" s="209" t="s">
        <v>1</v>
      </c>
      <c r="D9" s="113">
        <v>44221</v>
      </c>
    </row>
    <row r="10" spans="2:4" ht="34.5" customHeight="1">
      <c r="B10" s="203">
        <v>2</v>
      </c>
      <c r="C10" s="205" t="s">
        <v>303</v>
      </c>
      <c r="D10" s="151" t="s">
        <v>787</v>
      </c>
    </row>
    <row r="11" spans="2:4" ht="34.5" customHeight="1">
      <c r="B11" s="203">
        <v>3</v>
      </c>
      <c r="C11" s="204" t="s">
        <v>0</v>
      </c>
      <c r="D11" s="135" t="s">
        <v>53</v>
      </c>
    </row>
    <row r="12" spans="2:4" ht="34.5" customHeight="1">
      <c r="B12" s="203">
        <v>4</v>
      </c>
      <c r="C12" s="206" t="s">
        <v>113</v>
      </c>
      <c r="D12" s="182">
        <f>IF(ISBLANK(D11),"",VLOOKUP(D11,Info_County_Code,2))</f>
        <v>18</v>
      </c>
    </row>
    <row r="13" spans="2:4" ht="34.5" customHeight="1">
      <c r="B13" s="203">
        <v>5</v>
      </c>
      <c r="C13" s="204" t="s">
        <v>114</v>
      </c>
      <c r="D13" s="414" t="s">
        <v>786</v>
      </c>
    </row>
    <row r="14" spans="2:4" ht="34.5" customHeight="1">
      <c r="B14" s="203">
        <v>6</v>
      </c>
      <c r="C14" s="204" t="s">
        <v>115</v>
      </c>
      <c r="D14" s="135" t="s">
        <v>785</v>
      </c>
    </row>
    <row r="15" spans="2:4" ht="34.5" customHeight="1">
      <c r="B15" s="203">
        <v>7</v>
      </c>
      <c r="C15" s="204" t="s">
        <v>116</v>
      </c>
      <c r="D15" s="172">
        <v>96130</v>
      </c>
    </row>
    <row r="16" spans="2:4" ht="34.5" customHeight="1">
      <c r="B16" s="203">
        <v>8</v>
      </c>
      <c r="C16" s="207" t="s">
        <v>162</v>
      </c>
      <c r="D16" s="183" t="str">
        <f>IF(ISBLANK(D11),"",VLOOKUP(D11,County_Population,5,FALSE))</f>
        <v>No</v>
      </c>
    </row>
    <row r="17" spans="2:4" ht="34.5" customHeight="1">
      <c r="B17" s="203">
        <v>9</v>
      </c>
      <c r="C17" s="204" t="s">
        <v>112</v>
      </c>
      <c r="D17" s="135" t="s">
        <v>782</v>
      </c>
    </row>
    <row r="18" spans="2:4" ht="34.5" customHeight="1">
      <c r="B18" s="203">
        <v>10</v>
      </c>
      <c r="C18" s="208" t="s">
        <v>167</v>
      </c>
      <c r="D18" s="412" t="s">
        <v>788</v>
      </c>
    </row>
    <row r="19" spans="2:4" ht="34.5" customHeight="1">
      <c r="B19" s="203">
        <v>11</v>
      </c>
      <c r="C19" s="208" t="s">
        <v>184</v>
      </c>
      <c r="D19" s="412" t="s">
        <v>783</v>
      </c>
    </row>
    <row r="20" spans="2:4" ht="34.5" customHeight="1">
      <c r="B20" s="203">
        <v>12</v>
      </c>
      <c r="C20" s="209" t="s">
        <v>280</v>
      </c>
      <c r="D20" s="413" t="s">
        <v>784</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6" sqref="E16"/>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FY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Lassen</v>
      </c>
      <c r="F9" s="226" t="s">
        <v>1</v>
      </c>
      <c r="G9" s="346">
        <f>IF(ISBLANK('1. Information'!D9),"",'1. Information'!D9)</f>
        <v>44221</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45">
      <c r="B13" s="375">
        <v>1</v>
      </c>
      <c r="C13" s="169" t="s">
        <v>28</v>
      </c>
      <c r="D13" s="169" t="s">
        <v>796</v>
      </c>
      <c r="E13" s="117" t="s">
        <v>797</v>
      </c>
    </row>
    <row r="14" spans="2:5" ht="45">
      <c r="B14" s="376">
        <v>2</v>
      </c>
      <c r="C14" s="169" t="s">
        <v>29</v>
      </c>
      <c r="D14" s="169" t="s">
        <v>796</v>
      </c>
      <c r="E14" s="117" t="s">
        <v>798</v>
      </c>
    </row>
    <row r="15" spans="2:5" ht="15">
      <c r="B15" s="376">
        <v>3</v>
      </c>
      <c r="C15" s="169" t="s">
        <v>28</v>
      </c>
      <c r="D15" s="169" t="s">
        <v>796</v>
      </c>
      <c r="E15" s="117" t="s">
        <v>808</v>
      </c>
    </row>
    <row r="16" spans="2:5" ht="15">
      <c r="B16" s="375">
        <v>4</v>
      </c>
      <c r="C16" s="169" t="s">
        <v>28</v>
      </c>
      <c r="D16" s="169" t="s">
        <v>796</v>
      </c>
      <c r="E16" s="117" t="s">
        <v>809</v>
      </c>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Lassen</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6" t="s">
        <v>148</v>
      </c>
      <c r="B1" s="417"/>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9" t="s">
        <v>171</v>
      </c>
      <c r="B2" s="419"/>
      <c r="C2" s="419"/>
      <c r="D2" s="419"/>
      <c r="E2" s="419"/>
    </row>
    <row r="3" spans="1:5" ht="14.25" customHeight="1">
      <c r="A3" s="419" t="s">
        <v>235</v>
      </c>
      <c r="B3" s="419"/>
      <c r="C3" s="419"/>
      <c r="D3" s="419"/>
      <c r="E3" s="419"/>
    </row>
    <row r="4" spans="1:4" ht="14.25" customHeight="1" thickBot="1">
      <c r="A4" s="57"/>
      <c r="B4" s="58"/>
      <c r="C4" s="59"/>
      <c r="D4" s="60"/>
    </row>
    <row r="5" spans="1:5" ht="14.25" customHeight="1">
      <c r="A5" s="61" t="s">
        <v>172</v>
      </c>
      <c r="B5" s="418" t="s">
        <v>173</v>
      </c>
      <c r="C5" s="418"/>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7">
      <selection activeCell="D46" sqref="D46"/>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FY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Lassen</v>
      </c>
      <c r="F9" s="210" t="s">
        <v>1</v>
      </c>
      <c r="G9" s="185">
        <f>IF(ISBLANK('1. Information'!D9),"",'1. Information'!D9)</f>
        <v>44221</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24029.2</v>
      </c>
      <c r="E14" s="149">
        <v>15039.5</v>
      </c>
      <c r="F14" s="149">
        <v>3244.07</v>
      </c>
      <c r="G14" s="149">
        <v>0</v>
      </c>
      <c r="H14" s="149">
        <v>5659.04</v>
      </c>
      <c r="I14" s="186">
        <f>SUM(D14:H14)</f>
        <v>47971.81</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804579</v>
      </c>
      <c r="G19" s="122"/>
      <c r="H19" s="122"/>
      <c r="I19" s="122"/>
    </row>
    <row r="20" spans="2:9" ht="15">
      <c r="B20" s="216">
        <v>4</v>
      </c>
      <c r="C20" s="220" t="s">
        <v>22</v>
      </c>
      <c r="D20" s="149">
        <v>94899</v>
      </c>
      <c r="E20" s="149">
        <v>94900</v>
      </c>
      <c r="F20" s="187">
        <f>-D20-E20</f>
        <v>-189799</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614780</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1521606.73</v>
      </c>
      <c r="E31" s="194">
        <f>'4. PEI'!F22</f>
        <v>574625.97</v>
      </c>
      <c r="F31" s="194">
        <f>'5. INN'!F23</f>
        <v>286702.03</v>
      </c>
      <c r="G31" s="194">
        <f>'6. WET'!F21</f>
        <v>0</v>
      </c>
      <c r="H31" s="194">
        <f>'7. CFTN'!F21</f>
        <v>222391</v>
      </c>
      <c r="I31" s="194">
        <f>SUM(D31:H31)</f>
        <v>2605325.73</v>
      </c>
    </row>
    <row r="32" spans="2:9" ht="15">
      <c r="B32" s="211">
        <v>10</v>
      </c>
      <c r="C32" s="223" t="s">
        <v>4</v>
      </c>
      <c r="D32" s="189">
        <f>'3. CSS'!G27</f>
        <v>0</v>
      </c>
      <c r="E32" s="189">
        <f>'4. PEI'!G22</f>
        <v>0</v>
      </c>
      <c r="F32" s="189">
        <f>'5. INN'!G23</f>
        <v>0</v>
      </c>
      <c r="G32" s="189">
        <f>'6. WET'!G21</f>
        <v>0</v>
      </c>
      <c r="H32" s="189">
        <f>'7. CFTN'!G21</f>
        <v>0</v>
      </c>
      <c r="I32" s="194">
        <f>SUM(D32:H32)</f>
        <v>0</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-9243.44</v>
      </c>
      <c r="E35" s="189">
        <f>'4. PEI'!J22</f>
        <v>0</v>
      </c>
      <c r="F35" s="189">
        <f>'5. INN'!J23</f>
        <v>0</v>
      </c>
      <c r="G35" s="189">
        <f>'6. WET'!J21</f>
        <v>0</v>
      </c>
      <c r="H35" s="189">
        <f>'7. CFTN'!J21</f>
        <v>0</v>
      </c>
      <c r="I35" s="194">
        <f>SUM(D35:H35)</f>
        <v>-9243.44</v>
      </c>
    </row>
    <row r="36" spans="2:9" ht="15.75">
      <c r="B36" s="211">
        <v>14</v>
      </c>
      <c r="C36" s="224" t="s">
        <v>21</v>
      </c>
      <c r="D36" s="195">
        <f>SUM(D31:D35)</f>
        <v>1512363.29</v>
      </c>
      <c r="E36" s="195">
        <f>SUM(E31:E35)</f>
        <v>574625.97</v>
      </c>
      <c r="F36" s="195">
        <f>SUM(F31:F35)</f>
        <v>286702.03</v>
      </c>
      <c r="G36" s="195">
        <f>SUM(G31:G35)</f>
        <v>0</v>
      </c>
      <c r="H36" s="195">
        <f>SUM(H31:H35)</f>
        <v>222391</v>
      </c>
      <c r="I36" s="196">
        <f>SUM(D36:H36)</f>
        <v>2596082.29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129411.42000000001</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1213101.26</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0</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67">
      <selection activeCell="A16" sqref="A16"/>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B19">
      <selection activeCell="G38" sqref="G38"/>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FY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Lassen</v>
      </c>
      <c r="E9" s="123"/>
      <c r="F9" s="226" t="s">
        <v>1</v>
      </c>
      <c r="G9" s="227">
        <f>IF(ISBLANK('1. Information'!D9),"",'1. Information'!D9)</f>
        <v>44221</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41680.41</v>
      </c>
      <c r="G15" s="136"/>
      <c r="H15" s="136"/>
      <c r="I15" s="136"/>
      <c r="J15" s="136"/>
      <c r="K15" s="241">
        <f>SUM(F15:J15)</f>
        <v>41680.41</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v>791927.74</v>
      </c>
      <c r="G17" s="136"/>
      <c r="H17" s="136"/>
      <c r="I17" s="136"/>
      <c r="J17" s="136">
        <v>-9243.44</v>
      </c>
      <c r="K17" s="241">
        <f>SUM(F17:J17)</f>
        <v>782684.3</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687998.58</v>
      </c>
      <c r="G25" s="246">
        <f>SUM(H34:H133)</f>
        <v>0</v>
      </c>
      <c r="H25" s="246">
        <f>SUM(I34:I133)</f>
        <v>0</v>
      </c>
      <c r="I25" s="246">
        <f>SUM(J34:J133)</f>
        <v>0</v>
      </c>
      <c r="J25" s="246">
        <f>SUM(K34:K133)</f>
        <v>0</v>
      </c>
      <c r="K25" s="246">
        <f>SUM(F25:J25)</f>
        <v>687998.58</v>
      </c>
      <c r="L25" s="175"/>
    </row>
    <row r="26" spans="1:12" ht="30.75" customHeight="1">
      <c r="A26" s="123"/>
      <c r="B26" s="234">
        <v>12</v>
      </c>
      <c r="C26" s="247" t="s">
        <v>190</v>
      </c>
      <c r="D26" s="248"/>
      <c r="E26" s="249"/>
      <c r="F26" s="250">
        <f>SUM(F15:F17,F19:F25)</f>
        <v>1521606.73</v>
      </c>
      <c r="G26" s="250">
        <f>SUM(G15:G17,G25)</f>
        <v>0</v>
      </c>
      <c r="H26" s="251">
        <f>SUM(H15:H17,H25)</f>
        <v>0</v>
      </c>
      <c r="I26" s="250">
        <f>SUM(I15:I17,I25)</f>
        <v>0</v>
      </c>
      <c r="J26" s="250">
        <f>SUM(J15:J17,J25)</f>
        <v>-9243.44</v>
      </c>
      <c r="K26" s="250">
        <f>SUM(F26:J26)</f>
        <v>1512363.29</v>
      </c>
      <c r="L26" s="175"/>
    </row>
    <row r="27" spans="1:12" ht="30.75" customHeight="1">
      <c r="A27" s="123"/>
      <c r="B27" s="234">
        <v>13</v>
      </c>
      <c r="C27" s="252" t="s">
        <v>675</v>
      </c>
      <c r="D27" s="252"/>
      <c r="E27" s="252"/>
      <c r="F27" s="250">
        <f>SUM(F15:F17,F19,F20,F25)</f>
        <v>1521606.73</v>
      </c>
      <c r="G27" s="250">
        <f>SUM(G15:G17,G25)</f>
        <v>0</v>
      </c>
      <c r="H27" s="250">
        <f>SUM(H15:H17,H25)</f>
        <v>0</v>
      </c>
      <c r="I27" s="250">
        <f>SUM(I15:I17,I25)</f>
        <v>0</v>
      </c>
      <c r="J27" s="250">
        <f>SUM(J15:J17,J25)</f>
        <v>-9243.44</v>
      </c>
      <c r="K27" s="250">
        <f>SUM(F27:J27)</f>
        <v>1512363.29</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18</v>
      </c>
      <c r="D34" s="144" t="s">
        <v>790</v>
      </c>
      <c r="E34" s="144"/>
      <c r="F34" s="127" t="s">
        <v>96</v>
      </c>
      <c r="G34" s="126">
        <v>273312.38</v>
      </c>
      <c r="H34" s="126"/>
      <c r="I34" s="126"/>
      <c r="J34" s="129"/>
      <c r="K34" s="126"/>
      <c r="L34" s="246">
        <f>SUM(G34:K34)</f>
        <v>273312.38</v>
      </c>
    </row>
    <row r="35" spans="1:12" ht="15.75">
      <c r="A35" s="123"/>
      <c r="B35" s="262">
        <v>15</v>
      </c>
      <c r="C35" s="263">
        <f t="shared" si="1"/>
        <v>18</v>
      </c>
      <c r="D35" s="144" t="s">
        <v>791</v>
      </c>
      <c r="E35" s="144"/>
      <c r="F35" s="127" t="s">
        <v>95</v>
      </c>
      <c r="G35" s="126">
        <v>171752.44</v>
      </c>
      <c r="H35" s="126"/>
      <c r="I35" s="126"/>
      <c r="J35" s="129"/>
      <c r="K35" s="126"/>
      <c r="L35" s="246">
        <f aca="true" t="shared" si="2" ref="L35:L98">SUM(G35:K35)</f>
        <v>171752.44</v>
      </c>
    </row>
    <row r="36" spans="1:12" ht="15.75">
      <c r="A36" s="123"/>
      <c r="B36" s="262">
        <v>16</v>
      </c>
      <c r="C36" s="263">
        <f t="shared" si="1"/>
        <v>18</v>
      </c>
      <c r="D36" s="144" t="s">
        <v>792</v>
      </c>
      <c r="E36" s="144"/>
      <c r="F36" s="127" t="s">
        <v>96</v>
      </c>
      <c r="G36" s="126">
        <v>76557.06</v>
      </c>
      <c r="H36" s="126"/>
      <c r="I36" s="126"/>
      <c r="J36" s="129"/>
      <c r="K36" s="126"/>
      <c r="L36" s="246">
        <f t="shared" si="2"/>
        <v>76557.06</v>
      </c>
    </row>
    <row r="37" spans="1:12" ht="15.75">
      <c r="A37" s="123"/>
      <c r="B37" s="262">
        <v>17</v>
      </c>
      <c r="C37" s="263">
        <f t="shared" si="1"/>
        <v>18</v>
      </c>
      <c r="D37" s="144" t="s">
        <v>793</v>
      </c>
      <c r="E37" s="144"/>
      <c r="F37" s="127" t="s">
        <v>96</v>
      </c>
      <c r="G37" s="126">
        <v>26076.7</v>
      </c>
      <c r="H37" s="126"/>
      <c r="I37" s="126"/>
      <c r="J37" s="129"/>
      <c r="K37" s="126"/>
      <c r="L37" s="246">
        <f t="shared" si="2"/>
        <v>26076.7</v>
      </c>
    </row>
    <row r="38" spans="1:12" ht="15.75">
      <c r="A38" s="123"/>
      <c r="B38" s="262">
        <v>18</v>
      </c>
      <c r="C38" s="263">
        <f t="shared" si="1"/>
        <v>18</v>
      </c>
      <c r="D38" s="144" t="s">
        <v>806</v>
      </c>
      <c r="E38" s="144"/>
      <c r="F38" s="127" t="s">
        <v>96</v>
      </c>
      <c r="G38" s="126">
        <v>140300</v>
      </c>
      <c r="H38" s="126"/>
      <c r="I38" s="126"/>
      <c r="J38" s="129"/>
      <c r="K38" s="126"/>
      <c r="L38" s="246">
        <f t="shared" si="2"/>
        <v>140300</v>
      </c>
    </row>
    <row r="39" spans="1:12" ht="15.75">
      <c r="A39" s="123"/>
      <c r="B39" s="262">
        <v>19</v>
      </c>
      <c r="C39" s="263">
        <f t="shared" si="1"/>
      </c>
      <c r="D39" s="144"/>
      <c r="E39" s="144"/>
      <c r="F39" s="127"/>
      <c r="G39" s="126"/>
      <c r="H39" s="126"/>
      <c r="I39" s="126"/>
      <c r="J39" s="129"/>
      <c r="K39" s="126"/>
      <c r="L39" s="246">
        <f t="shared" si="2"/>
        <v>0</v>
      </c>
    </row>
    <row r="40" spans="1:12" ht="15.75">
      <c r="A40" s="123"/>
      <c r="B40" s="262">
        <v>20</v>
      </c>
      <c r="C40" s="263">
        <f t="shared" si="1"/>
      </c>
      <c r="D40" s="144"/>
      <c r="E40" s="144"/>
      <c r="F40" s="127"/>
      <c r="G40" s="126"/>
      <c r="H40" s="126"/>
      <c r="I40" s="126"/>
      <c r="J40" s="129"/>
      <c r="K40" s="126"/>
      <c r="L40" s="246">
        <f t="shared" si="2"/>
        <v>0</v>
      </c>
    </row>
    <row r="41" spans="1:12" ht="15.75">
      <c r="A41" s="123"/>
      <c r="B41" s="262">
        <v>21</v>
      </c>
      <c r="C41" s="263">
        <f t="shared" si="1"/>
      </c>
      <c r="D41" s="144"/>
      <c r="E41" s="144"/>
      <c r="F41" s="127"/>
      <c r="G41" s="126"/>
      <c r="H41" s="126"/>
      <c r="I41" s="126"/>
      <c r="J41" s="129"/>
      <c r="K41" s="126"/>
      <c r="L41" s="246">
        <f t="shared" si="2"/>
        <v>0</v>
      </c>
    </row>
    <row r="42" spans="1:12" ht="15.75">
      <c r="A42" s="123"/>
      <c r="B42" s="262">
        <v>22</v>
      </c>
      <c r="C42" s="263">
        <f t="shared" si="1"/>
      </c>
      <c r="D42" s="144"/>
      <c r="E42" s="144"/>
      <c r="F42" s="127"/>
      <c r="G42" s="126"/>
      <c r="H42" s="126"/>
      <c r="I42" s="126"/>
      <c r="J42" s="129"/>
      <c r="K42" s="126"/>
      <c r="L42" s="246">
        <f t="shared" si="2"/>
        <v>0</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E9">
      <selection activeCell="M40" sqref="M40"/>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FY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Lassen</v>
      </c>
      <c r="E9" s="27" t="str">
        <f>IF(ISBLANK('1. Information'!D11),"",'1. Information'!D11)</f>
        <v>Lassen</v>
      </c>
      <c r="F9" s="226" t="s">
        <v>1</v>
      </c>
      <c r="G9" s="264">
        <f>IF(ISBLANK('1. Information'!D9),"",'1. Information'!D9)</f>
        <v>44221</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13431.88</v>
      </c>
      <c r="G15" s="136"/>
      <c r="H15" s="136"/>
      <c r="I15" s="136"/>
      <c r="J15" s="136"/>
      <c r="K15" s="241">
        <f>SUM(F15:J15)</f>
        <v>13431.88</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255205.62</v>
      </c>
      <c r="G17" s="136"/>
      <c r="H17" s="136"/>
      <c r="I17" s="136"/>
      <c r="J17" s="136"/>
      <c r="K17" s="241">
        <f t="shared" si="0"/>
        <v>255205.62</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305988.47</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305988.47</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574625.97</v>
      </c>
      <c r="G22" s="279">
        <f>SUM(G15:G17,G20:G21)</f>
        <v>0</v>
      </c>
      <c r="H22" s="279">
        <f>SUM(H15:H17,H20:H21)</f>
        <v>0</v>
      </c>
      <c r="I22" s="279">
        <f>SUM(I15:I17,I20:I21)</f>
        <v>0</v>
      </c>
      <c r="J22" s="279">
        <f>SUM(J15:J17,J20:J21)</f>
        <v>0</v>
      </c>
      <c r="K22" s="279">
        <f t="shared" si="0"/>
        <v>574625.97</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0.038292706297280654</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18</v>
      </c>
      <c r="D34" s="144" t="s">
        <v>794</v>
      </c>
      <c r="E34" s="144"/>
      <c r="F34" s="147" t="s">
        <v>125</v>
      </c>
      <c r="G34" s="148"/>
      <c r="H34" s="33"/>
      <c r="I34" s="36">
        <v>1</v>
      </c>
      <c r="J34" s="36">
        <v>0.02</v>
      </c>
      <c r="K34" s="302">
        <f>IF(OR(G34="Combined Summary",F34="Standalone"),(SUMPRODUCT(--(D$34:D$133=D34),I$34:I$133,J$34:J$133)),"")</f>
        <v>0.02</v>
      </c>
      <c r="L34" s="126">
        <v>0</v>
      </c>
      <c r="M34" s="133"/>
      <c r="N34" s="30"/>
      <c r="O34" s="30"/>
      <c r="P34" s="30"/>
      <c r="Q34" s="303">
        <f>SUM(L34:P34)</f>
        <v>0</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18</v>
      </c>
      <c r="D35" s="144" t="s">
        <v>799</v>
      </c>
      <c r="E35" s="144"/>
      <c r="F35" s="147" t="s">
        <v>125</v>
      </c>
      <c r="G35" s="148"/>
      <c r="H35" s="33"/>
      <c r="I35" s="36">
        <v>1</v>
      </c>
      <c r="J35" s="36">
        <v>0.03</v>
      </c>
      <c r="K35" s="302">
        <f aca="true" t="shared" si="2" ref="K35:K98">IF(OR(G35="Combined Summary",F35="Standalone"),(SUMPRODUCT(--(D$34:D$133=D35),I$34:I$133,J$34:J$133)),"")</f>
        <v>0.03</v>
      </c>
      <c r="L35" s="126">
        <v>300</v>
      </c>
      <c r="M35" s="133"/>
      <c r="N35" s="30"/>
      <c r="O35" s="30"/>
      <c r="P35" s="30"/>
      <c r="Q35" s="303">
        <f aca="true" t="shared" si="3" ref="Q35:Q98">SUM(L35:P35)</f>
        <v>300</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15.75">
      <c r="B36" s="300">
        <v>12</v>
      </c>
      <c r="C36" s="301">
        <f t="shared" si="1"/>
        <v>18</v>
      </c>
      <c r="D36" s="144" t="s">
        <v>800</v>
      </c>
      <c r="E36" s="144"/>
      <c r="F36" s="147" t="s">
        <v>125</v>
      </c>
      <c r="G36" s="148"/>
      <c r="H36" s="33"/>
      <c r="I36" s="36">
        <v>1</v>
      </c>
      <c r="J36" s="36">
        <v>0.25</v>
      </c>
      <c r="K36" s="302">
        <f t="shared" si="2"/>
        <v>0.25</v>
      </c>
      <c r="L36" s="126">
        <v>0</v>
      </c>
      <c r="M36" s="133"/>
      <c r="N36" s="30"/>
      <c r="O36" s="30"/>
      <c r="P36" s="30"/>
      <c r="Q36" s="303">
        <f t="shared" si="3"/>
        <v>0</v>
      </c>
      <c r="R36" s="178">
        <f t="shared" si="4"/>
        <v>1</v>
      </c>
      <c r="S36" s="180">
        <f t="shared" si="5"/>
      </c>
      <c r="AL36" s="27"/>
      <c r="AM36" s="27"/>
      <c r="AN36" s="27"/>
    </row>
    <row r="37" spans="2:40" ht="15.75">
      <c r="B37" s="300">
        <v>13</v>
      </c>
      <c r="C37" s="301">
        <f t="shared" si="1"/>
        <v>18</v>
      </c>
      <c r="D37" s="144" t="s">
        <v>129</v>
      </c>
      <c r="E37" s="144"/>
      <c r="F37" s="147" t="s">
        <v>125</v>
      </c>
      <c r="G37" s="148"/>
      <c r="H37" s="33"/>
      <c r="I37" s="36">
        <v>1</v>
      </c>
      <c r="J37" s="36">
        <v>0.03</v>
      </c>
      <c r="K37" s="302">
        <f t="shared" si="2"/>
        <v>0.03</v>
      </c>
      <c r="L37" s="126">
        <v>14986</v>
      </c>
      <c r="M37" s="133"/>
      <c r="N37" s="30"/>
      <c r="O37" s="30"/>
      <c r="P37" s="30"/>
      <c r="Q37" s="303">
        <f t="shared" si="3"/>
        <v>14986</v>
      </c>
      <c r="R37" s="178">
        <f t="shared" si="4"/>
        <v>1</v>
      </c>
      <c r="S37" s="180">
        <f t="shared" si="5"/>
      </c>
      <c r="AL37" s="27"/>
      <c r="AM37" s="27"/>
      <c r="AN37" s="27"/>
    </row>
    <row r="38" spans="2:40" ht="15.75">
      <c r="B38" s="300">
        <v>14</v>
      </c>
      <c r="C38" s="301">
        <f t="shared" si="1"/>
        <v>18</v>
      </c>
      <c r="D38" s="144" t="s">
        <v>801</v>
      </c>
      <c r="E38" s="144"/>
      <c r="F38" s="147" t="s">
        <v>125</v>
      </c>
      <c r="G38" s="148"/>
      <c r="H38" s="33"/>
      <c r="I38" s="36">
        <v>1</v>
      </c>
      <c r="J38" s="36">
        <v>0.04</v>
      </c>
      <c r="K38" s="302">
        <f t="shared" si="2"/>
        <v>0.04</v>
      </c>
      <c r="L38" s="126">
        <v>472</v>
      </c>
      <c r="M38" s="133"/>
      <c r="N38" s="30"/>
      <c r="O38" s="30"/>
      <c r="P38" s="30"/>
      <c r="Q38" s="303">
        <f t="shared" si="3"/>
        <v>472</v>
      </c>
      <c r="R38" s="178">
        <f t="shared" si="4"/>
        <v>1</v>
      </c>
      <c r="S38" s="180">
        <f t="shared" si="5"/>
      </c>
      <c r="AL38" s="27"/>
      <c r="AM38" s="27"/>
      <c r="AN38" s="27"/>
    </row>
    <row r="39" spans="2:40" ht="15.75">
      <c r="B39" s="300">
        <v>15</v>
      </c>
      <c r="C39" s="301">
        <f t="shared" si="1"/>
        <v>18</v>
      </c>
      <c r="D39" s="144" t="s">
        <v>802</v>
      </c>
      <c r="E39" s="144"/>
      <c r="F39" s="147" t="s">
        <v>125</v>
      </c>
      <c r="G39" s="148"/>
      <c r="H39" s="33"/>
      <c r="I39" s="36">
        <v>1</v>
      </c>
      <c r="J39" s="36">
        <v>0.05</v>
      </c>
      <c r="K39" s="302">
        <f t="shared" si="2"/>
        <v>0.05</v>
      </c>
      <c r="L39" s="126">
        <v>149930.47</v>
      </c>
      <c r="M39" s="133"/>
      <c r="N39" s="30"/>
      <c r="O39" s="30"/>
      <c r="P39" s="30"/>
      <c r="Q39" s="303">
        <f t="shared" si="3"/>
        <v>149930.47</v>
      </c>
      <c r="R39" s="178">
        <f t="shared" si="4"/>
        <v>1</v>
      </c>
      <c r="S39" s="180">
        <f t="shared" si="5"/>
      </c>
      <c r="AL39" s="27"/>
      <c r="AM39" s="27"/>
      <c r="AN39" s="27"/>
    </row>
    <row r="40" spans="2:40" ht="15.75">
      <c r="B40" s="300">
        <v>16</v>
      </c>
      <c r="C40" s="301">
        <f t="shared" si="1"/>
        <v>18</v>
      </c>
      <c r="D40" s="144" t="s">
        <v>803</v>
      </c>
      <c r="E40" s="144"/>
      <c r="F40" s="147" t="s">
        <v>125</v>
      </c>
      <c r="G40" s="148"/>
      <c r="H40" s="33"/>
      <c r="I40" s="36">
        <v>1</v>
      </c>
      <c r="J40" s="36">
        <v>0.25</v>
      </c>
      <c r="K40" s="302">
        <f t="shared" si="2"/>
        <v>0.25</v>
      </c>
      <c r="L40" s="126">
        <v>0</v>
      </c>
      <c r="M40" s="133"/>
      <c r="N40" s="30"/>
      <c r="O40" s="30"/>
      <c r="P40" s="30"/>
      <c r="Q40" s="303">
        <f t="shared" si="3"/>
        <v>0</v>
      </c>
      <c r="R40" s="178">
        <f t="shared" si="4"/>
        <v>1</v>
      </c>
      <c r="S40" s="180">
        <f t="shared" si="5"/>
      </c>
      <c r="AL40" s="27"/>
      <c r="AM40" s="27"/>
      <c r="AN40" s="27"/>
    </row>
    <row r="41" spans="2:40" ht="15.75">
      <c r="B41" s="300">
        <v>17</v>
      </c>
      <c r="C41" s="301">
        <f t="shared" si="1"/>
        <v>18</v>
      </c>
      <c r="D41" s="144" t="s">
        <v>804</v>
      </c>
      <c r="E41" s="144"/>
      <c r="F41" s="147" t="s">
        <v>805</v>
      </c>
      <c r="G41" s="148"/>
      <c r="H41" s="33"/>
      <c r="I41" s="36">
        <v>1</v>
      </c>
      <c r="J41" s="36">
        <v>0.1</v>
      </c>
      <c r="K41" s="302">
        <f t="shared" si="2"/>
        <v>0.1</v>
      </c>
      <c r="L41" s="126">
        <v>140300</v>
      </c>
      <c r="M41" s="133"/>
      <c r="N41" s="30"/>
      <c r="O41" s="30"/>
      <c r="P41" s="30"/>
      <c r="Q41" s="303">
        <f t="shared" si="3"/>
        <v>140300</v>
      </c>
      <c r="R41" s="178">
        <f t="shared" si="4"/>
        <v>1</v>
      </c>
      <c r="S41" s="180">
        <f t="shared" si="5"/>
      </c>
      <c r="AL41" s="27"/>
      <c r="AM41" s="27"/>
      <c r="AN41" s="27"/>
    </row>
    <row r="42" spans="2:40" ht="15.75">
      <c r="B42" s="300">
        <v>18</v>
      </c>
      <c r="C42" s="301">
        <f t="shared" si="1"/>
      </c>
      <c r="D42" s="144"/>
      <c r="E42" s="144"/>
      <c r="F42" s="147"/>
      <c r="G42" s="148"/>
      <c r="H42" s="33"/>
      <c r="I42" s="36"/>
      <c r="J42" s="36"/>
      <c r="K42" s="302">
        <f t="shared" si="2"/>
      </c>
      <c r="L42" s="126"/>
      <c r="M42" s="133"/>
      <c r="N42" s="30"/>
      <c r="O42" s="30"/>
      <c r="P42" s="30"/>
      <c r="Q42" s="303">
        <f t="shared" si="3"/>
        <v>0</v>
      </c>
      <c r="R42" s="178">
        <f t="shared" si="4"/>
      </c>
      <c r="S42" s="180">
        <f t="shared" si="5"/>
      </c>
      <c r="AL42" s="27"/>
      <c r="AM42" s="27"/>
      <c r="AN42" s="27"/>
    </row>
    <row r="43" spans="2:40" ht="15.75">
      <c r="B43" s="300">
        <v>19</v>
      </c>
      <c r="C43" s="301">
        <f t="shared" si="1"/>
      </c>
      <c r="D43" s="144"/>
      <c r="E43" s="144"/>
      <c r="F43" s="147"/>
      <c r="G43" s="148"/>
      <c r="H43" s="33"/>
      <c r="I43" s="36"/>
      <c r="J43" s="36"/>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c>
      <c r="D44" s="144"/>
      <c r="E44" s="144"/>
      <c r="F44" s="147"/>
      <c r="G44" s="148"/>
      <c r="H44" s="33"/>
      <c r="I44" s="36"/>
      <c r="J44" s="36"/>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c>
      <c r="D45" s="144"/>
      <c r="E45" s="144"/>
      <c r="F45" s="147"/>
      <c r="G45" s="148"/>
      <c r="H45" s="33"/>
      <c r="I45" s="36"/>
      <c r="J45" s="36"/>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c>
      <c r="D46" s="144"/>
      <c r="E46" s="144"/>
      <c r="F46" s="147"/>
      <c r="G46" s="148"/>
      <c r="H46" s="33"/>
      <c r="I46" s="36"/>
      <c r="J46" s="36"/>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c>
      <c r="D48" s="144"/>
      <c r="E48" s="144"/>
      <c r="F48" s="147"/>
      <c r="G48" s="148"/>
      <c r="H48" s="33"/>
      <c r="I48" s="36"/>
      <c r="J48" s="36"/>
      <c r="K48" s="302">
        <f t="shared" si="2"/>
      </c>
      <c r="L48" s="126"/>
      <c r="M48" s="133"/>
      <c r="N48" s="30"/>
      <c r="O48" s="30"/>
      <c r="P48" s="30"/>
      <c r="Q48" s="303">
        <f t="shared" si="3"/>
        <v>0</v>
      </c>
      <c r="R48" s="178">
        <f t="shared" si="4"/>
      </c>
      <c r="S48" s="180">
        <f t="shared" si="5"/>
      </c>
      <c r="AL48" s="27"/>
      <c r="AM48" s="27"/>
      <c r="AN48" s="27"/>
    </row>
    <row r="49" spans="2:40" ht="15.75">
      <c r="B49" s="300">
        <v>25</v>
      </c>
      <c r="C49" s="301">
        <f t="shared" si="1"/>
      </c>
      <c r="D49" s="144"/>
      <c r="E49" s="144"/>
      <c r="F49" s="147"/>
      <c r="G49" s="148"/>
      <c r="H49" s="33"/>
      <c r="I49" s="36"/>
      <c r="J49" s="36"/>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c>
      <c r="D50" s="144"/>
      <c r="E50" s="144"/>
      <c r="F50" s="147"/>
      <c r="G50" s="148"/>
      <c r="H50" s="33"/>
      <c r="I50" s="36"/>
      <c r="J50" s="36"/>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15.75">
      <c r="B52" s="300">
        <v>28</v>
      </c>
      <c r="C52" s="301">
        <f t="shared" si="1"/>
      </c>
      <c r="D52" s="144"/>
      <c r="E52" s="144"/>
      <c r="F52" s="147"/>
      <c r="G52" s="148"/>
      <c r="H52" s="33"/>
      <c r="I52" s="36"/>
      <c r="J52" s="36"/>
      <c r="K52" s="302">
        <f t="shared" si="2"/>
      </c>
      <c r="L52" s="126"/>
      <c r="M52" s="133"/>
      <c r="N52" s="30"/>
      <c r="O52" s="30"/>
      <c r="P52" s="30"/>
      <c r="Q52" s="303">
        <f t="shared" si="3"/>
        <v>0</v>
      </c>
      <c r="R52" s="178">
        <f t="shared" si="4"/>
      </c>
      <c r="S52" s="180">
        <f t="shared" si="5"/>
      </c>
      <c r="AL52" s="27"/>
      <c r="AM52" s="27"/>
      <c r="AN52" s="27"/>
    </row>
    <row r="53" spans="2:40" ht="15.75">
      <c r="B53" s="300">
        <v>29</v>
      </c>
      <c r="C53" s="301">
        <f t="shared" si="1"/>
      </c>
      <c r="D53" s="144"/>
      <c r="E53" s="144"/>
      <c r="F53" s="147"/>
      <c r="G53" s="148"/>
      <c r="H53" s="33"/>
      <c r="I53" s="36"/>
      <c r="J53" s="36"/>
      <c r="K53" s="302">
        <f t="shared" si="2"/>
      </c>
      <c r="L53" s="126"/>
      <c r="M53" s="133"/>
      <c r="N53" s="30"/>
      <c r="O53" s="30"/>
      <c r="P53" s="30"/>
      <c r="Q53" s="303">
        <f t="shared" si="3"/>
        <v>0</v>
      </c>
      <c r="R53" s="178">
        <f t="shared" si="4"/>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6"/>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LassenFY2019-20RER</dc:title>
  <dc:subject/>
  <dc:creator>Donna Ures</dc:creator>
  <cp:keywords>MHSA, RER</cp:keywords>
  <dc:description/>
  <cp:lastModifiedBy>Saelee, Katie (CSD)@DHCS</cp:lastModifiedBy>
  <cp:lastPrinted>2021-01-27T21:50:51Z</cp:lastPrinted>
  <dcterms:created xsi:type="dcterms:W3CDTF">2017-07-05T19:48:18Z</dcterms:created>
  <dcterms:modified xsi:type="dcterms:W3CDTF">2021-01-29T23:41:35Z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DHCSDOC-1797567310-3424</vt:lpwstr>
  </property>
  <property fmtid="{D5CDD505-2E9C-101B-9397-08002B2CF9AE}" pid="3" name="_dlc_DocIdItemGuid">
    <vt:lpwstr>6135d0f5-ef95-48d1-a645-6af74291c461</vt:lpwstr>
  </property>
  <property fmtid="{D5CDD505-2E9C-101B-9397-08002B2CF9AE}" pid="4" name="_dlc_DocIdUrl">
    <vt:lpwstr>https://dhcscagovauthoring/_layouts/15/DocIdRedir.aspx?ID=DHCSDOC-1797567310-3424, DHCSDOC-1797567310-3424</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LassenFY2019-20RER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