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325" tabRatio="851"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<sst xmlns="http://schemas.openxmlformats.org/spreadsheetml/2006/main" count="1688" uniqueCount="840">
  <si>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</si>
  <si>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</si>
  <si>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</si>
  <si>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</si>
  <si>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</si>
  <si>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</si>
  <si>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</si>
  <si>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</si>
  <si>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</si>
  <si>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</si>
  <si>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</si>
  <si>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</si>
  <si>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</si>
  <si>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</si>
  <si>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</si>
  <si>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</si>
  <si>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</si>
  <si>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</si>
  <si>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</si>
  <si>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</si>
  <si>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</si>
  <si>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</si>
  <si>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</si>
  <si>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</si>
  <si>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</si>
  <si>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</si>
  <si>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</si>
  <si>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</si>
  <si>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</si>
  <si>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</si>
  <si>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</si>
  <si>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</si>
  <si>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</si>
  <si>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</si>
  <si>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</si>
  <si>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</si>
  <si>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</si>
  <si>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</si>
  <si>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</si>
  <si>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</si>
  <si>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</si>
  <si>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</si>
  <si>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</si>
  <si>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</si>
  <si>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</si>
  <si>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</si>
  <si>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</si>
  <si>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</si>
  <si>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</si>
  <si>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</si>
  <si>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</si>
  <si>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</si>
  <si>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</si>
  <si>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</si>
  <si>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</si>
  <si>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</si>
  <si>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</si>
  <si>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</si>
  <si>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</si>
  <si>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</si>
  <si>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</si>
  <si>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</si>
  <si>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</si>
  <si>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</si>
  <si>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</si>
  <si>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</si>
  <si>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</si>
  <si>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</si>
  <si>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</si>
  <si>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</si>
  <si>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</si>
  <si>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</si>
  <si>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</si>
  <si>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</si>
  <si>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</si>
  <si>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</si>
  <si>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</si>
  <si>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</si>
  <si>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</si>
  <si>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</si>
  <si>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</si>
  <si>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</si>
  <si>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</si>
  <si>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</si>
  <si>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</si>
  <si>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</si>
  <si>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</si>
  <si>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</si>
  <si>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</si>
  <si>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</si>
  <si>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</si>
  <si>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</si>
  <si>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</si>
  <si>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</si>
  <si>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</si>
  <si>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</si>
  <si>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</si>
  <si>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</si>
  <si>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</si>
  <si>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</si>
  <si>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</si>
  <si>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</si>
  <si>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</si>
  <si>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</si>
  <si>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</si>
  <si>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</si>
  <si>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</si>
  <si>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</si>
  <si>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</si>
  <si>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</si>
  <si>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</si>
  <si>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</si>
  <si>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</si>
  <si>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</si>
  <si>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</si>
  <si>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</si>
  <si>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</si>
  <si>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</si>
  <si>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</si>
  <si>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</si>
  <si>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</si>
  <si>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</si>
  <si>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</si>
  <si>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</si>
  <si>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</si>
  <si>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</si>
  <si>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</si>
  <si>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</si>
  <si>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</si>
  <si>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</si>
  <si>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</si>
  <si>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</si>
  <si>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</si>
  <si>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</si>
  <si>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</si>
  <si>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</si>
  <si>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</si>
  <si>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</si>
  <si>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</si>
  <si>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</si>
  <si>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</si>
  <si>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</si>
  <si>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</si>
  <si>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</si>
  <si>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</si>
  <si>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</si>
  <si>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</si>
  <si>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</si>
  <si>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</si>
  <si>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</si>
  <si>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</si>
  <si>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</si>
  <si>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</si>
  <si>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</si>
  <si>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</si>
  <si>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</si>
  <si>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</si>
  <si>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</si>
  <si>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</si>
  <si>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</si>
  <si>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</si>
  <si>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</si>
  <si>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</si>
  <si>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</si>
  <si>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</si>
  <si>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</si>
  <si>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</si>
  <si>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</si>
  <si>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</si>
  <si>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</si>
  <si>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</si>
  <si>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</si>
  <si>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</si>
  <si>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</si>
  <si>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</si>
  <si>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</si>
  <si>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</si>
  <si>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</si>
  <si>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</si>
  <si>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</si>
  <si>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</si>
  <si>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</si>
  <si>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</si>
  <si>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</si>
  <si>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</si>
  <si>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</si>
  <si>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</si>
  <si>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</si>
  <si>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</si>
  <si>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</si>
  <si>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</si>
  <si>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</si>
  <si>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</si>
  <si>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</si>
  <si>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</si>
  <si>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</si>
  <si>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</si>
  <si>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</si>
  <si>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</si>
  <si>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</si>
  <si>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</si>
  <si>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</si>
  <si>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</si>
  <si>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</si>
  <si>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</si>
  <si>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</si>
  <si>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</si>
  <si>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</si>
  <si>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</si>
  <si>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</si>
  <si>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</si>
  <si>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</si>
  <si>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</si>
  <si>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</si>
  <si>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</si>
  <si>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</si>
  <si>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</si>
  <si>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</si>
  <si>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</si>
  <si>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</si>
  <si>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</si>
  <si>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</si>
  <si>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</si>
  <si>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</si>
  <si>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</si>
  <si>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</si>
  <si>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</si>
  <si>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</si>
  <si>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</si>
  <si>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</si>
  <si>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</si>
  <si>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</si>
  <si>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</si>
  <si>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</si>
  <si>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</si>
  <si>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</si>
  <si>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</si>
  <si>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</si>
  <si>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</si>
  <si>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</si>
  <si>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</si>
  <si>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</si>
  <si>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</si>
  <si>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</si>
  <si>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</si>
  <si>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</si>
  <si>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</si>
  <si>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</si>
  <si>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</si>
  <si>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</si>
  <si>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</si>
  <si>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</si>
  <si>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</si>
  <si>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</si>
  <si>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</si>
  <si>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</si>
  <si>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</si>
  <si>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</si>
  <si>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</si>
  <si>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</si>
  <si>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</si>
  <si>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</si>
  <si>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</si>
  <si>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</si>
  <si>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</si>
  <si>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</si>
  <si>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</si>
  <si>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</si>
  <si>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</si>
  <si>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</si>
  <si>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</si>
  <si>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</si>
  <si>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</si>
  <si>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</si>
  <si>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</si>
  <si>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</si>
  <si>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</si>
  <si>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</si>
  <si>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</si>
  <si>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</si>
  <si>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</si>
  <si>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</si>
  <si>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</si>
  <si>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</si>
  <si>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</si>
  <si>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</si>
  <si>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</si>
  <si>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</si>
  <si>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</si>
  <si>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</si>
  <si>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</si>
  <si>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</si>
  <si>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</si>
  <si>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</si>
  <si>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</si>
  <si>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</si>
  <si>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</si>
  <si>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</si>
  <si>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</si>
  <si>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</si>
  <si>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</si>
  <si>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</si>
  <si>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</si>
  <si>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</si>
  <si>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</si>
  <si>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</si>
  <si>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</si>
  <si>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</si>
  <si>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</si>
  <si>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</si>
  <si>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</si>
  <si>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</si>
  <si>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</si>
  <si>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</si>
  <si>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</si>
  <si>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</si>
  <si>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</si>
  <si>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</si>
  <si>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</si>
  <si>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</si>
  <si>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</si>
  <si>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</si>
  <si>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</si>
  <si>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</si>
  <si>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</si>
  <si>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</si>
  <si>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</si>
  <si>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</si>
  <si>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</si>
  <si>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</si>
  <si>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</si>
  <si>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</si>
  <si>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</si>
  <si>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</si>
  <si>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</si>
  <si>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</si>
  <si>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</si>
  <si>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</si>
  <si>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</si>
  <si>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</si>
  <si>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</si>
  <si>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</si>
  <si>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</si>
  <si>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</si>
  <si>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</si>
  <si>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</si>
  <si>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</si>
  <si>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</si>
  <si>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</si>
  <si>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</si>
  <si>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</si>
  <si>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</si>
  <si>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</si>
  <si>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</si>
  <si>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</si>
  <si>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</si>
  <si>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</si>
  <si>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</si>
  <si>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</si>
  <si>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</si>
  <si>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</si>
  <si>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</si>
  <si>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</si>
  <si>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</si>
  <si>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</si>
  <si>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</si>
  <si>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</si>
  <si>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</si>
  <si>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</si>
  <si>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</si>
  <si>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</si>
  <si>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</si>
  <si>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</si>
  <si>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</si>
  <si>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</si>
  <si>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</si>
  <si>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</si>
  <si>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</si>
  <si>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</si>
  <si>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</si>
  <si>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</si>
  <si>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</si>
  <si>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</si>
  <si>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</si>
  <si>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</si>
  <si>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</si>
  <si>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</si>
  <si>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</si>
  <si>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</si>
  <si>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</si>
  <si>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</si>
  <si>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</si>
  <si>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</si>
  <si>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</si>
  <si>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</si>
  <si>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</si>
  <si>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</si>
  <si>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</si>
  <si>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</si>
  <si>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</si>
  <si>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</si>
  <si>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</si>
  <si>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</si>
  <si>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</si>
  <si>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</si>
  <si>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</si>
  <si>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</si>
  <si>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</si>
  <si>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</si>
  <si>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</si>
  <si>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</si>
  <si>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</si>
  <si>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</si>
  <si>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</si>
  <si>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</si>
  <si>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</si>
  <si>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</si>
  <si>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</si>
  <si>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</si>
  <si>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</si>
  <si>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</si>
  <si>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</si>
  <si>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</si>
  <si>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</si>
  <si>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</si>
  <si>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</si>
  <si>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</si>
  <si>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</si>
  <si>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</si>
  <si>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</si>
  <si>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</si>
  <si>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</si>
  <si>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</si>
  <si>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</si>
  <si>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</si>
  <si>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</si>
  <si>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</si>
  <si>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</si>
  <si>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</si>
  <si>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</si>
  <si>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</si>
  <si>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</si>
  <si>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</si>
  <si>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</si>
  <si>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</si>
  <si>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</si>
  <si>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</si>
  <si>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</si>
  <si>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</si>
  <si>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</si>
  <si>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</si>
  <si>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</si>
  <si>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</si>
  <si>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</si>
  <si>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</si>
  <si>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</si>
  <si>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</si>
  <si>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</si>
  <si>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</si>
  <si>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</si>
  <si>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</si>
  <si>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</si>
  <si>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</si>
  <si>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</si>
  <si>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</si>
  <si>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</si>
  <si>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</si>
  <si>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</si>
  <si>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</si>
  <si>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</si>
  <si>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</si>
  <si>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</si>
  <si>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</si>
  <si>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</si>
  <si>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</si>
  <si>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</si>
  <si>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</si>
  <si>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</si>
  <si>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</si>
  <si>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</si>
  <si>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</si>
  <si>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</si>
  <si>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</si>
  <si>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</si>
  <si>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</si>
  <si>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</si>
  <si>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</si>
  <si>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</si>
  <si>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</si>
  <si>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</si>
  <si>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</si>
  <si>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</si>
  <si>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</si>
  <si>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</si>
  <si>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</si>
  <si>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</si>
  <si>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</si>
  <si>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</si>
  <si>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</si>
  <si>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</si>
  <si>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</si>
  <si>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</si>
  <si>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</si>
  <si>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</si>
  <si>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</si>
  <si>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</si>
  <si>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</si>
  <si>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</si>
  <si>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</si>
  <si>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</si>
  <si>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</si>
  <si>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</si>
  <si>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</si>
  <si>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</si>
  <si>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</si>
  <si>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</si>
  <si>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</si>
  <si>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</si>
  <si>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</si>
  <si>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</si>
  <si>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</si>
  <si>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</si>
  <si>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</si>
  <si>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</si>
  <si>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</si>
  <si>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</si>
  <si>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</si>
  <si>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</si>
  <si>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</si>
  <si>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</si>
  <si>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</si>
  <si>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</si>
  <si>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</si>
  <si>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</si>
  <si>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</si>
  <si>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</si>
  <si>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</si>
  <si>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</si>
  <si>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</si>
  <si>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</si>
  <si>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</si>
  <si>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</si>
  <si>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</si>
  <si>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</si>
  <si>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</si>
  <si>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</si>
  <si>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</si>
  <si>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</si>
  <si>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</si>
  <si>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</si>
  <si>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</si>
  <si>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</si>
  <si>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</si>
  <si>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</si>
  <si>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</si>
  <si>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</si>
  <si>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</si>
  <si>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</si>
  <si>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</si>
  <si>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</si>
  <si>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</si>
  <si>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</si>
  <si>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</si>
  <si>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</si>
  <si>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</si>
  <si>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</si>
  <si>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</si>
  <si>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</si>
  <si>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</si>
  <si>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</si>
  <si>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</si>
  <si>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</si>
  <si>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</si>
  <si>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</si>
  <si>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</si>
  <si>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</si>
  <si>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</si>
  <si>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</si>
  <si>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</si>
  <si>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</si>
  <si>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</si>
  <si>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</si>
  <si>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</si>
  <si>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</si>
  <si>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</si>
  <si>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</si>
  <si>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</si>
  <si>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</si>
  <si>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</si>
  <si>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</si>
  <si>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</si>
  <si>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</si>
  <si>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</si>
  <si>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</si>
  <si>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</si>
  <si>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</si>
  <si>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</si>
  <si>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</si>
  <si>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</si>
  <si>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</si>
  <si>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</si>
  <si>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</si>
  <si>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</si>
  <si>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</si>
  <si>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</si>
  <si>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</si>
  <si>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</si>
  <si>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</si>
  <si>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</si>
  <si>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</si>
  <si>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</si>
  <si>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</si>
  <si>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</si>
  <si>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</si>
  <si>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</si>
  <si>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</si>
  <si>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</si>
  <si>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</si>
  <si>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</si>
  <si>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</si>
  <si>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</si>
  <si>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</si>
  <si>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</si>
  <si>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</si>
  <si>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</si>
  <si>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</si>
  <si>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</si>
  <si>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</si>
  <si>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</si>
  <si>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</si>
  <si>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</si>
  <si>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</si>
  <si>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</si>
  <si>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</si>
  <si>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</si>
  <si>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</si>
  <si>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</si>
  <si>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</si>
  <si>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</si>
  <si>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</si>
  <si>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</si>
  <si>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</si>
  <si>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</si>
  <si>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</si>
  <si>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</si>
  <si>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</si>
  <si>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</si>
  <si>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</si>
  <si>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</si>
  <si>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</si>
  <si>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</si>
  <si>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</si>
  <si>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</si>
  <si>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</si>
  <si>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</si>
  <si>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</si>
  <si>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</si>
  <si>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</si>
  <si>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</si>
  <si>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</si>
  <si>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</si>
  <si>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</si>
  <si>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</si>
  <si>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</si>
  <si>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</si>
  <si>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</si>
  <si>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</si>
  <si>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</si>
  <si>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</si>
  <si>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</si>
  <si>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</si>
  <si>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</si>
  <si>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</si>
  <si>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</si>
  <si>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</si>
  <si>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</si>
  <si>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</si>
  <si>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</si>
  <si>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</si>
  <si>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</si>
  <si>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</si>
  <si>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</si>
  <si>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</si>
  <si>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</si>
  <si>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</si>
  <si>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</si>
  <si>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</si>
  <si>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</si>
  <si>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</si>
  <si>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</si>
  <si>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</si>
  <si>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</si>
  <si>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</si>
  <si>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</si>
  <si>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</si>
  <si>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</si>
  <si>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</si>
  <si>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</si>
  <si>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</si>
  <si>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</si>
  <si>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</si>
  <si>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</si>
  <si>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</si>
  <si>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</si>
  <si>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</si>
  <si>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</si>
  <si>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</si>
  <si>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</si>
  <si>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</si>
  <si>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</si>
  <si>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</si>
  <si>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</si>
  <si>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</si>
  <si>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</si>
  <si>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</si>
  <si>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</si>
  <si>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</si>
  <si>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</si>
  <si>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</si>
  <si>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</si>
  <si>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</si>
  <si>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</si>
  <si>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</si>
  <si>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</si>
  <si>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</si>
  <si>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</si>
  <si>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</si>
  <si>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</si>
  <si>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</si>
  <si>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</si>
  <si>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</si>
  <si>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</si>
  <si>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</si>
  <si>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</si>
  <si>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</si>
  <si>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</si>
  <si>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</si>
  <si>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</si>
  <si>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</si>
  <si>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</si>
  <si>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</si>
  <si>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</si>
  <si>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</si>
  <si>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</si>
  <si>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</si>
  <si>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</si>
  <si>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</si>
  <si>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</si>
  <si>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</si>
  <si>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</si>
  <si>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</si>
  <si>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</si>
  <si>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</si>
  <si>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</si>
  <si>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</si>
  <si>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</si>
  <si>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</si>
  <si>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</si>
  <si>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</si>
  <si>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</si>
  <si>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</si>
  <si>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</si>
  <si>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</si>
  <si>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</si>
  <si>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</si>
  <si>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</si>
  <si>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</si>
  <si>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</si>
  <si>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</si>
  <si>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</si>
  <si>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</si>
  <si>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</si>
  <si>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</si>
  <si>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</si>
  <si>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</si>
  <si>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</si>
  <si>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</si>
  <si>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</si>
  <si>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</si>
  <si>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</si>
  <si>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</si>
  <si>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</si>
  <si>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2019-20</t>
  </si>
  <si>
    <t>301 E 13th Street</t>
  </si>
  <si>
    <t>Manjit Kaur</t>
  </si>
  <si>
    <t>Fiscal Manager</t>
  </si>
  <si>
    <t>manjit.kaur@countyofmerced.com</t>
  </si>
  <si>
    <t>209-381-6811</t>
  </si>
  <si>
    <t>Community Assistance Recovery Enterprise</t>
  </si>
  <si>
    <t>CARE</t>
  </si>
  <si>
    <t xml:space="preserve">Wraparound Empowerment Compassion &amp; Needs </t>
  </si>
  <si>
    <t>WECAN</t>
  </si>
  <si>
    <t>Merced Adult Wellness Center</t>
  </si>
  <si>
    <t>Dual Diagnosis Program Wellness Center</t>
  </si>
  <si>
    <t>Westside Transitional Wellness Center</t>
  </si>
  <si>
    <t>Transitional Age Youth Wellness Center</t>
  </si>
  <si>
    <t>CUBE</t>
  </si>
  <si>
    <t>Older Adult System of Care</t>
  </si>
  <si>
    <t>OASOC</t>
  </si>
  <si>
    <t>Adult Behavioral Health Court</t>
  </si>
  <si>
    <t>Southeast Asian Community Advocacy Program</t>
  </si>
  <si>
    <t>SEACAP</t>
  </si>
  <si>
    <t>CSS in Schools &amp; Communities</t>
  </si>
  <si>
    <t>Juvenile Behavioral Health Court</t>
  </si>
  <si>
    <t>Housing-Continum of Care</t>
  </si>
  <si>
    <t>Housing Supportive Services Program</t>
  </si>
  <si>
    <t>COPE</t>
  </si>
  <si>
    <t>Innovative Strategist Network-Service Integration Team - Adult</t>
  </si>
  <si>
    <t>Innovative Strategist Network - Youth</t>
  </si>
  <si>
    <t>Capital Facility Project#3: CSU Remodel</t>
  </si>
  <si>
    <t>Techonological Needs  Project #2 EHR Support</t>
  </si>
  <si>
    <t>Community Outreach &amp; Engagement</t>
  </si>
  <si>
    <t>Central Intake</t>
  </si>
  <si>
    <t>Crisis Stabilization Unit</t>
  </si>
  <si>
    <t>Public Health Partnership</t>
  </si>
  <si>
    <t>Mobile Crisis Response Team</t>
  </si>
  <si>
    <t>Component Summary section 2 line 4 transfer from PR to CSS is to bring PR in line with maximum balance allowed in PR</t>
  </si>
  <si>
    <t>Community Assistant Recovery Enterprise (Acute Hospitalization)</t>
  </si>
  <si>
    <t>Merced County Office of Education-Caring Kids</t>
  </si>
  <si>
    <t>Sierra Vista Child &amp; Family Services-Imatter</t>
  </si>
  <si>
    <t>MCBHRS - Youth to Youth Middle School Mentoring Program</t>
  </si>
  <si>
    <t>Aspiranet - Transition to Independence Process Program (TIP)</t>
  </si>
  <si>
    <t>City of Livingston Police Department - Mental Health and Police in Schools - Police Officer</t>
  </si>
  <si>
    <t>MCBHRS - Mental Health and Police in Schools - Clinician</t>
  </si>
  <si>
    <t>Golden Valley Health Centers - IPC in Latino Community</t>
  </si>
  <si>
    <t>Merced Lao Family Community, Inc-Integrated Primary Care in Hmong Community</t>
  </si>
  <si>
    <t>Livingston Community Health Services-Cultural Broker in Latino Community</t>
  </si>
  <si>
    <t>Livingston Community Health Services-Integrated Primary Care in Latino Community</t>
  </si>
  <si>
    <t>Golden Valley Health Centers - Cultural Broker in Latino Community</t>
  </si>
  <si>
    <t>Merced Lao Family Community, Inc-Cultural Broker in Hmong Community</t>
  </si>
  <si>
    <t>Merced County Human Services Agency-Program to Encourage Actve and Rewarding Lives for Seniors (PEARLS)</t>
  </si>
  <si>
    <t>Merced County Human Services Agency-Cultural and Linguistic Outreach Veterans Program</t>
  </si>
  <si>
    <t>MCBHRS-PEI Strengthening Families</t>
  </si>
  <si>
    <t>Collaboration with National Alliance on Mental Illness (NAMI)</t>
  </si>
  <si>
    <t>MCBHRS-Capacity Building of PEI- Early Intervention Services</t>
  </si>
  <si>
    <t>Youth Leadership Institute (YLI)-Capacity Building of LGBTQQI2-S</t>
  </si>
  <si>
    <t>Training, Capacity Building and Support for Program Evaluation</t>
  </si>
  <si>
    <t>CalMHSA Central Valley Suicide Prevention Hotline</t>
  </si>
  <si>
    <t>Stigma and Discrimination Reduction Program</t>
  </si>
  <si>
    <t>Suicide Prevention Program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</si>
</sst>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0">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9" fontId="63" fillId="0" borderId="10" xfId="63" applyFont="1"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
      <selection activeCell="G15" sqref="G15"/>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2019-20</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Merced</v>
      </c>
      <c r="G9" s="226" t="s">
        <v>1</v>
      </c>
      <c r="H9" s="264">
        <f>IF(ISBLANK('1. Information'!D9),"",'1. Information'!D9)</f>
        <v>44153</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0</v>
      </c>
      <c r="G15" s="136"/>
      <c r="H15" s="136"/>
      <c r="I15" s="136"/>
      <c r="J15" s="136"/>
      <c r="K15" s="246">
        <f>SUM(F15:J15)</f>
        <v>0</v>
      </c>
      <c r="L15" s="175"/>
      <c r="M15" s="175"/>
      <c r="N15" s="175"/>
      <c r="O15" s="27"/>
      <c r="P15" s="27"/>
    </row>
    <row r="16" spans="2:16" ht="15.75">
      <c r="B16" s="300">
        <v>2</v>
      </c>
      <c r="C16" s="308" t="s">
        <v>143</v>
      </c>
      <c r="D16" s="242"/>
      <c r="E16" s="243"/>
      <c r="F16" s="136"/>
      <c r="G16" s="136"/>
      <c r="H16" s="136"/>
      <c r="I16" s="136"/>
      <c r="J16" s="136"/>
      <c r="K16" s="246">
        <f>SUM(F16:J16)</f>
        <v>0</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141840</v>
      </c>
      <c r="G19" s="312">
        <f>SUMIF($K$29:$K$128,"Project Administration",M$29:M$128)</f>
        <v>0</v>
      </c>
      <c r="H19" s="311">
        <f>SUMIF($K$29:$K$128,"Project Administration",N$29:N$128)</f>
        <v>0</v>
      </c>
      <c r="I19" s="311">
        <f>SUMIF($K$29:$K$128,"Project Administration",O$29:O$128)</f>
        <v>0</v>
      </c>
      <c r="J19" s="311">
        <f>SUMIF($K$29:$K$128,"Project Administration",P$29:P$128)</f>
        <v>0</v>
      </c>
      <c r="K19" s="246">
        <f>SUM(F19:J19)</f>
        <v>141840</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1340665.04</v>
      </c>
      <c r="G21" s="313">
        <f>SUMIF($K$29:$K$128,"Project Direct",M$29:M$128)</f>
        <v>77730.52</v>
      </c>
      <c r="H21" s="310">
        <f>SUMIF($K$29:$K$128,"Project Direct",N$29:N$128)</f>
        <v>0</v>
      </c>
      <c r="I21" s="310">
        <f>SUMIF($K$29:$K$128,"Project Direct",O$29:O$128)</f>
        <v>0</v>
      </c>
      <c r="J21" s="310">
        <f>SUMIF($K$29:$K$128,"Project Direct",P$29:P$128)</f>
        <v>0</v>
      </c>
      <c r="K21" s="246">
        <f>SUM(F21:J21)</f>
        <v>1418395.56</v>
      </c>
      <c r="L21" s="175"/>
      <c r="M21" s="175"/>
      <c r="N21" s="175"/>
      <c r="O21" s="27"/>
      <c r="P21" s="27"/>
    </row>
    <row r="22" spans="2:16" ht="15.75">
      <c r="B22" s="300">
        <v>8</v>
      </c>
      <c r="C22" s="308" t="s">
        <v>146</v>
      </c>
      <c r="D22" s="314"/>
      <c r="F22" s="315">
        <f>SUM(F19:F21)</f>
        <v>1482505.04</v>
      </c>
      <c r="G22" s="316">
        <f>SUM(G19:G21)</f>
        <v>77730.52</v>
      </c>
      <c r="H22" s="315">
        <f>SUM(H19:H21)</f>
        <v>0</v>
      </c>
      <c r="I22" s="315">
        <f>SUM(I19:I21)</f>
        <v>0</v>
      </c>
      <c r="J22" s="315">
        <f>SUM(J19:J21)</f>
        <v>0</v>
      </c>
      <c r="K22" s="246">
        <f>SUM(F22:J22)</f>
        <v>1560235.56</v>
      </c>
      <c r="L22" s="175"/>
      <c r="M22" s="175"/>
      <c r="N22" s="175"/>
      <c r="O22" s="27"/>
      <c r="P22" s="27"/>
    </row>
    <row r="23" spans="2:16" ht="30.75" customHeight="1">
      <c r="B23" s="300">
        <v>9</v>
      </c>
      <c r="C23" s="317" t="s">
        <v>239</v>
      </c>
      <c r="D23" s="318"/>
      <c r="E23" s="319"/>
      <c r="F23" s="320">
        <f>SUM(F15:F16,F18:F21)</f>
        <v>1482505.04</v>
      </c>
      <c r="G23" s="320">
        <f>SUM(G15:G16,G19:G21)</f>
        <v>77730.52</v>
      </c>
      <c r="H23" s="320">
        <f>SUM(H15:H16,H19:H21)</f>
        <v>0</v>
      </c>
      <c r="I23" s="320">
        <f>SUM(I15:I16,I19:I21)</f>
        <v>0</v>
      </c>
      <c r="J23" s="320">
        <f>SUM(J15:J16,J19:J21)</f>
        <v>0</v>
      </c>
      <c r="K23" s="279">
        <f>SUM(F23:J23)</f>
        <v>1560235.56</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30">
      <c r="B29" s="276">
        <v>10</v>
      </c>
      <c r="C29" s="293" t="s">
        <v>23</v>
      </c>
      <c r="D29" s="325">
        <f>IF(Q32&lt;&gt;0,VLOOKUP($E$9,Info_County_Code,2,FALSE),"")</f>
        <v>24</v>
      </c>
      <c r="E29" s="144" t="s">
        <v>807</v>
      </c>
      <c r="F29" s="38"/>
      <c r="G29" s="38">
        <v>42789</v>
      </c>
      <c r="H29" s="38">
        <v>43101</v>
      </c>
      <c r="I29" s="30">
        <v>5670358.46</v>
      </c>
      <c r="J29" s="30"/>
      <c r="K29" s="326" t="s">
        <v>140</v>
      </c>
      <c r="L29" s="32">
        <v>120495</v>
      </c>
      <c r="M29" s="32"/>
      <c r="N29" s="30"/>
      <c r="O29" s="30"/>
      <c r="P29" s="34"/>
      <c r="Q29" s="246">
        <f>SUM(L29:P29)</f>
        <v>120495</v>
      </c>
    </row>
    <row r="30" spans="2:17" ht="30">
      <c r="B30" s="276">
        <v>10</v>
      </c>
      <c r="C30" s="218" t="s">
        <v>25</v>
      </c>
      <c r="D30" s="327">
        <f aca="true" t="shared" si="0" ref="D30:J31">IF(ISBLANK(D29),"",D29)</f>
        <v>24</v>
      </c>
      <c r="E30" s="328" t="str">
        <f t="shared" si="0"/>
        <v>Innovative Strategist Network-Service Integration Team - Adult</v>
      </c>
      <c r="F30" s="329">
        <f t="shared" si="0"/>
      </c>
      <c r="G30" s="329">
        <f t="shared" si="0"/>
        <v>42789</v>
      </c>
      <c r="H30" s="329">
        <f t="shared" si="0"/>
        <v>43101</v>
      </c>
      <c r="I30" s="330">
        <f t="shared" si="0"/>
        <v>5670358.46</v>
      </c>
      <c r="J30" s="330">
        <f t="shared" si="0"/>
      </c>
      <c r="K30" s="275" t="s">
        <v>141</v>
      </c>
      <c r="L30" s="32"/>
      <c r="M30" s="32"/>
      <c r="N30" s="30"/>
      <c r="O30" s="30"/>
      <c r="P30" s="34"/>
      <c r="Q30" s="246">
        <f aca="true" t="shared" si="1" ref="Q30:Q60">SUM(L30:P30)</f>
        <v>0</v>
      </c>
    </row>
    <row r="31" spans="2:17" ht="30">
      <c r="B31" s="276">
        <v>10</v>
      </c>
      <c r="C31" s="218" t="s">
        <v>27</v>
      </c>
      <c r="D31" s="327">
        <f aca="true" t="shared" si="2" ref="D31:I31">IF(ISBLANK(D29),"",D29)</f>
        <v>24</v>
      </c>
      <c r="E31" s="331" t="str">
        <f t="shared" si="2"/>
        <v>Innovative Strategist Network-Service Integration Team - Adult</v>
      </c>
      <c r="F31" s="332">
        <f t="shared" si="2"/>
      </c>
      <c r="G31" s="332">
        <f t="shared" si="2"/>
        <v>42789</v>
      </c>
      <c r="H31" s="332">
        <f t="shared" si="2"/>
        <v>43101</v>
      </c>
      <c r="I31" s="275">
        <f t="shared" si="2"/>
        <v>5670358.46</v>
      </c>
      <c r="J31" s="275">
        <f t="shared" si="0"/>
      </c>
      <c r="K31" s="275" t="s">
        <v>197</v>
      </c>
      <c r="L31" s="32">
        <f>1418395.56-213448-M31</f>
        <v>1127217.04</v>
      </c>
      <c r="M31" s="32">
        <v>77730.52</v>
      </c>
      <c r="N31" s="30"/>
      <c r="O31" s="30"/>
      <c r="P31" s="34"/>
      <c r="Q31" s="246">
        <f t="shared" si="1"/>
        <v>1204947.56</v>
      </c>
    </row>
    <row r="32" spans="2:17" ht="31.5">
      <c r="B32" s="333">
        <v>10</v>
      </c>
      <c r="C32" s="333" t="s">
        <v>202</v>
      </c>
      <c r="D32" s="334">
        <f aca="true" t="shared" si="3" ref="D32:J32">IF(ISBLANK(D29),"",D29)</f>
        <v>24</v>
      </c>
      <c r="E32" s="335" t="str">
        <f t="shared" si="3"/>
        <v>Innovative Strategist Network-Service Integration Team - Adult</v>
      </c>
      <c r="F32" s="336">
        <f t="shared" si="3"/>
      </c>
      <c r="G32" s="336">
        <f t="shared" si="3"/>
        <v>42789</v>
      </c>
      <c r="H32" s="336">
        <f t="shared" si="3"/>
        <v>43101</v>
      </c>
      <c r="I32" s="337">
        <f t="shared" si="3"/>
        <v>5670358.46</v>
      </c>
      <c r="J32" s="337">
        <f t="shared" si="3"/>
      </c>
      <c r="K32" s="279" t="s">
        <v>217</v>
      </c>
      <c r="L32" s="338">
        <f>SUM(L29:L31)</f>
        <v>1247712.04</v>
      </c>
      <c r="M32" s="338">
        <f>SUM(M29:M31)</f>
        <v>77730.52</v>
      </c>
      <c r="N32" s="339">
        <f>SUM(N29:N31)</f>
        <v>0</v>
      </c>
      <c r="O32" s="339">
        <f>SUM(O29:O31)</f>
        <v>0</v>
      </c>
      <c r="P32" s="340">
        <f>SUM(P29:P31)</f>
        <v>0</v>
      </c>
      <c r="Q32" s="279">
        <f t="shared" si="1"/>
        <v>1325442.56</v>
      </c>
    </row>
    <row r="33" spans="2:17" ht="15">
      <c r="B33" s="276">
        <v>11</v>
      </c>
      <c r="C33" s="293" t="s">
        <v>23</v>
      </c>
      <c r="D33" s="325">
        <f>IF(Q36&lt;&gt;0,VLOOKUP($E$9,Info_County_Code,2,FALSE),"")</f>
        <v>24</v>
      </c>
      <c r="E33" s="144" t="s">
        <v>808</v>
      </c>
      <c r="F33" s="38"/>
      <c r="G33" s="38">
        <v>42789</v>
      </c>
      <c r="H33" s="38">
        <v>43101</v>
      </c>
      <c r="I33" s="30">
        <v>1191929.54</v>
      </c>
      <c r="J33" s="30"/>
      <c r="K33" s="326" t="str">
        <f>IF(NOT(ISBLANK(E33)),$K$29,"")</f>
        <v>Project Administration</v>
      </c>
      <c r="L33" s="32">
        <v>21345</v>
      </c>
      <c r="M33" s="32"/>
      <c r="N33" s="30"/>
      <c r="O33" s="30"/>
      <c r="P33" s="34"/>
      <c r="Q33" s="246">
        <f>SUM(L33:P33)</f>
        <v>21345</v>
      </c>
    </row>
    <row r="34" spans="2:17" ht="15">
      <c r="B34" s="276">
        <v>11</v>
      </c>
      <c r="C34" s="218" t="s">
        <v>25</v>
      </c>
      <c r="D34" s="327">
        <f aca="true" t="shared" si="4" ref="D34:J34">IF(ISBLANK(D33),"",D33)</f>
        <v>24</v>
      </c>
      <c r="E34" s="328" t="str">
        <f t="shared" si="4"/>
        <v>Innovative Strategist Network - Youth</v>
      </c>
      <c r="F34" s="329">
        <f t="shared" si="4"/>
      </c>
      <c r="G34" s="329">
        <f t="shared" si="4"/>
        <v>42789</v>
      </c>
      <c r="H34" s="329">
        <f t="shared" si="4"/>
        <v>43101</v>
      </c>
      <c r="I34" s="330">
        <f t="shared" si="4"/>
        <v>1191929.54</v>
      </c>
      <c r="J34" s="330">
        <f t="shared" si="4"/>
      </c>
      <c r="K34" s="275" t="str">
        <f>IF(NOT(ISBLANK(E33)),$K$30,"")</f>
        <v>Project Evaluation</v>
      </c>
      <c r="L34" s="32"/>
      <c r="M34" s="32"/>
      <c r="N34" s="30"/>
      <c r="O34" s="30"/>
      <c r="P34" s="34"/>
      <c r="Q34" s="246">
        <f>SUM(L34:P34)</f>
        <v>0</v>
      </c>
    </row>
    <row r="35" spans="2:17" ht="15">
      <c r="B35" s="276">
        <v>11</v>
      </c>
      <c r="C35" s="218" t="s">
        <v>27</v>
      </c>
      <c r="D35" s="327">
        <f aca="true" t="shared" si="5" ref="D35:J35">IF(ISBLANK(D33),"",D33)</f>
        <v>24</v>
      </c>
      <c r="E35" s="331" t="str">
        <f t="shared" si="5"/>
        <v>Innovative Strategist Network - Youth</v>
      </c>
      <c r="F35" s="332">
        <f t="shared" si="5"/>
      </c>
      <c r="G35" s="332">
        <f t="shared" si="5"/>
        <v>42789</v>
      </c>
      <c r="H35" s="332">
        <f t="shared" si="5"/>
        <v>43101</v>
      </c>
      <c r="I35" s="275">
        <f t="shared" si="5"/>
        <v>1191929.54</v>
      </c>
      <c r="J35" s="275">
        <f t="shared" si="5"/>
      </c>
      <c r="K35" s="275" t="str">
        <f>IF(NOT(ISBLANK(E33)),$K$31,"")</f>
        <v>Project Direct</v>
      </c>
      <c r="L35" s="32">
        <v>213448</v>
      </c>
      <c r="M35" s="32"/>
      <c r="N35" s="30"/>
      <c r="O35" s="30"/>
      <c r="P35" s="34"/>
      <c r="Q35" s="246">
        <f>SUM(L35:P35)</f>
        <v>213448</v>
      </c>
    </row>
    <row r="36" spans="2:17" ht="15.75">
      <c r="B36" s="333">
        <v>11</v>
      </c>
      <c r="C36" s="333" t="s">
        <v>202</v>
      </c>
      <c r="D36" s="334">
        <f aca="true" t="shared" si="6" ref="D36:J36">IF(ISBLANK(D33),"",D33)</f>
        <v>24</v>
      </c>
      <c r="E36" s="335" t="str">
        <f t="shared" si="6"/>
        <v>Innovative Strategist Network - Youth</v>
      </c>
      <c r="F36" s="336">
        <f t="shared" si="6"/>
      </c>
      <c r="G36" s="336">
        <f t="shared" si="6"/>
        <v>42789</v>
      </c>
      <c r="H36" s="336">
        <f t="shared" si="6"/>
        <v>43101</v>
      </c>
      <c r="I36" s="337">
        <f t="shared" si="6"/>
        <v>1191929.54</v>
      </c>
      <c r="J36" s="337">
        <f t="shared" si="6"/>
      </c>
      <c r="K36" s="279" t="str">
        <f>IF(NOT(ISBLANK(E33)),$K$32,"")</f>
        <v>Project Subtotal</v>
      </c>
      <c r="L36" s="338">
        <f>SUM(L33:L35)</f>
        <v>234793</v>
      </c>
      <c r="M36" s="338">
        <f>SUM(M33:M35)</f>
        <v>0</v>
      </c>
      <c r="N36" s="339">
        <f>SUM(N33:N35)</f>
        <v>0</v>
      </c>
      <c r="O36" s="339">
        <f>SUM(O33:O35)</f>
        <v>0</v>
      </c>
      <c r="P36" s="340">
        <f>SUM(P33:P35)</f>
        <v>0</v>
      </c>
      <c r="Q36" s="279">
        <f>SUM(L36:P36)</f>
        <v>234793</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F16" sqref="F16"/>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2019-20</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Merced</v>
      </c>
      <c r="F9" s="226" t="s">
        <v>1</v>
      </c>
      <c r="G9" s="346">
        <f>IF(ISBLANK('1. Information'!D9),"",'1. Information'!D9)</f>
        <v>44153</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0</v>
      </c>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v>9526</v>
      </c>
      <c r="G17" s="136"/>
      <c r="H17" s="136"/>
      <c r="I17" s="136"/>
      <c r="J17" s="136"/>
      <c r="K17" s="241">
        <f t="shared" si="0"/>
        <v>9526</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95255.8</v>
      </c>
      <c r="G20" s="351">
        <f>SUM(F28:F32)</f>
        <v>0</v>
      </c>
      <c r="H20" s="330">
        <f>SUM(G28:G32)</f>
        <v>0</v>
      </c>
      <c r="I20" s="330">
        <f>SUM(H28:H32)</f>
        <v>0</v>
      </c>
      <c r="J20" s="330">
        <f>SUM(I28:I32)</f>
        <v>0</v>
      </c>
      <c r="K20" s="246">
        <f t="shared" si="0"/>
        <v>95255.8</v>
      </c>
      <c r="L20" s="175"/>
      <c r="M20" s="175"/>
      <c r="N20" s="27"/>
      <c r="O20" s="27"/>
    </row>
    <row r="21" spans="1:15" ht="30.75" customHeight="1">
      <c r="A21" s="27"/>
      <c r="B21" s="300">
        <v>7</v>
      </c>
      <c r="C21" s="277" t="s">
        <v>188</v>
      </c>
      <c r="D21" s="277"/>
      <c r="E21" s="277"/>
      <c r="F21" s="279">
        <f>SUM(F15:F17,F19:F20)</f>
        <v>104781.8</v>
      </c>
      <c r="G21" s="251">
        <f>SUM(G15:G17,G20)</f>
        <v>0</v>
      </c>
      <c r="H21" s="250">
        <f>SUM(H15:H17,H20)</f>
        <v>0</v>
      </c>
      <c r="I21" s="250">
        <f>SUM(I15:I17,I20)</f>
        <v>0</v>
      </c>
      <c r="J21" s="250">
        <f>SUM(J15:J17,J20)</f>
        <v>0</v>
      </c>
      <c r="K21" s="279">
        <f t="shared" si="0"/>
        <v>104781.8</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24</v>
      </c>
      <c r="D28" s="355" t="s">
        <v>98</v>
      </c>
      <c r="E28" s="31">
        <v>5670.35</v>
      </c>
      <c r="F28" s="32"/>
      <c r="G28" s="31"/>
      <c r="H28" s="31"/>
      <c r="I28" s="128"/>
      <c r="J28" s="275">
        <f>SUM(E28:I28)</f>
        <v>5670.35</v>
      </c>
      <c r="K28" s="175"/>
      <c r="L28" s="175"/>
      <c r="M28" s="175"/>
      <c r="N28" s="175"/>
      <c r="O28" s="175"/>
      <c r="P28" s="175"/>
      <c r="Q28" s="175"/>
      <c r="R28" s="175"/>
    </row>
    <row r="29" spans="1:18" ht="15.75">
      <c r="A29" s="27"/>
      <c r="B29" s="300">
        <v>9</v>
      </c>
      <c r="C29" s="301">
        <f>IF(J29&lt;&gt;0,VLOOKUP($D$9,Info_County_Code,2,FALSE),"")</f>
        <v>24</v>
      </c>
      <c r="D29" s="355" t="s">
        <v>99</v>
      </c>
      <c r="E29" s="31">
        <v>23216.19</v>
      </c>
      <c r="F29" s="32"/>
      <c r="G29" s="31"/>
      <c r="H29" s="31"/>
      <c r="I29" s="128"/>
      <c r="J29" s="275">
        <f>SUM(E29:I29)</f>
        <v>23216.19</v>
      </c>
      <c r="K29" s="175"/>
      <c r="L29" s="175"/>
      <c r="M29" s="175"/>
      <c r="N29" s="175"/>
      <c r="O29" s="175"/>
      <c r="P29" s="175"/>
      <c r="Q29" s="175"/>
      <c r="R29" s="175"/>
    </row>
    <row r="30" spans="1:18" ht="15.75">
      <c r="A30" s="27"/>
      <c r="B30" s="300">
        <v>10</v>
      </c>
      <c r="C30" s="301">
        <f>IF(J30&lt;&gt;0,VLOOKUP($D$9,Info_County_Code,2,FALSE),"")</f>
        <v>24</v>
      </c>
      <c r="D30" s="219" t="s">
        <v>295</v>
      </c>
      <c r="E30" s="31">
        <v>35809.47</v>
      </c>
      <c r="F30" s="32"/>
      <c r="G30" s="31"/>
      <c r="H30" s="31"/>
      <c r="I30" s="128"/>
      <c r="J30" s="275">
        <f>SUM(E30:I30)</f>
        <v>35809.47</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v>24</v>
      </c>
      <c r="D32" s="355" t="s">
        <v>102</v>
      </c>
      <c r="E32" s="31">
        <v>30559.79</v>
      </c>
      <c r="F32" s="32"/>
      <c r="G32" s="31"/>
      <c r="H32" s="31"/>
      <c r="I32" s="128"/>
      <c r="J32" s="275">
        <f>SUM(E32:I32)</f>
        <v>30559.79</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5">
      <selection activeCell="F16" sqref="F16"/>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2019-20</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Merced</v>
      </c>
      <c r="E9" s="8"/>
      <c r="F9" s="162" t="s">
        <v>1</v>
      </c>
      <c r="G9" s="264">
        <f>IF(ISBLANK('1. Information'!D9),"",'1. Information'!D9)</f>
        <v>44153</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0</v>
      </c>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v>26880</v>
      </c>
      <c r="G17" s="136"/>
      <c r="H17" s="136"/>
      <c r="I17" s="136"/>
      <c r="J17" s="136"/>
      <c r="K17" s="326">
        <f>SUM(F17:J17)</f>
        <v>26880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268796.26</v>
      </c>
      <c r="G20" s="351">
        <f>SUM(H27:H46)</f>
        <v>0</v>
      </c>
      <c r="H20" s="330">
        <f>SUM(I27:I46)</f>
        <v>0</v>
      </c>
      <c r="I20" s="330">
        <f>SUM(J27:J46)</f>
        <v>0</v>
      </c>
      <c r="J20" s="275">
        <f>SUM(K27:K46)</f>
        <v>0</v>
      </c>
      <c r="K20" s="326">
        <f>SUM(F20:J20)</f>
        <v>268796.26</v>
      </c>
      <c r="L20" s="175"/>
      <c r="M20" s="175"/>
      <c r="U20" s="27"/>
      <c r="V20" s="27"/>
      <c r="W20" s="27"/>
    </row>
    <row r="21" spans="2:23" ht="30.75" customHeight="1">
      <c r="B21" s="300">
        <v>7</v>
      </c>
      <c r="C21" s="359" t="s">
        <v>768</v>
      </c>
      <c r="D21" s="360"/>
      <c r="E21" s="361"/>
      <c r="F21" s="279">
        <f>SUM(F15:F17,F19:F20)</f>
        <v>295676.26</v>
      </c>
      <c r="G21" s="251">
        <f>SUM(G15:G17,G20)</f>
        <v>0</v>
      </c>
      <c r="H21" s="251">
        <f>SUM(H15:H17,H20)</f>
        <v>0</v>
      </c>
      <c r="I21" s="251">
        <f>SUM(I15:I17,I20)</f>
        <v>0</v>
      </c>
      <c r="J21" s="251">
        <f>SUM(J15:J17,J20)</f>
        <v>0</v>
      </c>
      <c r="K21" s="250">
        <f>SUM(F21:J21)</f>
        <v>295676.26</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24</v>
      </c>
      <c r="D27" s="144" t="s">
        <v>809</v>
      </c>
      <c r="E27" s="144"/>
      <c r="F27" s="127" t="s">
        <v>154</v>
      </c>
      <c r="G27" s="126">
        <v>144838.92</v>
      </c>
      <c r="H27" s="126"/>
      <c r="I27" s="126"/>
      <c r="J27" s="129"/>
      <c r="K27" s="126"/>
      <c r="L27" s="364">
        <f>SUM(G27:K27)</f>
        <v>144838.92</v>
      </c>
      <c r="M27" s="175"/>
      <c r="U27" s="27"/>
      <c r="V27" s="27"/>
      <c r="W27" s="27"/>
    </row>
    <row r="28" spans="2:23" ht="15.75">
      <c r="B28" s="300">
        <v>9</v>
      </c>
      <c r="C28" s="301">
        <f t="shared" si="0"/>
        <v>24</v>
      </c>
      <c r="D28" s="144" t="s">
        <v>810</v>
      </c>
      <c r="E28" s="144"/>
      <c r="F28" s="127" t="s">
        <v>155</v>
      </c>
      <c r="G28" s="126">
        <v>123957.34</v>
      </c>
      <c r="H28" s="126"/>
      <c r="I28" s="126"/>
      <c r="J28" s="129"/>
      <c r="K28" s="126"/>
      <c r="L28" s="364">
        <f aca="true" t="shared" si="1" ref="L28:L46">SUM(G28:K28)</f>
        <v>123957.34</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"Capital Facility, Technological Need"</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D18" sqref="D18"/>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2019-20</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Merced</v>
      </c>
      <c r="E9" s="2"/>
      <c r="F9" s="365" t="s">
        <v>156</v>
      </c>
      <c r="G9" s="264">
        <f>IF(ISBLANK('1. Information'!D9),"",'1. Information'!D9)</f>
        <v>44153</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2019-20</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Merced</v>
      </c>
      <c r="F9" s="226" t="s">
        <v>1</v>
      </c>
      <c r="G9" s="346">
        <f>IF(ISBLANK('1. Information'!D9),"",'1. Information'!D9)</f>
        <v>44153</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4" sqref="D14"/>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2019-20</v>
      </c>
      <c r="C6" s="1"/>
      <c r="D6" s="1"/>
    </row>
    <row r="7" spans="2:5" ht="18">
      <c r="B7" s="382" t="s">
        <v>282</v>
      </c>
      <c r="C7" s="1"/>
      <c r="D7" s="1"/>
      <c r="E7" s="27"/>
    </row>
    <row r="8" ht="15">
      <c r="D8" s="131"/>
    </row>
    <row r="9" spans="2:4" ht="34.5" customHeight="1">
      <c r="B9" s="203">
        <v>1</v>
      </c>
      <c r="C9" s="209" t="s">
        <v>1</v>
      </c>
      <c r="D9" s="113">
        <v>44153</v>
      </c>
    </row>
    <row r="10" spans="2:4" ht="34.5" customHeight="1">
      <c r="B10" s="203">
        <v>2</v>
      </c>
      <c r="C10" s="205" t="s">
        <v>303</v>
      </c>
      <c r="D10" s="151" t="s">
        <v>782</v>
      </c>
    </row>
    <row r="11" spans="2:4" ht="34.5" customHeight="1">
      <c r="B11" s="203">
        <v>3</v>
      </c>
      <c r="C11" s="204" t="s">
        <v>0</v>
      </c>
      <c r="D11" s="135" t="s">
        <v>59</v>
      </c>
    </row>
    <row r="12" spans="2:4" ht="34.5" customHeight="1">
      <c r="B12" s="203">
        <v>4</v>
      </c>
      <c r="C12" s="206" t="s">
        <v>113</v>
      </c>
      <c r="D12" s="182">
        <f>IF(ISBLANK(D11),"",VLOOKUP(D11,Info_County_Code,2))</f>
        <v>24</v>
      </c>
    </row>
    <row r="13" spans="2:4" ht="34.5" customHeight="1">
      <c r="B13" s="203">
        <v>5</v>
      </c>
      <c r="C13" s="204" t="s">
        <v>114</v>
      </c>
      <c r="D13" s="412" t="s">
        <v>783</v>
      </c>
    </row>
    <row r="14" spans="2:4" ht="34.5" customHeight="1">
      <c r="B14" s="203">
        <v>6</v>
      </c>
      <c r="C14" s="204" t="s">
        <v>115</v>
      </c>
      <c r="D14" s="135" t="s">
        <v>59</v>
      </c>
    </row>
    <row r="15" spans="2:4" ht="34.5" customHeight="1">
      <c r="B15" s="203">
        <v>7</v>
      </c>
      <c r="C15" s="204" t="s">
        <v>116</v>
      </c>
      <c r="D15" s="172">
        <v>95340</v>
      </c>
    </row>
    <row r="16" spans="2:4" ht="34.5" customHeight="1">
      <c r="B16" s="203">
        <v>8</v>
      </c>
      <c r="C16" s="207" t="s">
        <v>162</v>
      </c>
      <c r="D16" s="183" t="str">
        <f>IF(ISBLANK(D11),"",VLOOKUP(D11,County_Population,5,FALSE))</f>
        <v>Yes</v>
      </c>
    </row>
    <row r="17" spans="2:4" ht="34.5" customHeight="1">
      <c r="B17" s="203">
        <v>9</v>
      </c>
      <c r="C17" s="204" t="s">
        <v>112</v>
      </c>
      <c r="D17" s="135" t="s">
        <v>784</v>
      </c>
    </row>
    <row r="18" spans="2:4" ht="34.5" customHeight="1">
      <c r="B18" s="203">
        <v>10</v>
      </c>
      <c r="C18" s="208" t="s">
        <v>167</v>
      </c>
      <c r="D18" s="413" t="s">
        <v>785</v>
      </c>
    </row>
    <row r="19" spans="2:4" ht="34.5" customHeight="1">
      <c r="B19" s="203">
        <v>11</v>
      </c>
      <c r="C19" s="208" t="s">
        <v>184</v>
      </c>
      <c r="D19" s="413" t="s">
        <v>786</v>
      </c>
    </row>
    <row r="20" spans="2:4" ht="34.5" customHeight="1">
      <c r="B20" s="203">
        <v>12</v>
      </c>
      <c r="C20" s="209" t="s">
        <v>280</v>
      </c>
      <c r="D20" s="414" t="s">
        <v>787</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2019-20</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Merced</v>
      </c>
      <c r="F9" s="226" t="s">
        <v>1</v>
      </c>
      <c r="G9" s="346">
        <f>IF(ISBLANK('1. Information'!D9),"",'1. Information'!D9)</f>
        <v>44153</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30">
      <c r="B13" s="375">
        <v>1</v>
      </c>
      <c r="C13" s="169" t="s">
        <v>166</v>
      </c>
      <c r="D13" s="169" t="s">
        <v>782</v>
      </c>
      <c r="E13" s="117" t="s">
        <v>816</v>
      </c>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Merced</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6" t="s">
        <v>148</v>
      </c>
      <c r="B1" s="417"/>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9" t="s">
        <v>171</v>
      </c>
      <c r="B2" s="419"/>
      <c r="C2" s="419"/>
      <c r="D2" s="419"/>
      <c r="E2" s="419"/>
    </row>
    <row r="3" spans="1:5" ht="14.25" customHeight="1">
      <c r="A3" s="419" t="s">
        <v>235</v>
      </c>
      <c r="B3" s="419"/>
      <c r="C3" s="419"/>
      <c r="D3" s="419"/>
      <c r="E3" s="419"/>
    </row>
    <row r="4" spans="1:4" ht="14.25" customHeight="1" thickBot="1">
      <c r="A4" s="57"/>
      <c r="B4" s="58"/>
      <c r="C4" s="59"/>
      <c r="D4" s="60"/>
    </row>
    <row r="5" spans="1:5" ht="14.25" customHeight="1">
      <c r="A5" s="61" t="s">
        <v>172</v>
      </c>
      <c r="B5" s="418" t="s">
        <v>173</v>
      </c>
      <c r="C5" s="418"/>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7">
      <selection activeCell="G42" sqref="G42"/>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2019-20</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Merced</v>
      </c>
      <c r="F9" s="210" t="s">
        <v>1</v>
      </c>
      <c r="G9" s="185">
        <f>IF(ISBLANK('1. Information'!D9),"",'1. Information'!D9)</f>
        <v>44153</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484506.37</v>
      </c>
      <c r="E14" s="149">
        <v>171651.64</v>
      </c>
      <c r="F14" s="149">
        <v>75425.62</v>
      </c>
      <c r="G14" s="149">
        <v>2154.72</v>
      </c>
      <c r="H14" s="149">
        <v>41143.79</v>
      </c>
      <c r="I14" s="186">
        <f>SUM(D14:H14)</f>
        <v>774882.14</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2974452.1399999997</v>
      </c>
      <c r="G19" s="122"/>
      <c r="H19" s="122"/>
      <c r="I19" s="122"/>
    </row>
    <row r="20" spans="2:9" ht="15">
      <c r="B20" s="216">
        <v>4</v>
      </c>
      <c r="C20" s="220" t="s">
        <v>22</v>
      </c>
      <c r="D20" s="149">
        <v>15739</v>
      </c>
      <c r="E20" s="149"/>
      <c r="F20" s="187">
        <f>-D20-E20</f>
        <v>-15739</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2958713.1399999997</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-2638625</v>
      </c>
      <c r="E27" s="188">
        <f>'3. CSS'!F21</f>
        <v>0</v>
      </c>
      <c r="F27" s="186">
        <f>'3. CSS'!F22</f>
        <v>0</v>
      </c>
      <c r="G27" s="194">
        <f>'3. CSS'!F23</f>
        <v>2638625</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7874939.190000001</v>
      </c>
      <c r="E31" s="194">
        <f>'4. PEI'!F22</f>
        <v>2968484.35</v>
      </c>
      <c r="F31" s="194">
        <f>'5. INN'!F23</f>
        <v>1482505.04</v>
      </c>
      <c r="G31" s="194">
        <f>'6. WET'!F21</f>
        <v>104781.8</v>
      </c>
      <c r="H31" s="194">
        <f>'7. CFTN'!F21</f>
        <v>295676.26</v>
      </c>
      <c r="I31" s="194">
        <f>SUM(D31:H31)</f>
        <v>12726386.640000002</v>
      </c>
    </row>
    <row r="32" spans="2:9" ht="15">
      <c r="B32" s="211">
        <v>10</v>
      </c>
      <c r="C32" s="223" t="s">
        <v>4</v>
      </c>
      <c r="D32" s="189">
        <f>'3. CSS'!G27</f>
        <v>2457124.8</v>
      </c>
      <c r="E32" s="189">
        <f>'4. PEI'!G22</f>
        <v>0</v>
      </c>
      <c r="F32" s="189">
        <f>'5. INN'!G23</f>
        <v>77730.52</v>
      </c>
      <c r="G32" s="189">
        <f>'6. WET'!G21</f>
        <v>0</v>
      </c>
      <c r="H32" s="189">
        <f>'7. CFTN'!G21</f>
        <v>0</v>
      </c>
      <c r="I32" s="194">
        <f>SUM(D32:H32)</f>
        <v>2534855.32</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0</v>
      </c>
      <c r="E35" s="189">
        <f>'4. PEI'!J22</f>
        <v>0</v>
      </c>
      <c r="F35" s="189">
        <f>'5. INN'!J23</f>
        <v>0</v>
      </c>
      <c r="G35" s="189">
        <f>'6. WET'!J21</f>
        <v>0</v>
      </c>
      <c r="H35" s="189">
        <f>'7. CFTN'!J21</f>
        <v>0</v>
      </c>
      <c r="I35" s="194">
        <f>SUM(D35:H35)</f>
        <v>0</v>
      </c>
    </row>
    <row r="36" spans="2:9" ht="15.75">
      <c r="B36" s="211">
        <v>14</v>
      </c>
      <c r="C36" s="224" t="s">
        <v>21</v>
      </c>
      <c r="D36" s="195">
        <f>SUM(D31:D35)</f>
        <v>10332063.990000002</v>
      </c>
      <c r="E36" s="195">
        <f>SUM(E31:E35)</f>
        <v>2968484.35</v>
      </c>
      <c r="F36" s="195">
        <f>SUM(F31:F35)</f>
        <v>1560235.56</v>
      </c>
      <c r="G36" s="195">
        <f>SUM(G31:G35)</f>
        <v>104781.8</v>
      </c>
      <c r="H36" s="195">
        <f>SUM(H31:H35)</f>
        <v>295676.26</v>
      </c>
      <c r="I36" s="196">
        <f>SUM(D36:H36)</f>
        <v>15261241.960000003</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0</v>
      </c>
      <c r="E40" s="154"/>
      <c r="F40" s="120"/>
      <c r="H40" s="120"/>
      <c r="I40" s="122"/>
    </row>
    <row r="41" spans="2:9" ht="15.75">
      <c r="B41" s="211">
        <v>16</v>
      </c>
      <c r="C41" s="162" t="s">
        <v>19</v>
      </c>
      <c r="D41" s="197">
        <f>'3. CSS'!F16+'4. PEI'!F16+'5. INN'!F20+'6. WET'!F16+'7. CFTN'!F16</f>
        <v>0</v>
      </c>
      <c r="E41" s="121"/>
      <c r="F41" s="120"/>
      <c r="G41" s="120"/>
      <c r="H41" s="120"/>
      <c r="I41" s="122"/>
    </row>
    <row r="42" spans="2:9" ht="15.75">
      <c r="B42" s="211">
        <v>17</v>
      </c>
      <c r="C42" s="162" t="s">
        <v>20</v>
      </c>
      <c r="D42" s="198">
        <f>'3. CSS'!F17+'4. PEI'!F17+'5. INN'!F16+'5. INN'!F19+'6. WET'!F17+'7. CFTN'!F17</f>
        <v>1388575</v>
      </c>
      <c r="E42" s="121"/>
      <c r="F42" s="120"/>
      <c r="G42" s="120"/>
      <c r="H42" s="120"/>
      <c r="I42" s="122"/>
    </row>
    <row r="43" spans="2:4" ht="15.75">
      <c r="B43" s="211">
        <v>18</v>
      </c>
      <c r="C43" s="225" t="s">
        <v>243</v>
      </c>
      <c r="D43" s="149"/>
    </row>
    <row r="44" spans="2:4" ht="15.75">
      <c r="B44" s="211">
        <v>19</v>
      </c>
      <c r="C44" s="162" t="s">
        <v>244</v>
      </c>
      <c r="D44" s="199">
        <f>'4. PEI'!F18</f>
        <v>73078.85</v>
      </c>
    </row>
    <row r="45" spans="2:4" ht="15.75">
      <c r="B45" s="211">
        <v>20</v>
      </c>
      <c r="C45" s="225" t="s">
        <v>245</v>
      </c>
      <c r="D45" s="149">
        <v>13071.36</v>
      </c>
    </row>
    <row r="46" spans="2:5" ht="15.75">
      <c r="B46" s="211">
        <v>21</v>
      </c>
      <c r="C46" s="162" t="s">
        <v>249</v>
      </c>
      <c r="D46" s="149">
        <v>289195.81869470613</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6">
      <selection activeCell="A4" sqref="A4"/>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7">
      <selection activeCell="E19" sqref="E19"/>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2019-20</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Merced</v>
      </c>
      <c r="E9" s="123"/>
      <c r="F9" s="226" t="s">
        <v>1</v>
      </c>
      <c r="G9" s="227">
        <f>IF(ISBLANK('1. Information'!D9),"",'1. Information'!D9)</f>
        <v>44153</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0</v>
      </c>
      <c r="G15" s="136">
        <v>0</v>
      </c>
      <c r="H15" s="136"/>
      <c r="I15" s="136"/>
      <c r="J15" s="136"/>
      <c r="K15" s="241">
        <f>SUM(F15:J15)</f>
        <v>0</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v>940467</v>
      </c>
      <c r="G17" s="136"/>
      <c r="H17" s="136"/>
      <c r="I17" s="136"/>
      <c r="J17" s="136"/>
      <c r="K17" s="241">
        <f>SUM(F17:J17)</f>
        <v>940467</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v>2638625</v>
      </c>
      <c r="G23" s="246"/>
      <c r="H23" s="246"/>
      <c r="I23" s="246"/>
      <c r="J23" s="246"/>
      <c r="K23" s="241">
        <f t="shared" si="0"/>
        <v>2638625</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6934472.190000001</v>
      </c>
      <c r="G25" s="246">
        <f>SUM(H34:H133)</f>
        <v>2457124.8</v>
      </c>
      <c r="H25" s="246">
        <f>SUM(I34:I133)</f>
        <v>0</v>
      </c>
      <c r="I25" s="246">
        <f>SUM(J34:J133)</f>
        <v>0</v>
      </c>
      <c r="J25" s="246">
        <f>SUM(K34:K133)</f>
        <v>0</v>
      </c>
      <c r="K25" s="246">
        <f>SUM(F25:J25)</f>
        <v>9391596.990000002</v>
      </c>
      <c r="L25" s="175"/>
    </row>
    <row r="26" spans="1:12" ht="30.75" customHeight="1">
      <c r="A26" s="123"/>
      <c r="B26" s="234">
        <v>12</v>
      </c>
      <c r="C26" s="247" t="s">
        <v>190</v>
      </c>
      <c r="D26" s="248"/>
      <c r="E26" s="249"/>
      <c r="F26" s="250">
        <f>SUM(F15:F17,F19:F25)</f>
        <v>10513564.190000001</v>
      </c>
      <c r="G26" s="250">
        <f>SUM(G15:G17,G25)</f>
        <v>2457124.8</v>
      </c>
      <c r="H26" s="251">
        <f>SUM(H15:H17,H25)</f>
        <v>0</v>
      </c>
      <c r="I26" s="250">
        <f>SUM(I15:I17,I25)</f>
        <v>0</v>
      </c>
      <c r="J26" s="250">
        <f>SUM(J15:J17,J25)</f>
        <v>0</v>
      </c>
      <c r="K26" s="250">
        <f>SUM(F26:J26)</f>
        <v>12970688.990000002</v>
      </c>
      <c r="L26" s="175"/>
    </row>
    <row r="27" spans="1:12" ht="30.75" customHeight="1">
      <c r="A27" s="123"/>
      <c r="B27" s="234">
        <v>13</v>
      </c>
      <c r="C27" s="252" t="s">
        <v>675</v>
      </c>
      <c r="D27" s="252"/>
      <c r="E27" s="252"/>
      <c r="F27" s="250">
        <f>SUM(F15:F17,F19,F20,F25)</f>
        <v>7874939.190000001</v>
      </c>
      <c r="G27" s="250">
        <f>SUM(G15:G17,G25)</f>
        <v>2457124.8</v>
      </c>
      <c r="H27" s="250">
        <f>SUM(H15:H17,H25)</f>
        <v>0</v>
      </c>
      <c r="I27" s="250">
        <f>SUM(I15:I17,I25)</f>
        <v>0</v>
      </c>
      <c r="J27" s="250">
        <f>SUM(J15:J17,J25)</f>
        <v>0</v>
      </c>
      <c r="K27" s="250">
        <f>SUM(F27:J27)</f>
        <v>10332063.990000002</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24</v>
      </c>
      <c r="D34" s="144" t="s">
        <v>788</v>
      </c>
      <c r="E34" s="144" t="s">
        <v>789</v>
      </c>
      <c r="F34" s="127" t="s">
        <v>95</v>
      </c>
      <c r="G34" s="126">
        <f>1118694.82-226536-H34</f>
        <v>629962.6000000001</v>
      </c>
      <c r="H34" s="126">
        <v>262196.22</v>
      </c>
      <c r="I34" s="126"/>
      <c r="J34" s="129"/>
      <c r="K34" s="126"/>
      <c r="L34" s="246">
        <f>SUM(G34:K34)</f>
        <v>892158.8200000001</v>
      </c>
    </row>
    <row r="35" spans="1:12" ht="30.75">
      <c r="A35" s="123"/>
      <c r="B35" s="262">
        <v>15</v>
      </c>
      <c r="C35" s="263">
        <f t="shared" si="1"/>
        <v>24</v>
      </c>
      <c r="D35" s="144" t="s">
        <v>817</v>
      </c>
      <c r="E35" s="144" t="s">
        <v>789</v>
      </c>
      <c r="F35" s="127" t="s">
        <v>96</v>
      </c>
      <c r="G35" s="126">
        <f>226536-H35</f>
        <v>226536</v>
      </c>
      <c r="H35" s="126"/>
      <c r="I35" s="126"/>
      <c r="J35" s="129"/>
      <c r="K35" s="126"/>
      <c r="L35" s="246">
        <f aca="true" t="shared" si="2" ref="L35:L98">SUM(G35:K35)</f>
        <v>226536</v>
      </c>
    </row>
    <row r="36" spans="1:12" ht="30.75">
      <c r="A36" s="123"/>
      <c r="B36" s="262">
        <v>16</v>
      </c>
      <c r="C36" s="263">
        <f t="shared" si="1"/>
        <v>24</v>
      </c>
      <c r="D36" s="144" t="s">
        <v>790</v>
      </c>
      <c r="E36" s="144" t="s">
        <v>791</v>
      </c>
      <c r="F36" s="127" t="s">
        <v>95</v>
      </c>
      <c r="G36" s="126">
        <f>3262495.37-H36</f>
        <v>1975815.6700000002</v>
      </c>
      <c r="H36" s="126">
        <f>181128.32+1105551.38</f>
        <v>1286679.7</v>
      </c>
      <c r="I36" s="126"/>
      <c r="J36" s="129"/>
      <c r="K36" s="126"/>
      <c r="L36" s="246">
        <f t="shared" si="2"/>
        <v>3262495.37</v>
      </c>
    </row>
    <row r="37" spans="1:12" ht="15.75">
      <c r="A37" s="123"/>
      <c r="B37" s="262">
        <v>17</v>
      </c>
      <c r="C37" s="263">
        <f t="shared" si="1"/>
      </c>
      <c r="D37" s="144" t="s">
        <v>792</v>
      </c>
      <c r="E37" s="144"/>
      <c r="F37" s="127" t="s">
        <v>96</v>
      </c>
      <c r="G37" s="126">
        <f>732235.18-H37</f>
        <v>720854.8300000001</v>
      </c>
      <c r="H37" s="126">
        <v>11380.35</v>
      </c>
      <c r="I37" s="126"/>
      <c r="J37" s="129"/>
      <c r="K37" s="126"/>
      <c r="L37" s="246">
        <f>SUM(I37:K37)</f>
        <v>0</v>
      </c>
    </row>
    <row r="38" spans="1:12" ht="15.75">
      <c r="A38" s="123"/>
      <c r="B38" s="262">
        <v>18</v>
      </c>
      <c r="C38" s="263">
        <f t="shared" si="1"/>
        <v>24</v>
      </c>
      <c r="D38" s="144" t="s">
        <v>793</v>
      </c>
      <c r="E38" s="144"/>
      <c r="F38" s="127" t="s">
        <v>96</v>
      </c>
      <c r="G38" s="126">
        <f>470552.44-H38</f>
        <v>353941.36</v>
      </c>
      <c r="H38" s="126">
        <v>116611.08</v>
      </c>
      <c r="I38" s="126"/>
      <c r="J38" s="129"/>
      <c r="K38" s="126"/>
      <c r="L38" s="246">
        <f t="shared" si="2"/>
        <v>470552.44</v>
      </c>
    </row>
    <row r="39" spans="1:12" ht="15.75">
      <c r="A39" s="123"/>
      <c r="B39" s="262">
        <v>19</v>
      </c>
      <c r="C39" s="263">
        <f t="shared" si="1"/>
        <v>24</v>
      </c>
      <c r="D39" s="144" t="s">
        <v>794</v>
      </c>
      <c r="E39" s="144"/>
      <c r="F39" s="127" t="s">
        <v>96</v>
      </c>
      <c r="G39" s="126">
        <f>240624.52-H39</f>
        <v>240624.52</v>
      </c>
      <c r="H39" s="126">
        <v>0</v>
      </c>
      <c r="I39" s="126"/>
      <c r="J39" s="129"/>
      <c r="K39" s="126"/>
      <c r="L39" s="246">
        <f t="shared" si="2"/>
        <v>240624.52</v>
      </c>
    </row>
    <row r="40" spans="1:12" ht="15.75">
      <c r="A40" s="123"/>
      <c r="B40" s="262">
        <v>20</v>
      </c>
      <c r="C40" s="263">
        <f t="shared" si="1"/>
        <v>24</v>
      </c>
      <c r="D40" s="144" t="s">
        <v>795</v>
      </c>
      <c r="E40" s="144" t="s">
        <v>796</v>
      </c>
      <c r="F40" s="127" t="s">
        <v>96</v>
      </c>
      <c r="G40" s="126">
        <f>269396.36-H40</f>
        <v>260210.18999999997</v>
      </c>
      <c r="H40" s="126">
        <v>9186.17</v>
      </c>
      <c r="I40" s="126"/>
      <c r="J40" s="129"/>
      <c r="K40" s="126"/>
      <c r="L40" s="246">
        <f t="shared" si="2"/>
        <v>269396.36</v>
      </c>
    </row>
    <row r="41" spans="1:12" ht="15.75">
      <c r="A41" s="123"/>
      <c r="B41" s="262">
        <v>21</v>
      </c>
      <c r="C41" s="263">
        <f t="shared" si="1"/>
        <v>24</v>
      </c>
      <c r="D41" s="144" t="s">
        <v>797</v>
      </c>
      <c r="E41" s="144" t="s">
        <v>798</v>
      </c>
      <c r="F41" s="127" t="s">
        <v>96</v>
      </c>
      <c r="G41" s="126">
        <f>238938.01-H41</f>
        <v>238938.01</v>
      </c>
      <c r="H41" s="126">
        <v>0</v>
      </c>
      <c r="I41" s="126"/>
      <c r="J41" s="129"/>
      <c r="K41" s="126"/>
      <c r="L41" s="246">
        <f t="shared" si="2"/>
        <v>238938.01</v>
      </c>
    </row>
    <row r="42" spans="1:12" ht="15.75">
      <c r="A42" s="123"/>
      <c r="B42" s="262">
        <v>22</v>
      </c>
      <c r="C42" s="263">
        <f t="shared" si="1"/>
        <v>24</v>
      </c>
      <c r="D42" s="144" t="s">
        <v>799</v>
      </c>
      <c r="E42" s="144"/>
      <c r="F42" s="127" t="s">
        <v>96</v>
      </c>
      <c r="G42" s="126">
        <f>401566.75-H42</f>
        <v>261165.89</v>
      </c>
      <c r="H42" s="126">
        <v>140400.86</v>
      </c>
      <c r="I42" s="126"/>
      <c r="J42" s="129"/>
      <c r="K42" s="126"/>
      <c r="L42" s="246">
        <f t="shared" si="2"/>
        <v>401566.75</v>
      </c>
    </row>
    <row r="43" spans="1:12" ht="15.75">
      <c r="A43" s="123"/>
      <c r="B43" s="262">
        <v>23</v>
      </c>
      <c r="C43" s="263">
        <f t="shared" si="1"/>
        <v>24</v>
      </c>
      <c r="D43" s="144" t="s">
        <v>800</v>
      </c>
      <c r="E43" s="144" t="s">
        <v>801</v>
      </c>
      <c r="F43" s="127" t="s">
        <v>96</v>
      </c>
      <c r="G43" s="126">
        <f>306828.63-H43</f>
        <v>241256.43</v>
      </c>
      <c r="H43" s="126">
        <v>65572.2</v>
      </c>
      <c r="I43" s="126"/>
      <c r="J43" s="129"/>
      <c r="K43" s="126"/>
      <c r="L43" s="246">
        <f t="shared" si="2"/>
        <v>306828.63</v>
      </c>
    </row>
    <row r="44" spans="1:12" ht="15.75">
      <c r="A44" s="123"/>
      <c r="B44" s="262">
        <v>24</v>
      </c>
      <c r="C44" s="263">
        <f t="shared" si="1"/>
        <v>24</v>
      </c>
      <c r="D44" s="144" t="s">
        <v>802</v>
      </c>
      <c r="E44" s="144"/>
      <c r="F44" s="127" t="s">
        <v>96</v>
      </c>
      <c r="G44" s="126">
        <f>826851.34-H44</f>
        <v>495447.33999999997</v>
      </c>
      <c r="H44" s="126">
        <v>331404</v>
      </c>
      <c r="I44" s="126"/>
      <c r="J44" s="129"/>
      <c r="K44" s="126"/>
      <c r="L44" s="246">
        <f t="shared" si="2"/>
        <v>826851.34</v>
      </c>
    </row>
    <row r="45" spans="1:12" ht="15.75">
      <c r="A45" s="123"/>
      <c r="B45" s="262">
        <v>25</v>
      </c>
      <c r="C45" s="263">
        <f t="shared" si="1"/>
        <v>24</v>
      </c>
      <c r="D45" s="144" t="s">
        <v>803</v>
      </c>
      <c r="E45" s="144"/>
      <c r="F45" s="127" t="s">
        <v>96</v>
      </c>
      <c r="G45" s="126">
        <f>187677.92-H45</f>
        <v>176668.48</v>
      </c>
      <c r="H45" s="126">
        <v>11009.44</v>
      </c>
      <c r="I45" s="126"/>
      <c r="J45" s="129"/>
      <c r="K45" s="126"/>
      <c r="L45" s="246">
        <f t="shared" si="2"/>
        <v>187677.92</v>
      </c>
    </row>
    <row r="46" spans="1:12" ht="15.75">
      <c r="A46" s="123"/>
      <c r="B46" s="262">
        <v>26</v>
      </c>
      <c r="C46" s="263">
        <f t="shared" si="1"/>
        <v>24</v>
      </c>
      <c r="D46" s="144" t="s">
        <v>804</v>
      </c>
      <c r="E46" s="144"/>
      <c r="F46" s="127" t="s">
        <v>96</v>
      </c>
      <c r="G46" s="126">
        <f>40000-H46</f>
        <v>40000</v>
      </c>
      <c r="H46" s="126"/>
      <c r="I46" s="126"/>
      <c r="J46" s="129"/>
      <c r="K46" s="126"/>
      <c r="L46" s="246">
        <f t="shared" si="2"/>
        <v>40000</v>
      </c>
    </row>
    <row r="47" spans="1:12" ht="15.75">
      <c r="A47" s="123"/>
      <c r="B47" s="262">
        <v>27</v>
      </c>
      <c r="C47" s="263">
        <f t="shared" si="1"/>
        <v>24</v>
      </c>
      <c r="D47" s="144" t="s">
        <v>805</v>
      </c>
      <c r="E47" s="144"/>
      <c r="F47" s="127" t="s">
        <v>96</v>
      </c>
      <c r="G47" s="126">
        <v>341012.48</v>
      </c>
      <c r="H47" s="126"/>
      <c r="I47" s="126"/>
      <c r="J47" s="129"/>
      <c r="K47" s="126"/>
      <c r="L47" s="246">
        <f t="shared" si="2"/>
        <v>341012.48</v>
      </c>
    </row>
    <row r="48" spans="1:12" ht="15.75">
      <c r="A48" s="123"/>
      <c r="B48" s="262">
        <v>28</v>
      </c>
      <c r="C48" s="263">
        <f t="shared" si="1"/>
        <v>24</v>
      </c>
      <c r="D48" s="144" t="s">
        <v>811</v>
      </c>
      <c r="E48" s="144" t="s">
        <v>806</v>
      </c>
      <c r="F48" s="127" t="s">
        <v>96</v>
      </c>
      <c r="G48" s="126">
        <v>44455.65148134388</v>
      </c>
      <c r="H48" s="126">
        <v>13523.33034047536</v>
      </c>
      <c r="I48" s="126"/>
      <c r="J48" s="129"/>
      <c r="K48" s="126"/>
      <c r="L48" s="246">
        <f t="shared" si="2"/>
        <v>57978.98182181924</v>
      </c>
    </row>
    <row r="49" spans="1:12" ht="15.75">
      <c r="A49" s="123"/>
      <c r="B49" s="262">
        <v>29</v>
      </c>
      <c r="C49" s="263">
        <f t="shared" si="1"/>
        <v>24</v>
      </c>
      <c r="D49" s="144" t="s">
        <v>812</v>
      </c>
      <c r="E49" s="144" t="s">
        <v>806</v>
      </c>
      <c r="F49" s="127" t="s">
        <v>96</v>
      </c>
      <c r="G49" s="126">
        <v>256763.99852441959</v>
      </c>
      <c r="H49" s="126">
        <v>78107.15299143082</v>
      </c>
      <c r="I49" s="126"/>
      <c r="J49" s="129"/>
      <c r="K49" s="126"/>
      <c r="L49" s="246">
        <f t="shared" si="2"/>
        <v>334871.1515158504</v>
      </c>
    </row>
    <row r="50" spans="1:12" ht="15.75">
      <c r="A50" s="123"/>
      <c r="B50" s="262">
        <v>30</v>
      </c>
      <c r="C50" s="263">
        <f t="shared" si="1"/>
        <v>24</v>
      </c>
      <c r="D50" s="144" t="s">
        <v>813</v>
      </c>
      <c r="E50" s="144" t="s">
        <v>806</v>
      </c>
      <c r="F50" s="127" t="s">
        <v>96</v>
      </c>
      <c r="G50" s="126">
        <v>63937.24279875118</v>
      </c>
      <c r="H50" s="126">
        <v>19449.595869482324</v>
      </c>
      <c r="I50" s="126"/>
      <c r="J50" s="129"/>
      <c r="K50" s="126"/>
      <c r="L50" s="246">
        <f t="shared" si="2"/>
        <v>83386.8386682335</v>
      </c>
    </row>
    <row r="51" spans="1:12" ht="15.75">
      <c r="A51" s="123"/>
      <c r="B51" s="262">
        <v>31</v>
      </c>
      <c r="C51" s="263">
        <f t="shared" si="1"/>
        <v>24</v>
      </c>
      <c r="D51" s="144" t="s">
        <v>814</v>
      </c>
      <c r="E51" s="144" t="s">
        <v>806</v>
      </c>
      <c r="F51" s="127" t="s">
        <v>96</v>
      </c>
      <c r="G51" s="126">
        <v>181524.37417368827</v>
      </c>
      <c r="H51" s="126">
        <v>55219.39269811444</v>
      </c>
      <c r="I51" s="126"/>
      <c r="J51" s="129"/>
      <c r="K51" s="126"/>
      <c r="L51" s="246">
        <f t="shared" si="2"/>
        <v>236743.7668718027</v>
      </c>
    </row>
    <row r="52" spans="1:12" ht="15.75">
      <c r="A52" s="123"/>
      <c r="B52" s="262">
        <v>32</v>
      </c>
      <c r="C52" s="263">
        <f t="shared" si="1"/>
        <v>24</v>
      </c>
      <c r="D52" s="144" t="s">
        <v>815</v>
      </c>
      <c r="E52" s="144" t="s">
        <v>806</v>
      </c>
      <c r="F52" s="127" t="s">
        <v>96</v>
      </c>
      <c r="G52" s="126">
        <v>185357.12302179713</v>
      </c>
      <c r="H52" s="126">
        <v>56385.308100497066</v>
      </c>
      <c r="I52" s="126"/>
      <c r="J52" s="129"/>
      <c r="K52" s="126"/>
      <c r="L52" s="246">
        <f t="shared" si="2"/>
        <v>241742.4311222942</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7"/>
      <c r="H54" s="127"/>
      <c r="I54" s="127"/>
      <c r="J54" s="129"/>
      <c r="K54" s="126"/>
      <c r="L54" s="246">
        <f t="shared" si="2"/>
        <v>0</v>
      </c>
    </row>
    <row r="55" spans="1:12" ht="15.75">
      <c r="A55" s="123"/>
      <c r="B55" s="262">
        <v>35</v>
      </c>
      <c r="C55" s="263">
        <f t="shared" si="1"/>
      </c>
      <c r="D55" s="144"/>
      <c r="E55" s="144"/>
      <c r="F55" s="127"/>
      <c r="G55" s="127"/>
      <c r="H55" s="127"/>
      <c r="I55" s="127"/>
      <c r="J55" s="129"/>
      <c r="K55" s="126"/>
      <c r="L55" s="246">
        <f t="shared" si="2"/>
        <v>0</v>
      </c>
    </row>
    <row r="56" spans="1:12" ht="15.75">
      <c r="A56" s="123"/>
      <c r="B56" s="262">
        <v>36</v>
      </c>
      <c r="C56" s="263">
        <f t="shared" si="1"/>
      </c>
      <c r="D56" s="144"/>
      <c r="E56" s="144"/>
      <c r="F56" s="127"/>
      <c r="G56" s="127"/>
      <c r="H56" s="127"/>
      <c r="I56" s="127"/>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 allowBlank="1" showInputMessage="1" showErrorMessage="1" prompt="Type in Program Name. " sqref="D55:D133 D34:D53"/>
    <dataValidation allowBlank="1" showInputMessage="1" showErrorMessage="1" prompt="Type in Prior Program Name. " sqref="E55:E133 E34:E53"/>
    <dataValidation type="list" allowBlank="1" showInputMessage="1" showErrorMessage="1" prompt="Use drop down menu to select Program Type. " sqref="F55:F133 F34:F53">
      <formula1>CSS_Service_Category</formula1>
    </dataValidation>
    <dataValidation allowBlank="1" showInputMessage="1" showErrorMessage="1" prompt="Type in Total MHSA Funds (Including Interest)" sqref="G55:G133 G34:G53"/>
    <dataValidation allowBlank="1" showInputMessage="1" showErrorMessage="1" prompt="Type in Medi-Cal FFP. " sqref="H55:H133 H34:H5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76">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5" zoomScaleNormal="85" zoomScaleSheetLayoutView="40" zoomScalePageLayoutView="80" workbookViewId="0" topLeftCell="A10">
      <selection activeCell="H26" sqref="H26"/>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2019-20</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Merced</v>
      </c>
      <c r="E9" s="27" t="str">
        <f>IF(ISBLANK('1. Information'!D11),"",'1. Information'!D11)</f>
        <v>Merced</v>
      </c>
      <c r="F9" s="226" t="s">
        <v>1</v>
      </c>
      <c r="G9" s="264">
        <f>IF(ISBLANK('1. Information'!D9),"",'1. Information'!D9)</f>
        <v>44153</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0</v>
      </c>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269862</v>
      </c>
      <c r="G17" s="136"/>
      <c r="H17" s="136"/>
      <c r="I17" s="136"/>
      <c r="J17" s="136"/>
      <c r="K17" s="241">
        <f t="shared" si="0"/>
        <v>269862</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v>73078.85</v>
      </c>
      <c r="G18" s="244"/>
      <c r="H18" s="244"/>
      <c r="I18" s="244"/>
      <c r="J18" s="244"/>
      <c r="K18" s="241">
        <f>F18</f>
        <v>73078.85</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2698622.35</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2698622.35</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2968484.35</v>
      </c>
      <c r="G22" s="279">
        <f>SUM(G15:G17,G20:G21)</f>
        <v>0</v>
      </c>
      <c r="H22" s="279">
        <f>SUM(H15:H17,H20:H21)</f>
        <v>0</v>
      </c>
      <c r="I22" s="279">
        <f>SUM(I15:I17,I20:I21)</f>
        <v>0</v>
      </c>
      <c r="J22" s="279">
        <f>SUM(J15:J17,J20:J21)</f>
        <v>0</v>
      </c>
      <c r="K22" s="279">
        <f t="shared" si="0"/>
        <v>2968484.35</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0.5638936208641289</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30.75">
      <c r="B34" s="300">
        <v>10</v>
      </c>
      <c r="C34" s="301">
        <f aca="true" t="shared" si="1" ref="C34:C65">IF(AND(NOT(COUNTA(D34:J34)),(NOT(COUNTA(L34:P34)))),"",VLOOKUP($D$9,Info_County_Code,2,FALSE))</f>
        <v>24</v>
      </c>
      <c r="D34" s="144" t="s">
        <v>818</v>
      </c>
      <c r="E34" s="144" t="s">
        <v>818</v>
      </c>
      <c r="F34" s="147" t="s">
        <v>126</v>
      </c>
      <c r="G34" s="148" t="s">
        <v>121</v>
      </c>
      <c r="H34" s="147" t="s">
        <v>121</v>
      </c>
      <c r="I34" s="415">
        <v>0.9</v>
      </c>
      <c r="J34" s="415">
        <v>1</v>
      </c>
      <c r="K34" s="302">
        <f>IF(OR(G34="Combined Summary",F34="Standalone"),(SUMPRODUCT(--(D$34:D$133=D34),I$34:I$133,J$34:J$133)),"")</f>
      </c>
      <c r="L34" s="126">
        <f>L36*I34</f>
        <v>134200.80000000002</v>
      </c>
      <c r="M34" s="133"/>
      <c r="N34" s="30"/>
      <c r="O34" s="30"/>
      <c r="P34" s="30"/>
      <c r="Q34" s="303">
        <f>SUM(L34:P34)</f>
        <v>134200.80000000002</v>
      </c>
      <c r="R34" s="178">
        <f>IF(OR(G34="Combined Summary",F34="Standalone"),(SUMIF(D$34:D$133,D34,I$34:I$133)),"")</f>
      </c>
      <c r="S34" s="179">
        <f>IF(AND(F34="Standalone",NOT(R34=1)),"ERROR",IF(AND(G34="Combined Summary",NOT(R34=1)),"ERROR",""))</f>
      </c>
      <c r="T34" s="177"/>
      <c r="AL34" s="27"/>
      <c r="AM34" s="27"/>
      <c r="AN34" s="27"/>
    </row>
    <row r="35" spans="2:40" ht="30.75">
      <c r="B35" s="300">
        <v>11</v>
      </c>
      <c r="C35" s="301">
        <f t="shared" si="1"/>
        <v>24</v>
      </c>
      <c r="D35" s="144" t="s">
        <v>818</v>
      </c>
      <c r="E35" s="144" t="s">
        <v>818</v>
      </c>
      <c r="F35" s="147" t="s">
        <v>126</v>
      </c>
      <c r="G35" s="148" t="s">
        <v>122</v>
      </c>
      <c r="H35" s="147" t="s">
        <v>122</v>
      </c>
      <c r="I35" s="415">
        <v>0.1</v>
      </c>
      <c r="J35" s="415">
        <v>1</v>
      </c>
      <c r="K35" s="302">
        <f aca="true" t="shared" si="2" ref="K35:K98">IF(OR(G35="Combined Summary",F35="Standalone"),(SUMPRODUCT(--(D$34:D$133=D35),I$34:I$133,J$34:J$133)),"")</f>
      </c>
      <c r="L35" s="126">
        <f>L36*I35</f>
        <v>14911.2</v>
      </c>
      <c r="M35" s="133"/>
      <c r="N35" s="30"/>
      <c r="O35" s="30"/>
      <c r="P35" s="30"/>
      <c r="Q35" s="303">
        <f aca="true" t="shared" si="3" ref="Q35:Q98">SUM(L35:P35)</f>
        <v>14911.2</v>
      </c>
      <c r="R35" s="178">
        <f aca="true" t="shared" si="4" ref="R35:R98">IF(OR(G35="Combined Summary",F35="Standalone"),(SUMIF(D$34:D$133,D35,I$34:I$133)),"")</f>
      </c>
      <c r="S35" s="180">
        <f aca="true" t="shared" si="5" ref="S35:S98">IF(AND(F35="Standalone",NOT(R35=1)),"ERROR",IF(AND(G35="Combined Summary",NOT(R35=1)),"ERROR",""))</f>
      </c>
      <c r="T35" s="177"/>
      <c r="AL35" s="27"/>
      <c r="AM35" s="27"/>
      <c r="AN35" s="27"/>
    </row>
    <row r="36" spans="2:40" ht="30.75">
      <c r="B36" s="300">
        <v>12</v>
      </c>
      <c r="C36" s="301">
        <f t="shared" si="1"/>
        <v>24</v>
      </c>
      <c r="D36" s="144" t="s">
        <v>818</v>
      </c>
      <c r="E36" s="144" t="s">
        <v>818</v>
      </c>
      <c r="F36" s="147" t="s">
        <v>126</v>
      </c>
      <c r="G36" s="148" t="s">
        <v>194</v>
      </c>
      <c r="H36" s="147"/>
      <c r="I36" s="415"/>
      <c r="J36" s="415"/>
      <c r="K36" s="302">
        <f t="shared" si="2"/>
        <v>1</v>
      </c>
      <c r="L36" s="126">
        <v>149112</v>
      </c>
      <c r="M36" s="133"/>
      <c r="N36" s="30"/>
      <c r="O36" s="30"/>
      <c r="P36" s="30"/>
      <c r="Q36" s="303">
        <f t="shared" si="3"/>
        <v>149112</v>
      </c>
      <c r="R36" s="178">
        <f t="shared" si="4"/>
        <v>1</v>
      </c>
      <c r="S36" s="180">
        <f t="shared" si="5"/>
      </c>
      <c r="AL36" s="27"/>
      <c r="AM36" s="27"/>
      <c r="AN36" s="27"/>
    </row>
    <row r="37" spans="2:40" ht="15.75">
      <c r="B37" s="300">
        <v>13</v>
      </c>
      <c r="C37" s="301">
        <f t="shared" si="1"/>
        <v>24</v>
      </c>
      <c r="D37" s="144" t="s">
        <v>819</v>
      </c>
      <c r="E37" s="144" t="s">
        <v>819</v>
      </c>
      <c r="F37" s="147" t="s">
        <v>125</v>
      </c>
      <c r="G37" s="148" t="s">
        <v>121</v>
      </c>
      <c r="H37" s="147"/>
      <c r="I37" s="415">
        <v>1</v>
      </c>
      <c r="J37" s="415">
        <v>1</v>
      </c>
      <c r="K37" s="302">
        <f t="shared" si="2"/>
        <v>1</v>
      </c>
      <c r="L37" s="126">
        <v>255414</v>
      </c>
      <c r="M37" s="133"/>
      <c r="N37" s="30"/>
      <c r="O37" s="30"/>
      <c r="P37" s="30"/>
      <c r="Q37" s="303">
        <f t="shared" si="3"/>
        <v>255414</v>
      </c>
      <c r="R37" s="178">
        <f t="shared" si="4"/>
        <v>1</v>
      </c>
      <c r="S37" s="180">
        <f t="shared" si="5"/>
      </c>
      <c r="AL37" s="27"/>
      <c r="AM37" s="27"/>
      <c r="AN37" s="27"/>
    </row>
    <row r="38" spans="2:40" ht="30.75">
      <c r="B38" s="300">
        <v>14</v>
      </c>
      <c r="C38" s="301">
        <f t="shared" si="1"/>
        <v>24</v>
      </c>
      <c r="D38" s="144" t="s">
        <v>820</v>
      </c>
      <c r="E38" s="144" t="s">
        <v>820</v>
      </c>
      <c r="F38" s="147" t="s">
        <v>125</v>
      </c>
      <c r="G38" s="148" t="s">
        <v>121</v>
      </c>
      <c r="H38" s="147"/>
      <c r="I38" s="415">
        <v>1</v>
      </c>
      <c r="J38" s="415">
        <v>1</v>
      </c>
      <c r="K38" s="302">
        <f t="shared" si="2"/>
        <v>1</v>
      </c>
      <c r="L38" s="126">
        <v>87643.58</v>
      </c>
      <c r="M38" s="133"/>
      <c r="N38" s="30"/>
      <c r="O38" s="30"/>
      <c r="P38" s="30"/>
      <c r="Q38" s="303">
        <f t="shared" si="3"/>
        <v>87643.58</v>
      </c>
      <c r="R38" s="178">
        <f t="shared" si="4"/>
        <v>1</v>
      </c>
      <c r="S38" s="180">
        <f t="shared" si="5"/>
      </c>
      <c r="AL38" s="27"/>
      <c r="AM38" s="27"/>
      <c r="AN38" s="27"/>
    </row>
    <row r="39" spans="2:40" ht="30.75">
      <c r="B39" s="300">
        <v>15</v>
      </c>
      <c r="C39" s="301">
        <f t="shared" si="1"/>
        <v>24</v>
      </c>
      <c r="D39" s="144" t="s">
        <v>821</v>
      </c>
      <c r="E39" s="144" t="s">
        <v>821</v>
      </c>
      <c r="F39" s="147" t="s">
        <v>126</v>
      </c>
      <c r="G39" s="148" t="s">
        <v>121</v>
      </c>
      <c r="H39" s="147" t="s">
        <v>121</v>
      </c>
      <c r="I39" s="415">
        <v>0.42</v>
      </c>
      <c r="J39" s="415">
        <v>0.77</v>
      </c>
      <c r="K39" s="302">
        <f t="shared" si="2"/>
      </c>
      <c r="L39" s="126">
        <f>L41*I39</f>
        <v>93795.66</v>
      </c>
      <c r="M39" s="133"/>
      <c r="N39" s="30"/>
      <c r="O39" s="30"/>
      <c r="P39" s="30"/>
      <c r="Q39" s="303">
        <f t="shared" si="3"/>
        <v>93795.66</v>
      </c>
      <c r="R39" s="178">
        <f t="shared" si="4"/>
      </c>
      <c r="S39" s="180">
        <f t="shared" si="5"/>
      </c>
      <c r="AL39" s="27"/>
      <c r="AM39" s="27"/>
      <c r="AN39" s="27"/>
    </row>
    <row r="40" spans="2:40" ht="30.75">
      <c r="B40" s="300">
        <v>16</v>
      </c>
      <c r="C40" s="301">
        <f t="shared" si="1"/>
        <v>24</v>
      </c>
      <c r="D40" s="144" t="s">
        <v>821</v>
      </c>
      <c r="E40" s="144" t="s">
        <v>821</v>
      </c>
      <c r="F40" s="147" t="s">
        <v>126</v>
      </c>
      <c r="G40" s="148" t="s">
        <v>122</v>
      </c>
      <c r="H40" s="147" t="s">
        <v>122</v>
      </c>
      <c r="I40" s="415">
        <v>0.58</v>
      </c>
      <c r="J40" s="415">
        <v>0.77</v>
      </c>
      <c r="K40" s="302">
        <f t="shared" si="2"/>
      </c>
      <c r="L40" s="126">
        <f>L41*I40</f>
        <v>129527.34</v>
      </c>
      <c r="M40" s="133"/>
      <c r="N40" s="30"/>
      <c r="O40" s="30"/>
      <c r="P40" s="30"/>
      <c r="Q40" s="303">
        <f t="shared" si="3"/>
        <v>129527.34</v>
      </c>
      <c r="R40" s="178">
        <f t="shared" si="4"/>
      </c>
      <c r="S40" s="180">
        <f t="shared" si="5"/>
      </c>
      <c r="AL40" s="27"/>
      <c r="AM40" s="27"/>
      <c r="AN40" s="27"/>
    </row>
    <row r="41" spans="2:40" ht="30.75">
      <c r="B41" s="300">
        <v>17</v>
      </c>
      <c r="C41" s="301">
        <f t="shared" si="1"/>
        <v>24</v>
      </c>
      <c r="D41" s="144" t="s">
        <v>821</v>
      </c>
      <c r="E41" s="144" t="s">
        <v>821</v>
      </c>
      <c r="F41" s="147" t="s">
        <v>126</v>
      </c>
      <c r="G41" s="148" t="s">
        <v>194</v>
      </c>
      <c r="H41" s="147"/>
      <c r="I41" s="415"/>
      <c r="J41" s="415"/>
      <c r="K41" s="302">
        <f t="shared" si="2"/>
        <v>0.77</v>
      </c>
      <c r="L41" s="126">
        <v>223323</v>
      </c>
      <c r="M41" s="133"/>
      <c r="N41" s="30"/>
      <c r="O41" s="30"/>
      <c r="P41" s="30"/>
      <c r="Q41" s="303">
        <f t="shared" si="3"/>
        <v>223323</v>
      </c>
      <c r="R41" s="178">
        <f t="shared" si="4"/>
        <v>1</v>
      </c>
      <c r="S41" s="180">
        <f t="shared" si="5"/>
      </c>
      <c r="AL41" s="27"/>
      <c r="AM41" s="27"/>
      <c r="AN41" s="27"/>
    </row>
    <row r="42" spans="2:40" ht="45.75">
      <c r="B42" s="300">
        <v>18</v>
      </c>
      <c r="C42" s="301">
        <f t="shared" si="1"/>
        <v>24</v>
      </c>
      <c r="D42" s="144" t="s">
        <v>822</v>
      </c>
      <c r="E42" s="144" t="s">
        <v>822</v>
      </c>
      <c r="F42" s="147" t="s">
        <v>126</v>
      </c>
      <c r="G42" s="148" t="s">
        <v>121</v>
      </c>
      <c r="H42" s="147" t="s">
        <v>121</v>
      </c>
      <c r="I42" s="415">
        <v>0.83</v>
      </c>
      <c r="J42" s="415">
        <v>1</v>
      </c>
      <c r="K42" s="302">
        <f t="shared" si="2"/>
      </c>
      <c r="L42" s="126">
        <f>L44*I42</f>
        <v>78435</v>
      </c>
      <c r="M42" s="133"/>
      <c r="N42" s="30"/>
      <c r="O42" s="30"/>
      <c r="P42" s="30"/>
      <c r="Q42" s="303">
        <f t="shared" si="3"/>
        <v>78435</v>
      </c>
      <c r="R42" s="178">
        <f t="shared" si="4"/>
      </c>
      <c r="S42" s="180">
        <f t="shared" si="5"/>
      </c>
      <c r="AL42" s="27"/>
      <c r="AM42" s="27"/>
      <c r="AN42" s="27"/>
    </row>
    <row r="43" spans="2:40" ht="45.75">
      <c r="B43" s="300">
        <v>19</v>
      </c>
      <c r="C43" s="301">
        <f t="shared" si="1"/>
        <v>24</v>
      </c>
      <c r="D43" s="144" t="s">
        <v>822</v>
      </c>
      <c r="E43" s="144" t="s">
        <v>822</v>
      </c>
      <c r="F43" s="147" t="s">
        <v>126</v>
      </c>
      <c r="G43" s="148" t="s">
        <v>122</v>
      </c>
      <c r="H43" s="147" t="s">
        <v>122</v>
      </c>
      <c r="I43" s="415">
        <v>0.17</v>
      </c>
      <c r="J43" s="415">
        <v>1</v>
      </c>
      <c r="K43" s="302">
        <f t="shared" si="2"/>
      </c>
      <c r="L43" s="126">
        <f>L44*I43</f>
        <v>16065.000000000002</v>
      </c>
      <c r="M43" s="133"/>
      <c r="N43" s="30"/>
      <c r="O43" s="30"/>
      <c r="P43" s="30"/>
      <c r="Q43" s="303">
        <f t="shared" si="3"/>
        <v>16065.000000000002</v>
      </c>
      <c r="R43" s="178">
        <f t="shared" si="4"/>
      </c>
      <c r="S43" s="180">
        <f t="shared" si="5"/>
      </c>
      <c r="AL43" s="27"/>
      <c r="AM43" s="27"/>
      <c r="AN43" s="27"/>
    </row>
    <row r="44" spans="2:40" ht="45.75">
      <c r="B44" s="300">
        <v>20</v>
      </c>
      <c r="C44" s="301">
        <f t="shared" si="1"/>
        <v>24</v>
      </c>
      <c r="D44" s="144" t="s">
        <v>822</v>
      </c>
      <c r="E44" s="144" t="s">
        <v>822</v>
      </c>
      <c r="F44" s="147" t="s">
        <v>126</v>
      </c>
      <c r="G44" s="148" t="s">
        <v>194</v>
      </c>
      <c r="H44" s="147"/>
      <c r="I44" s="415"/>
      <c r="J44" s="415"/>
      <c r="K44" s="302">
        <f t="shared" si="2"/>
        <v>1</v>
      </c>
      <c r="L44" s="126">
        <v>94500</v>
      </c>
      <c r="M44" s="133"/>
      <c r="N44" s="30"/>
      <c r="O44" s="30"/>
      <c r="P44" s="30"/>
      <c r="Q44" s="303">
        <f t="shared" si="3"/>
        <v>94500</v>
      </c>
      <c r="R44" s="178">
        <f t="shared" si="4"/>
        <v>1</v>
      </c>
      <c r="S44" s="180">
        <f t="shared" si="5"/>
      </c>
      <c r="AL44" s="27"/>
      <c r="AM44" s="27"/>
      <c r="AN44" s="27"/>
    </row>
    <row r="45" spans="2:40" ht="30.75">
      <c r="B45" s="300">
        <v>21</v>
      </c>
      <c r="C45" s="301">
        <f t="shared" si="1"/>
        <v>24</v>
      </c>
      <c r="D45" s="144" t="s">
        <v>823</v>
      </c>
      <c r="E45" s="144" t="s">
        <v>823</v>
      </c>
      <c r="F45" s="147" t="s">
        <v>126</v>
      </c>
      <c r="G45" s="148" t="s">
        <v>121</v>
      </c>
      <c r="H45" s="147" t="s">
        <v>121</v>
      </c>
      <c r="I45" s="415">
        <v>0.52</v>
      </c>
      <c r="J45" s="415">
        <v>1</v>
      </c>
      <c r="K45" s="302">
        <f t="shared" si="2"/>
      </c>
      <c r="L45" s="126">
        <f>L47*I45</f>
        <v>54622.4796</v>
      </c>
      <c r="M45" s="133"/>
      <c r="N45" s="30"/>
      <c r="O45" s="30"/>
      <c r="P45" s="30"/>
      <c r="Q45" s="303">
        <f t="shared" si="3"/>
        <v>54622.4796</v>
      </c>
      <c r="R45" s="178">
        <f t="shared" si="4"/>
      </c>
      <c r="S45" s="180">
        <f t="shared" si="5"/>
      </c>
      <c r="AL45" s="27"/>
      <c r="AM45" s="27"/>
      <c r="AN45" s="27"/>
    </row>
    <row r="46" spans="2:40" ht="30.75">
      <c r="B46" s="300">
        <v>22</v>
      </c>
      <c r="C46" s="301">
        <f t="shared" si="1"/>
        <v>24</v>
      </c>
      <c r="D46" s="144" t="s">
        <v>823</v>
      </c>
      <c r="E46" s="144" t="s">
        <v>823</v>
      </c>
      <c r="F46" s="147" t="s">
        <v>126</v>
      </c>
      <c r="G46" s="148" t="s">
        <v>122</v>
      </c>
      <c r="H46" s="147" t="s">
        <v>122</v>
      </c>
      <c r="I46" s="415">
        <v>0.48</v>
      </c>
      <c r="J46" s="415">
        <v>1</v>
      </c>
      <c r="K46" s="302">
        <f t="shared" si="2"/>
      </c>
      <c r="L46" s="126">
        <f>L47*I46</f>
        <v>50420.7504</v>
      </c>
      <c r="M46" s="133"/>
      <c r="N46" s="30"/>
      <c r="O46" s="30"/>
      <c r="P46" s="30"/>
      <c r="Q46" s="303">
        <f t="shared" si="3"/>
        <v>50420.7504</v>
      </c>
      <c r="R46" s="178">
        <f t="shared" si="4"/>
      </c>
      <c r="S46" s="180">
        <f t="shared" si="5"/>
      </c>
      <c r="AL46" s="27"/>
      <c r="AM46" s="27"/>
      <c r="AN46" s="27"/>
    </row>
    <row r="47" spans="2:40" ht="30.75">
      <c r="B47" s="300">
        <v>23</v>
      </c>
      <c r="C47" s="301">
        <f t="shared" si="1"/>
        <v>24</v>
      </c>
      <c r="D47" s="144" t="s">
        <v>823</v>
      </c>
      <c r="E47" s="144" t="s">
        <v>823</v>
      </c>
      <c r="F47" s="147" t="s">
        <v>126</v>
      </c>
      <c r="G47" s="148" t="s">
        <v>194</v>
      </c>
      <c r="H47" s="147"/>
      <c r="I47" s="415"/>
      <c r="J47" s="415"/>
      <c r="K47" s="302">
        <f t="shared" si="2"/>
        <v>1</v>
      </c>
      <c r="L47" s="126">
        <v>105043.23</v>
      </c>
      <c r="M47" s="133"/>
      <c r="N47" s="30"/>
      <c r="O47" s="30"/>
      <c r="P47" s="30"/>
      <c r="Q47" s="303">
        <f t="shared" si="3"/>
        <v>105043.23</v>
      </c>
      <c r="R47" s="178">
        <f t="shared" si="4"/>
        <v>1</v>
      </c>
      <c r="S47" s="180">
        <f t="shared" si="5"/>
      </c>
      <c r="AL47" s="27"/>
      <c r="AM47" s="27"/>
      <c r="AN47" s="27"/>
    </row>
    <row r="48" spans="2:40" ht="30.75">
      <c r="B48" s="300">
        <v>24</v>
      </c>
      <c r="C48" s="301">
        <f t="shared" si="1"/>
        <v>24</v>
      </c>
      <c r="D48" s="144" t="s">
        <v>824</v>
      </c>
      <c r="E48" s="144" t="s">
        <v>824</v>
      </c>
      <c r="F48" s="147" t="s">
        <v>125</v>
      </c>
      <c r="G48" s="148" t="s">
        <v>127</v>
      </c>
      <c r="H48" s="147" t="s">
        <v>121</v>
      </c>
      <c r="I48" s="415">
        <v>1</v>
      </c>
      <c r="J48" s="415">
        <v>0.47</v>
      </c>
      <c r="K48" s="302">
        <f t="shared" si="2"/>
        <v>0.47</v>
      </c>
      <c r="L48" s="126">
        <v>160240</v>
      </c>
      <c r="M48" s="133"/>
      <c r="N48" s="30"/>
      <c r="O48" s="30"/>
      <c r="P48" s="30"/>
      <c r="Q48" s="303">
        <f t="shared" si="3"/>
        <v>160240</v>
      </c>
      <c r="R48" s="178">
        <f t="shared" si="4"/>
        <v>1</v>
      </c>
      <c r="S48" s="180">
        <f t="shared" si="5"/>
      </c>
      <c r="AL48" s="27"/>
      <c r="AM48" s="27"/>
      <c r="AN48" s="27"/>
    </row>
    <row r="49" spans="2:40" ht="45.75">
      <c r="B49" s="300">
        <v>25</v>
      </c>
      <c r="C49" s="301">
        <f t="shared" si="1"/>
        <v>24</v>
      </c>
      <c r="D49" s="144" t="s">
        <v>825</v>
      </c>
      <c r="E49" s="144" t="s">
        <v>825</v>
      </c>
      <c r="F49" s="147" t="s">
        <v>126</v>
      </c>
      <c r="G49" s="148" t="s">
        <v>127</v>
      </c>
      <c r="H49" s="147" t="s">
        <v>121</v>
      </c>
      <c r="I49" s="415">
        <v>0.96</v>
      </c>
      <c r="J49" s="415">
        <v>0.23</v>
      </c>
      <c r="K49" s="302">
        <f t="shared" si="2"/>
      </c>
      <c r="L49" s="126">
        <f>L51*I49</f>
        <v>104184.95999999999</v>
      </c>
      <c r="M49" s="133"/>
      <c r="N49" s="30"/>
      <c r="O49" s="30"/>
      <c r="P49" s="30"/>
      <c r="Q49" s="303">
        <f t="shared" si="3"/>
        <v>104184.95999999999</v>
      </c>
      <c r="R49" s="178">
        <f t="shared" si="4"/>
      </c>
      <c r="S49" s="180">
        <f t="shared" si="5"/>
      </c>
      <c r="AL49" s="27"/>
      <c r="AM49" s="27"/>
      <c r="AN49" s="27"/>
    </row>
    <row r="50" spans="2:40" ht="45.75">
      <c r="B50" s="300">
        <v>26</v>
      </c>
      <c r="C50" s="301">
        <f t="shared" si="1"/>
        <v>24</v>
      </c>
      <c r="D50" s="144" t="s">
        <v>825</v>
      </c>
      <c r="E50" s="144" t="s">
        <v>825</v>
      </c>
      <c r="F50" s="147" t="s">
        <v>126</v>
      </c>
      <c r="G50" s="148" t="s">
        <v>122</v>
      </c>
      <c r="H50" s="147" t="s">
        <v>122</v>
      </c>
      <c r="I50" s="415">
        <v>0.04</v>
      </c>
      <c r="J50" s="415">
        <v>0.23</v>
      </c>
      <c r="K50" s="302">
        <f t="shared" si="2"/>
      </c>
      <c r="L50" s="126">
        <f>L51*I50</f>
        <v>4341.04</v>
      </c>
      <c r="M50" s="133"/>
      <c r="N50" s="30"/>
      <c r="O50" s="30"/>
      <c r="P50" s="30"/>
      <c r="Q50" s="303">
        <f t="shared" si="3"/>
        <v>4341.04</v>
      </c>
      <c r="R50" s="178">
        <f t="shared" si="4"/>
      </c>
      <c r="S50" s="180">
        <f t="shared" si="5"/>
      </c>
      <c r="AL50" s="27"/>
      <c r="AM50" s="27"/>
      <c r="AN50" s="27"/>
    </row>
    <row r="51" spans="2:40" ht="45.75">
      <c r="B51" s="300">
        <v>27</v>
      </c>
      <c r="C51" s="301">
        <f t="shared" si="1"/>
        <v>24</v>
      </c>
      <c r="D51" s="144" t="s">
        <v>825</v>
      </c>
      <c r="E51" s="144" t="s">
        <v>825</v>
      </c>
      <c r="F51" s="147" t="s">
        <v>126</v>
      </c>
      <c r="G51" s="148" t="s">
        <v>194</v>
      </c>
      <c r="H51" s="147"/>
      <c r="I51" s="415"/>
      <c r="J51" s="415"/>
      <c r="K51" s="302">
        <f t="shared" si="2"/>
        <v>0.22999999999999998</v>
      </c>
      <c r="L51" s="126">
        <v>108526</v>
      </c>
      <c r="M51" s="133"/>
      <c r="N51" s="30"/>
      <c r="O51" s="30"/>
      <c r="P51" s="30"/>
      <c r="Q51" s="303">
        <f t="shared" si="3"/>
        <v>108526</v>
      </c>
      <c r="R51" s="178">
        <f t="shared" si="4"/>
        <v>1</v>
      </c>
      <c r="S51" s="180">
        <f t="shared" si="5"/>
      </c>
      <c r="AL51" s="27"/>
      <c r="AM51" s="27"/>
      <c r="AN51" s="27"/>
    </row>
    <row r="52" spans="2:40" ht="45.75">
      <c r="B52" s="300">
        <v>28</v>
      </c>
      <c r="C52" s="301">
        <f t="shared" si="1"/>
        <v>24</v>
      </c>
      <c r="D52" s="144" t="s">
        <v>827</v>
      </c>
      <c r="E52" s="144" t="s">
        <v>827</v>
      </c>
      <c r="F52" s="147" t="s">
        <v>126</v>
      </c>
      <c r="G52" s="148" t="s">
        <v>127</v>
      </c>
      <c r="H52" s="147" t="s">
        <v>121</v>
      </c>
      <c r="I52" s="415">
        <v>0.94</v>
      </c>
      <c r="J52" s="415">
        <v>0.61</v>
      </c>
      <c r="K52" s="302">
        <f t="shared" si="2"/>
      </c>
      <c r="L52" s="126">
        <f>L54*I52</f>
        <v>149334.52879999997</v>
      </c>
      <c r="M52" s="133"/>
      <c r="N52" s="30"/>
      <c r="O52" s="30"/>
      <c r="P52" s="30"/>
      <c r="Q52" s="303">
        <f t="shared" si="3"/>
        <v>149334.52879999997</v>
      </c>
      <c r="R52" s="178">
        <f t="shared" si="4"/>
      </c>
      <c r="S52" s="180">
        <f t="shared" si="5"/>
      </c>
      <c r="AL52" s="27"/>
      <c r="AM52" s="27"/>
      <c r="AN52" s="27"/>
    </row>
    <row r="53" spans="2:40" ht="45.75">
      <c r="B53" s="300">
        <v>29</v>
      </c>
      <c r="C53" s="301">
        <f t="shared" si="1"/>
        <v>24</v>
      </c>
      <c r="D53" s="144" t="s">
        <v>827</v>
      </c>
      <c r="E53" s="144" t="s">
        <v>827</v>
      </c>
      <c r="F53" s="147" t="s">
        <v>126</v>
      </c>
      <c r="G53" s="148" t="s">
        <v>122</v>
      </c>
      <c r="H53" s="147" t="s">
        <v>122</v>
      </c>
      <c r="I53" s="415">
        <v>0.06</v>
      </c>
      <c r="J53" s="415">
        <v>0.61</v>
      </c>
      <c r="K53" s="302">
        <f t="shared" si="2"/>
      </c>
      <c r="L53" s="126">
        <f>L54*I53</f>
        <v>9531.991199999999</v>
      </c>
      <c r="M53" s="133"/>
      <c r="N53" s="30"/>
      <c r="O53" s="30"/>
      <c r="P53" s="30"/>
      <c r="Q53" s="303">
        <f t="shared" si="3"/>
        <v>9531.991199999999</v>
      </c>
      <c r="R53" s="178">
        <f t="shared" si="4"/>
      </c>
      <c r="S53" s="180">
        <f t="shared" si="5"/>
      </c>
      <c r="AL53" s="27"/>
      <c r="AM53" s="27"/>
      <c r="AN53" s="27"/>
    </row>
    <row r="54" spans="2:40" ht="45.75">
      <c r="B54" s="300">
        <v>30</v>
      </c>
      <c r="C54" s="301">
        <f t="shared" si="1"/>
        <v>24</v>
      </c>
      <c r="D54" s="144" t="s">
        <v>827</v>
      </c>
      <c r="E54" s="144" t="s">
        <v>827</v>
      </c>
      <c r="F54" s="147" t="s">
        <v>126</v>
      </c>
      <c r="G54" s="148" t="s">
        <v>194</v>
      </c>
      <c r="H54" s="147"/>
      <c r="I54" s="415">
        <v>1</v>
      </c>
      <c r="J54" s="415"/>
      <c r="K54" s="302">
        <f t="shared" si="2"/>
        <v>0.6099999999999999</v>
      </c>
      <c r="L54" s="126">
        <v>158866.52</v>
      </c>
      <c r="M54" s="133"/>
      <c r="N54" s="30"/>
      <c r="O54" s="30"/>
      <c r="P54" s="30"/>
      <c r="Q54" s="303">
        <f t="shared" si="3"/>
        <v>158866.52</v>
      </c>
      <c r="R54" s="178">
        <f t="shared" si="4"/>
        <v>2</v>
      </c>
      <c r="S54" s="180" t="str">
        <f t="shared" si="5"/>
        <v>ERROR</v>
      </c>
      <c r="AL54" s="27"/>
      <c r="AM54" s="27"/>
      <c r="AN54" s="27"/>
    </row>
    <row r="55" spans="2:40" ht="30.75">
      <c r="B55" s="300">
        <v>31</v>
      </c>
      <c r="C55" s="301">
        <f t="shared" si="1"/>
        <v>24</v>
      </c>
      <c r="D55" s="144" t="s">
        <v>828</v>
      </c>
      <c r="E55" s="144" t="s">
        <v>828</v>
      </c>
      <c r="F55" s="147" t="s">
        <v>125</v>
      </c>
      <c r="G55" s="148" t="s">
        <v>127</v>
      </c>
      <c r="H55" s="147" t="s">
        <v>121</v>
      </c>
      <c r="I55" s="415">
        <v>1</v>
      </c>
      <c r="J55" s="415">
        <v>0.46</v>
      </c>
      <c r="K55" s="302">
        <f t="shared" si="2"/>
        <v>0.46</v>
      </c>
      <c r="L55" s="126">
        <v>109359</v>
      </c>
      <c r="M55" s="133"/>
      <c r="N55" s="30"/>
      <c r="O55" s="30"/>
      <c r="P55" s="30"/>
      <c r="Q55" s="303">
        <f t="shared" si="3"/>
        <v>109359</v>
      </c>
      <c r="R55" s="178">
        <f t="shared" si="4"/>
        <v>1</v>
      </c>
      <c r="S55" s="180">
        <f t="shared" si="5"/>
      </c>
      <c r="AL55" s="27"/>
      <c r="AM55" s="27"/>
      <c r="AN55" s="27"/>
    </row>
    <row r="56" spans="2:40" ht="30.75">
      <c r="B56" s="300">
        <v>32</v>
      </c>
      <c r="C56" s="301">
        <f t="shared" si="1"/>
        <v>24</v>
      </c>
      <c r="D56" s="144" t="s">
        <v>829</v>
      </c>
      <c r="E56" s="144" t="s">
        <v>829</v>
      </c>
      <c r="F56" s="147" t="s">
        <v>126</v>
      </c>
      <c r="G56" s="148" t="s">
        <v>127</v>
      </c>
      <c r="H56" s="147" t="s">
        <v>121</v>
      </c>
      <c r="I56" s="415">
        <v>0.95</v>
      </c>
      <c r="J56" s="415">
        <v>0.23</v>
      </c>
      <c r="K56" s="302">
        <f t="shared" si="2"/>
      </c>
      <c r="L56" s="126">
        <f>L58*I56</f>
        <v>69979.84999999999</v>
      </c>
      <c r="M56" s="133"/>
      <c r="N56" s="30"/>
      <c r="O56" s="30"/>
      <c r="P56" s="30"/>
      <c r="Q56" s="303">
        <f t="shared" si="3"/>
        <v>69979.84999999999</v>
      </c>
      <c r="R56" s="178">
        <f t="shared" si="4"/>
      </c>
      <c r="S56" s="180">
        <f t="shared" si="5"/>
      </c>
      <c r="AL56" s="27"/>
      <c r="AM56" s="27"/>
      <c r="AN56" s="27"/>
    </row>
    <row r="57" spans="2:40" ht="30.75">
      <c r="B57" s="300">
        <v>33</v>
      </c>
      <c r="C57" s="301">
        <f t="shared" si="1"/>
        <v>24</v>
      </c>
      <c r="D57" s="144" t="s">
        <v>829</v>
      </c>
      <c r="E57" s="144" t="s">
        <v>829</v>
      </c>
      <c r="F57" s="147" t="s">
        <v>126</v>
      </c>
      <c r="G57" s="148" t="s">
        <v>122</v>
      </c>
      <c r="H57" s="147" t="s">
        <v>122</v>
      </c>
      <c r="I57" s="415">
        <v>0.05</v>
      </c>
      <c r="J57" s="415">
        <v>0.23</v>
      </c>
      <c r="K57" s="302">
        <f t="shared" si="2"/>
      </c>
      <c r="L57" s="126">
        <f>L58*I57</f>
        <v>3683.15</v>
      </c>
      <c r="M57" s="133"/>
      <c r="N57" s="30"/>
      <c r="O57" s="30"/>
      <c r="P57" s="30"/>
      <c r="Q57" s="303">
        <f t="shared" si="3"/>
        <v>3683.15</v>
      </c>
      <c r="R57" s="178">
        <f t="shared" si="4"/>
      </c>
      <c r="S57" s="180">
        <f t="shared" si="5"/>
      </c>
      <c r="AL57" s="27"/>
      <c r="AM57" s="27"/>
      <c r="AN57" s="27"/>
    </row>
    <row r="58" spans="2:40" ht="30.75">
      <c r="B58" s="300">
        <v>34</v>
      </c>
      <c r="C58" s="301">
        <f t="shared" si="1"/>
        <v>24</v>
      </c>
      <c r="D58" s="144" t="s">
        <v>829</v>
      </c>
      <c r="E58" s="144" t="s">
        <v>829</v>
      </c>
      <c r="F58" s="147" t="s">
        <v>126</v>
      </c>
      <c r="G58" s="148" t="s">
        <v>194</v>
      </c>
      <c r="H58" s="147"/>
      <c r="I58" s="415"/>
      <c r="J58" s="415"/>
      <c r="K58" s="302">
        <f t="shared" si="2"/>
        <v>0.23</v>
      </c>
      <c r="L58" s="126">
        <v>73663</v>
      </c>
      <c r="M58" s="133"/>
      <c r="N58" s="30"/>
      <c r="O58" s="30"/>
      <c r="P58" s="30"/>
      <c r="Q58" s="303">
        <f t="shared" si="3"/>
        <v>73663</v>
      </c>
      <c r="R58" s="178">
        <f t="shared" si="4"/>
        <v>1</v>
      </c>
      <c r="S58" s="180">
        <f t="shared" si="5"/>
      </c>
      <c r="AL58" s="27"/>
      <c r="AM58" s="27"/>
      <c r="AN58" s="27"/>
    </row>
    <row r="59" spans="2:40" ht="30.75">
      <c r="B59" s="300">
        <v>35</v>
      </c>
      <c r="C59" s="301">
        <f t="shared" si="1"/>
        <v>24</v>
      </c>
      <c r="D59" s="144" t="s">
        <v>826</v>
      </c>
      <c r="E59" s="144" t="s">
        <v>826</v>
      </c>
      <c r="F59" s="147" t="s">
        <v>126</v>
      </c>
      <c r="G59" s="148" t="s">
        <v>127</v>
      </c>
      <c r="H59" s="147" t="s">
        <v>121</v>
      </c>
      <c r="I59" s="415">
        <v>0.77</v>
      </c>
      <c r="J59" s="415">
        <v>0.66</v>
      </c>
      <c r="K59" s="302">
        <f t="shared" si="2"/>
      </c>
      <c r="L59" s="126">
        <f>L61*I59</f>
        <v>53491.9847</v>
      </c>
      <c r="M59" s="133"/>
      <c r="N59" s="30"/>
      <c r="O59" s="30"/>
      <c r="P59" s="30"/>
      <c r="Q59" s="303">
        <f t="shared" si="3"/>
        <v>53491.9847</v>
      </c>
      <c r="R59" s="178">
        <f t="shared" si="4"/>
      </c>
      <c r="S59" s="180">
        <f t="shared" si="5"/>
      </c>
      <c r="AL59" s="27"/>
      <c r="AM59" s="27"/>
      <c r="AN59" s="27"/>
    </row>
    <row r="60" spans="2:40" ht="30.75">
      <c r="B60" s="300">
        <v>36</v>
      </c>
      <c r="C60" s="301">
        <f t="shared" si="1"/>
        <v>24</v>
      </c>
      <c r="D60" s="144" t="s">
        <v>826</v>
      </c>
      <c r="E60" s="144" t="s">
        <v>826</v>
      </c>
      <c r="F60" s="147" t="s">
        <v>126</v>
      </c>
      <c r="G60" s="148" t="s">
        <v>122</v>
      </c>
      <c r="H60" s="147" t="s">
        <v>122</v>
      </c>
      <c r="I60" s="415">
        <v>0.23</v>
      </c>
      <c r="J60" s="415">
        <v>0.66</v>
      </c>
      <c r="K60" s="302">
        <f t="shared" si="2"/>
      </c>
      <c r="L60" s="126">
        <f>L61*I60</f>
        <v>15978.125300000002</v>
      </c>
      <c r="M60" s="133"/>
      <c r="N60" s="30"/>
      <c r="O60" s="30"/>
      <c r="P60" s="30"/>
      <c r="Q60" s="303">
        <f t="shared" si="3"/>
        <v>15978.125300000002</v>
      </c>
      <c r="R60" s="178">
        <f t="shared" si="4"/>
      </c>
      <c r="S60" s="180">
        <f t="shared" si="5"/>
      </c>
      <c r="AL60" s="27"/>
      <c r="AM60" s="27"/>
      <c r="AN60" s="27"/>
    </row>
    <row r="61" spans="2:40" ht="30.75">
      <c r="B61" s="300">
        <v>37</v>
      </c>
      <c r="C61" s="301">
        <f t="shared" si="1"/>
        <v>24</v>
      </c>
      <c r="D61" s="144" t="s">
        <v>826</v>
      </c>
      <c r="E61" s="144" t="s">
        <v>826</v>
      </c>
      <c r="F61" s="147" t="s">
        <v>126</v>
      </c>
      <c r="G61" s="148" t="s">
        <v>194</v>
      </c>
      <c r="H61" s="147"/>
      <c r="I61" s="415"/>
      <c r="J61" s="415"/>
      <c r="K61" s="302">
        <f t="shared" si="2"/>
        <v>0.66</v>
      </c>
      <c r="L61" s="126">
        <v>69470.11</v>
      </c>
      <c r="M61" s="133"/>
      <c r="N61" s="30"/>
      <c r="O61" s="30"/>
      <c r="P61" s="30"/>
      <c r="Q61" s="303">
        <f t="shared" si="3"/>
        <v>69470.11</v>
      </c>
      <c r="R61" s="178">
        <f t="shared" si="4"/>
        <v>1</v>
      </c>
      <c r="S61" s="180">
        <f t="shared" si="5"/>
      </c>
      <c r="AL61" s="27"/>
      <c r="AM61" s="27"/>
      <c r="AN61" s="27"/>
    </row>
    <row r="62" spans="2:40" ht="45.75">
      <c r="B62" s="300">
        <v>38</v>
      </c>
      <c r="C62" s="301">
        <f t="shared" si="1"/>
        <v>24</v>
      </c>
      <c r="D62" s="144" t="s">
        <v>830</v>
      </c>
      <c r="E62" s="144" t="s">
        <v>830</v>
      </c>
      <c r="F62" s="147" t="s">
        <v>126</v>
      </c>
      <c r="G62" s="148" t="s">
        <v>128</v>
      </c>
      <c r="H62" s="147" t="s">
        <v>121</v>
      </c>
      <c r="I62" s="415">
        <v>0.74</v>
      </c>
      <c r="J62" s="415">
        <v>0</v>
      </c>
      <c r="K62" s="302">
        <f t="shared" si="2"/>
      </c>
      <c r="L62" s="126">
        <f>L64*I62</f>
        <v>47210.6754</v>
      </c>
      <c r="M62" s="133"/>
      <c r="N62" s="30"/>
      <c r="O62" s="30"/>
      <c r="P62" s="30"/>
      <c r="Q62" s="303">
        <f t="shared" si="3"/>
        <v>47210.6754</v>
      </c>
      <c r="R62" s="178">
        <f t="shared" si="4"/>
      </c>
      <c r="S62" s="180">
        <f t="shared" si="5"/>
      </c>
      <c r="AL62" s="27"/>
      <c r="AM62" s="27"/>
      <c r="AN62" s="27"/>
    </row>
    <row r="63" spans="2:40" ht="45.75">
      <c r="B63" s="300">
        <v>39</v>
      </c>
      <c r="C63" s="301">
        <f t="shared" si="1"/>
        <v>24</v>
      </c>
      <c r="D63" s="144" t="s">
        <v>830</v>
      </c>
      <c r="E63" s="144" t="s">
        <v>830</v>
      </c>
      <c r="F63" s="147" t="s">
        <v>126</v>
      </c>
      <c r="G63" s="148" t="s">
        <v>122</v>
      </c>
      <c r="H63" s="147" t="s">
        <v>122</v>
      </c>
      <c r="I63" s="415">
        <v>0.26</v>
      </c>
      <c r="J63" s="415">
        <v>0</v>
      </c>
      <c r="K63" s="302">
        <f t="shared" si="2"/>
      </c>
      <c r="L63" s="126">
        <f>L64*I63</f>
        <v>16587.5346</v>
      </c>
      <c r="M63" s="133"/>
      <c r="N63" s="30"/>
      <c r="O63" s="30"/>
      <c r="P63" s="30"/>
      <c r="Q63" s="303">
        <f t="shared" si="3"/>
        <v>16587.5346</v>
      </c>
      <c r="R63" s="178">
        <f t="shared" si="4"/>
      </c>
      <c r="S63" s="180">
        <f t="shared" si="5"/>
      </c>
      <c r="AL63" s="27"/>
      <c r="AM63" s="27"/>
      <c r="AN63" s="27"/>
    </row>
    <row r="64" spans="2:40" ht="45.75">
      <c r="B64" s="300">
        <v>40</v>
      </c>
      <c r="C64" s="301">
        <f t="shared" si="1"/>
        <v>24</v>
      </c>
      <c r="D64" s="144" t="s">
        <v>830</v>
      </c>
      <c r="E64" s="144" t="s">
        <v>830</v>
      </c>
      <c r="F64" s="147" t="s">
        <v>126</v>
      </c>
      <c r="G64" s="148" t="s">
        <v>194</v>
      </c>
      <c r="H64" s="147"/>
      <c r="I64" s="415"/>
      <c r="J64" s="415"/>
      <c r="K64" s="302">
        <f t="shared" si="2"/>
        <v>0</v>
      </c>
      <c r="L64" s="126">
        <v>63798.21</v>
      </c>
      <c r="M64" s="133"/>
      <c r="N64" s="30"/>
      <c r="O64" s="30"/>
      <c r="P64" s="30"/>
      <c r="Q64" s="303">
        <f t="shared" si="3"/>
        <v>63798.21</v>
      </c>
      <c r="R64" s="178">
        <f t="shared" si="4"/>
        <v>1</v>
      </c>
      <c r="S64" s="180">
        <f t="shared" si="5"/>
      </c>
      <c r="AL64" s="27"/>
      <c r="AM64" s="27"/>
      <c r="AN64" s="27"/>
    </row>
    <row r="65" spans="2:40" ht="45.75">
      <c r="B65" s="300">
        <v>41</v>
      </c>
      <c r="C65" s="301">
        <f t="shared" si="1"/>
        <v>24</v>
      </c>
      <c r="D65" s="144" t="s">
        <v>831</v>
      </c>
      <c r="E65" s="144" t="s">
        <v>831</v>
      </c>
      <c r="F65" s="147" t="s">
        <v>126</v>
      </c>
      <c r="G65" s="148" t="s">
        <v>121</v>
      </c>
      <c r="H65" s="147" t="s">
        <v>121</v>
      </c>
      <c r="I65" s="415">
        <v>0.97</v>
      </c>
      <c r="J65" s="415">
        <v>0.03</v>
      </c>
      <c r="K65" s="302">
        <f t="shared" si="2"/>
      </c>
      <c r="L65" s="126">
        <f>L67*I65</f>
        <v>94759.3</v>
      </c>
      <c r="M65" s="133"/>
      <c r="N65" s="30"/>
      <c r="O65" s="30"/>
      <c r="P65" s="30"/>
      <c r="Q65" s="303">
        <f t="shared" si="3"/>
        <v>94759.3</v>
      </c>
      <c r="R65" s="178">
        <f t="shared" si="4"/>
      </c>
      <c r="S65" s="180">
        <f t="shared" si="5"/>
      </c>
      <c r="AL65" s="27"/>
      <c r="AM65" s="27"/>
      <c r="AN65" s="27"/>
    </row>
    <row r="66" spans="2:40" ht="45.75">
      <c r="B66" s="300">
        <v>42</v>
      </c>
      <c r="C66" s="301">
        <f aca="true" t="shared" si="6" ref="C66:C97">IF(AND(NOT(COUNTA(D66:J66)),(NOT(COUNTA(L66:P66)))),"",VLOOKUP($D$9,Info_County_Code,2,FALSE))</f>
        <v>24</v>
      </c>
      <c r="D66" s="144" t="s">
        <v>831</v>
      </c>
      <c r="E66" s="144" t="s">
        <v>831</v>
      </c>
      <c r="F66" s="147" t="s">
        <v>126</v>
      </c>
      <c r="G66" s="148" t="s">
        <v>122</v>
      </c>
      <c r="H66" s="147" t="s">
        <v>122</v>
      </c>
      <c r="I66" s="415">
        <v>0.03</v>
      </c>
      <c r="J66" s="415">
        <v>0.03</v>
      </c>
      <c r="K66" s="302">
        <f t="shared" si="2"/>
      </c>
      <c r="L66" s="126">
        <f>L67*I66</f>
        <v>2930.7</v>
      </c>
      <c r="M66" s="133"/>
      <c r="N66" s="30"/>
      <c r="O66" s="30"/>
      <c r="P66" s="30"/>
      <c r="Q66" s="303">
        <f t="shared" si="3"/>
        <v>2930.7</v>
      </c>
      <c r="R66" s="178">
        <f t="shared" si="4"/>
      </c>
      <c r="S66" s="180">
        <f t="shared" si="5"/>
      </c>
      <c r="AL66" s="27"/>
      <c r="AM66" s="27"/>
      <c r="AN66" s="27"/>
    </row>
    <row r="67" spans="2:40" ht="45.75">
      <c r="B67" s="300">
        <v>43</v>
      </c>
      <c r="C67" s="301">
        <f t="shared" si="6"/>
        <v>24</v>
      </c>
      <c r="D67" s="144" t="s">
        <v>831</v>
      </c>
      <c r="E67" s="144" t="s">
        <v>831</v>
      </c>
      <c r="F67" s="147" t="s">
        <v>126</v>
      </c>
      <c r="G67" s="148" t="s">
        <v>194</v>
      </c>
      <c r="H67" s="147"/>
      <c r="I67" s="415"/>
      <c r="J67" s="415"/>
      <c r="K67" s="302">
        <f t="shared" si="2"/>
        <v>0.03</v>
      </c>
      <c r="L67" s="126">
        <v>97690</v>
      </c>
      <c r="M67" s="133"/>
      <c r="N67" s="30"/>
      <c r="O67" s="30"/>
      <c r="P67" s="30"/>
      <c r="Q67" s="303">
        <f t="shared" si="3"/>
        <v>97690</v>
      </c>
      <c r="R67" s="178">
        <f t="shared" si="4"/>
        <v>1</v>
      </c>
      <c r="S67" s="180">
        <f t="shared" si="5"/>
      </c>
      <c r="AL67" s="27"/>
      <c r="AM67" s="27"/>
      <c r="AN67" s="27"/>
    </row>
    <row r="68" spans="2:40" ht="15.75">
      <c r="B68" s="300">
        <v>44</v>
      </c>
      <c r="C68" s="301">
        <f t="shared" si="6"/>
        <v>24</v>
      </c>
      <c r="D68" s="144" t="s">
        <v>832</v>
      </c>
      <c r="E68" s="144" t="s">
        <v>832</v>
      </c>
      <c r="F68" s="147" t="s">
        <v>126</v>
      </c>
      <c r="G68" s="148" t="s">
        <v>121</v>
      </c>
      <c r="H68" s="147" t="s">
        <v>121</v>
      </c>
      <c r="I68" s="415">
        <v>0.63</v>
      </c>
      <c r="J68" s="415">
        <v>0.9</v>
      </c>
      <c r="K68" s="302">
        <f t="shared" si="2"/>
      </c>
      <c r="L68" s="126">
        <f>L70*I68</f>
        <v>273237.9489</v>
      </c>
      <c r="M68" s="133"/>
      <c r="N68" s="30"/>
      <c r="O68" s="30"/>
      <c r="P68" s="30"/>
      <c r="Q68" s="303">
        <f t="shared" si="3"/>
        <v>273237.9489</v>
      </c>
      <c r="R68" s="178">
        <f t="shared" si="4"/>
      </c>
      <c r="S68" s="180">
        <f t="shared" si="5"/>
      </c>
      <c r="AL68" s="27"/>
      <c r="AM68" s="27"/>
      <c r="AN68" s="27"/>
    </row>
    <row r="69" spans="2:40" ht="15.75">
      <c r="B69" s="300">
        <v>45</v>
      </c>
      <c r="C69" s="301">
        <f t="shared" si="6"/>
        <v>24</v>
      </c>
      <c r="D69" s="144" t="s">
        <v>832</v>
      </c>
      <c r="E69" s="144" t="s">
        <v>832</v>
      </c>
      <c r="F69" s="147" t="s">
        <v>126</v>
      </c>
      <c r="G69" s="148" t="s">
        <v>122</v>
      </c>
      <c r="H69" s="147" t="s">
        <v>122</v>
      </c>
      <c r="I69" s="415">
        <v>0.37</v>
      </c>
      <c r="J69" s="415">
        <v>0.9</v>
      </c>
      <c r="K69" s="302">
        <f t="shared" si="2"/>
      </c>
      <c r="L69" s="126">
        <f>L70*I69</f>
        <v>160473.0811</v>
      </c>
      <c r="M69" s="133"/>
      <c r="N69" s="30"/>
      <c r="O69" s="30"/>
      <c r="P69" s="30"/>
      <c r="Q69" s="303">
        <f t="shared" si="3"/>
        <v>160473.0811</v>
      </c>
      <c r="R69" s="178">
        <f t="shared" si="4"/>
      </c>
      <c r="S69" s="180">
        <f t="shared" si="5"/>
      </c>
      <c r="AL69" s="27"/>
      <c r="AM69" s="27"/>
      <c r="AN69" s="27"/>
    </row>
    <row r="70" spans="2:40" ht="15.75">
      <c r="B70" s="300">
        <v>46</v>
      </c>
      <c r="C70" s="301">
        <f t="shared" si="6"/>
        <v>24</v>
      </c>
      <c r="D70" s="144" t="s">
        <v>832</v>
      </c>
      <c r="E70" s="144" t="s">
        <v>832</v>
      </c>
      <c r="F70" s="147" t="s">
        <v>126</v>
      </c>
      <c r="G70" s="148" t="s">
        <v>194</v>
      </c>
      <c r="H70" s="147"/>
      <c r="I70" s="415"/>
      <c r="J70" s="415"/>
      <c r="K70" s="302">
        <f t="shared" si="2"/>
        <v>0.9000000000000001</v>
      </c>
      <c r="L70" s="126">
        <v>433711.03</v>
      </c>
      <c r="M70" s="133"/>
      <c r="N70" s="30"/>
      <c r="O70" s="30"/>
      <c r="P70" s="30"/>
      <c r="Q70" s="303">
        <f t="shared" si="3"/>
        <v>433711.03</v>
      </c>
      <c r="R70" s="178">
        <f t="shared" si="4"/>
        <v>1</v>
      </c>
      <c r="S70" s="180">
        <f t="shared" si="5"/>
      </c>
      <c r="AL70" s="27"/>
      <c r="AM70" s="27"/>
      <c r="AN70" s="27"/>
    </row>
    <row r="71" spans="2:40" ht="30.75">
      <c r="B71" s="300">
        <v>47</v>
      </c>
      <c r="C71" s="301">
        <f t="shared" si="6"/>
        <v>24</v>
      </c>
      <c r="D71" s="144" t="s">
        <v>833</v>
      </c>
      <c r="E71" s="144" t="s">
        <v>833</v>
      </c>
      <c r="F71" s="147" t="s">
        <v>126</v>
      </c>
      <c r="G71" s="148" t="s">
        <v>127</v>
      </c>
      <c r="H71" s="147" t="s">
        <v>121</v>
      </c>
      <c r="I71" s="415">
        <v>0.88</v>
      </c>
      <c r="J71" s="415">
        <v>0.38</v>
      </c>
      <c r="K71" s="302">
        <f t="shared" si="2"/>
      </c>
      <c r="L71" s="126">
        <f>L73*I71</f>
        <v>27173.6168</v>
      </c>
      <c r="M71" s="133"/>
      <c r="N71" s="30"/>
      <c r="O71" s="30"/>
      <c r="P71" s="30"/>
      <c r="Q71" s="303">
        <f t="shared" si="3"/>
        <v>27173.6168</v>
      </c>
      <c r="R71" s="178">
        <f t="shared" si="4"/>
      </c>
      <c r="S71" s="180">
        <f t="shared" si="5"/>
      </c>
      <c r="AL71" s="27"/>
      <c r="AM71" s="27"/>
      <c r="AN71" s="27"/>
    </row>
    <row r="72" spans="2:40" ht="30.75">
      <c r="B72" s="300">
        <v>48</v>
      </c>
      <c r="C72" s="301">
        <f t="shared" si="6"/>
        <v>24</v>
      </c>
      <c r="D72" s="144" t="s">
        <v>833</v>
      </c>
      <c r="E72" s="144" t="s">
        <v>833</v>
      </c>
      <c r="F72" s="147" t="s">
        <v>126</v>
      </c>
      <c r="G72" s="148" t="s">
        <v>122</v>
      </c>
      <c r="H72" s="147" t="s">
        <v>122</v>
      </c>
      <c r="I72" s="415">
        <v>0.12</v>
      </c>
      <c r="J72" s="415">
        <v>0.38</v>
      </c>
      <c r="K72" s="302">
        <f t="shared" si="2"/>
      </c>
      <c r="L72" s="126">
        <f>L73*I72</f>
        <v>3705.4932</v>
      </c>
      <c r="M72" s="133"/>
      <c r="N72" s="30"/>
      <c r="O72" s="30"/>
      <c r="P72" s="30"/>
      <c r="Q72" s="303">
        <f t="shared" si="3"/>
        <v>3705.4932</v>
      </c>
      <c r="R72" s="178">
        <f t="shared" si="4"/>
      </c>
      <c r="S72" s="180">
        <f t="shared" si="5"/>
      </c>
      <c r="AL72" s="27"/>
      <c r="AM72" s="27"/>
      <c r="AN72" s="27"/>
    </row>
    <row r="73" spans="2:40" ht="30.75">
      <c r="B73" s="300">
        <v>49</v>
      </c>
      <c r="C73" s="301">
        <f t="shared" si="6"/>
        <v>24</v>
      </c>
      <c r="D73" s="144" t="s">
        <v>833</v>
      </c>
      <c r="E73" s="144" t="s">
        <v>833</v>
      </c>
      <c r="F73" s="147" t="s">
        <v>126</v>
      </c>
      <c r="G73" s="148" t="s">
        <v>194</v>
      </c>
      <c r="H73" s="147"/>
      <c r="I73" s="415"/>
      <c r="J73" s="415"/>
      <c r="K73" s="302">
        <f t="shared" si="2"/>
        <v>0.38</v>
      </c>
      <c r="L73" s="126">
        <v>30879.11</v>
      </c>
      <c r="M73" s="133"/>
      <c r="N73" s="30"/>
      <c r="O73" s="30"/>
      <c r="P73" s="30"/>
      <c r="Q73" s="303">
        <f t="shared" si="3"/>
        <v>30879.11</v>
      </c>
      <c r="R73" s="178">
        <f t="shared" si="4"/>
        <v>1</v>
      </c>
      <c r="S73" s="180">
        <f t="shared" si="5"/>
      </c>
      <c r="AL73" s="27"/>
      <c r="AM73" s="27"/>
      <c r="AN73" s="27"/>
    </row>
    <row r="74" spans="2:40" ht="30.75">
      <c r="B74" s="300">
        <v>50</v>
      </c>
      <c r="C74" s="301">
        <f t="shared" si="6"/>
        <v>24</v>
      </c>
      <c r="D74" s="144" t="s">
        <v>834</v>
      </c>
      <c r="E74" s="144" t="s">
        <v>834</v>
      </c>
      <c r="F74" s="147" t="s">
        <v>125</v>
      </c>
      <c r="G74" s="148" t="s">
        <v>122</v>
      </c>
      <c r="H74" s="147"/>
      <c r="I74" s="415">
        <v>1</v>
      </c>
      <c r="J74" s="415">
        <v>0</v>
      </c>
      <c r="K74" s="302">
        <f t="shared" si="2"/>
        <v>0</v>
      </c>
      <c r="L74" s="126">
        <v>247967</v>
      </c>
      <c r="M74" s="133"/>
      <c r="N74" s="30"/>
      <c r="O74" s="30"/>
      <c r="P74" s="30"/>
      <c r="Q74" s="303">
        <f t="shared" si="3"/>
        <v>247967</v>
      </c>
      <c r="R74" s="178">
        <f t="shared" si="4"/>
        <v>1</v>
      </c>
      <c r="S74" s="180">
        <f t="shared" si="5"/>
      </c>
      <c r="AL74" s="27"/>
      <c r="AM74" s="27"/>
      <c r="AN74" s="27"/>
    </row>
    <row r="75" spans="2:40" ht="30.75">
      <c r="B75" s="300">
        <v>51</v>
      </c>
      <c r="C75" s="301">
        <f t="shared" si="6"/>
        <v>24</v>
      </c>
      <c r="D75" s="144" t="s">
        <v>835</v>
      </c>
      <c r="E75" s="144" t="s">
        <v>835</v>
      </c>
      <c r="F75" s="147" t="s">
        <v>125</v>
      </c>
      <c r="G75" s="148" t="s">
        <v>121</v>
      </c>
      <c r="H75" s="147"/>
      <c r="I75" s="415">
        <v>1</v>
      </c>
      <c r="J75" s="415">
        <v>0.23</v>
      </c>
      <c r="K75" s="302">
        <f t="shared" si="2"/>
        <v>0.23</v>
      </c>
      <c r="L75" s="126">
        <v>14535.78</v>
      </c>
      <c r="M75" s="133"/>
      <c r="N75" s="30"/>
      <c r="O75" s="30"/>
      <c r="P75" s="30"/>
      <c r="Q75" s="303">
        <f t="shared" si="3"/>
        <v>14535.78</v>
      </c>
      <c r="R75" s="178">
        <f t="shared" si="4"/>
        <v>1</v>
      </c>
      <c r="S75" s="180">
        <f t="shared" si="5"/>
      </c>
      <c r="AL75" s="27"/>
      <c r="AM75" s="27"/>
      <c r="AN75" s="27"/>
    </row>
    <row r="76" spans="2:40" ht="30.75">
      <c r="B76" s="300">
        <v>52</v>
      </c>
      <c r="C76" s="301">
        <f t="shared" si="6"/>
        <v>24</v>
      </c>
      <c r="D76" s="144" t="s">
        <v>836</v>
      </c>
      <c r="E76" s="144" t="s">
        <v>836</v>
      </c>
      <c r="F76" s="147" t="s">
        <v>125</v>
      </c>
      <c r="G76" s="148" t="s">
        <v>121</v>
      </c>
      <c r="H76" s="147"/>
      <c r="I76" s="415">
        <v>1</v>
      </c>
      <c r="J76" s="415">
        <v>0</v>
      </c>
      <c r="K76" s="302">
        <f t="shared" si="2"/>
        <v>0</v>
      </c>
      <c r="L76" s="126">
        <v>24791.46</v>
      </c>
      <c r="M76" s="133"/>
      <c r="N76" s="30"/>
      <c r="O76" s="30"/>
      <c r="P76" s="30"/>
      <c r="Q76" s="303">
        <f t="shared" si="3"/>
        <v>24791.46</v>
      </c>
      <c r="R76" s="178">
        <f t="shared" si="4"/>
        <v>1</v>
      </c>
      <c r="S76" s="180">
        <f t="shared" si="5"/>
      </c>
      <c r="AL76" s="27"/>
      <c r="AM76" s="27"/>
      <c r="AN76" s="27"/>
    </row>
    <row r="77" spans="2:40" ht="30.75">
      <c r="B77" s="300">
        <v>53</v>
      </c>
      <c r="C77" s="301">
        <f t="shared" si="6"/>
        <v>24</v>
      </c>
      <c r="D77" s="144" t="s">
        <v>837</v>
      </c>
      <c r="E77" s="144" t="s">
        <v>837</v>
      </c>
      <c r="F77" s="147" t="s">
        <v>125</v>
      </c>
      <c r="G77" s="148" t="s">
        <v>129</v>
      </c>
      <c r="H77" s="147"/>
      <c r="I77" s="415">
        <v>1</v>
      </c>
      <c r="J77" s="415">
        <v>0.08</v>
      </c>
      <c r="K77" s="302">
        <f t="shared" si="2"/>
        <v>0.08</v>
      </c>
      <c r="L77" s="126">
        <v>55712.17</v>
      </c>
      <c r="M77" s="133"/>
      <c r="N77" s="30"/>
      <c r="O77" s="30"/>
      <c r="P77" s="30"/>
      <c r="Q77" s="303">
        <f t="shared" si="3"/>
        <v>55712.17</v>
      </c>
      <c r="R77" s="178">
        <f t="shared" si="4"/>
        <v>1</v>
      </c>
      <c r="S77" s="180">
        <f t="shared" si="5"/>
      </c>
      <c r="AL77" s="27"/>
      <c r="AM77" s="27"/>
      <c r="AN77" s="27"/>
    </row>
    <row r="78" spans="2:40" ht="30.75">
      <c r="B78" s="300">
        <v>54</v>
      </c>
      <c r="C78" s="301">
        <f t="shared" si="6"/>
        <v>24</v>
      </c>
      <c r="D78" s="144" t="s">
        <v>838</v>
      </c>
      <c r="E78" s="144" t="s">
        <v>838</v>
      </c>
      <c r="F78" s="147" t="s">
        <v>125</v>
      </c>
      <c r="G78" s="148" t="s">
        <v>128</v>
      </c>
      <c r="H78" s="147"/>
      <c r="I78" s="415">
        <v>1</v>
      </c>
      <c r="J78" s="415">
        <v>0.89</v>
      </c>
      <c r="K78" s="302">
        <f t="shared" si="2"/>
        <v>0.89</v>
      </c>
      <c r="L78" s="126">
        <v>77459.7</v>
      </c>
      <c r="M78" s="133"/>
      <c r="N78" s="30"/>
      <c r="O78" s="30"/>
      <c r="P78" s="30"/>
      <c r="Q78" s="303">
        <f t="shared" si="3"/>
        <v>77459.7</v>
      </c>
      <c r="R78" s="178">
        <f t="shared" si="4"/>
        <v>1</v>
      </c>
      <c r="S78" s="180">
        <f t="shared" si="5"/>
      </c>
      <c r="AL78" s="27"/>
      <c r="AM78" s="27"/>
      <c r="AN78" s="27"/>
    </row>
    <row r="79" spans="2:40" ht="15.75">
      <c r="B79" s="300">
        <v>55</v>
      </c>
      <c r="C79" s="301">
        <f t="shared" si="6"/>
        <v>24</v>
      </c>
      <c r="D79" s="144" t="s">
        <v>839</v>
      </c>
      <c r="E79" s="144" t="s">
        <v>839</v>
      </c>
      <c r="F79" s="147" t="s">
        <v>125</v>
      </c>
      <c r="G79" s="148" t="s">
        <v>129</v>
      </c>
      <c r="H79" s="147"/>
      <c r="I79" s="415">
        <v>1</v>
      </c>
      <c r="J79" s="415">
        <v>0.32</v>
      </c>
      <c r="K79" s="302">
        <f t="shared" si="2"/>
        <v>0.32</v>
      </c>
      <c r="L79" s="126">
        <v>56917.45</v>
      </c>
      <c r="M79" s="133"/>
      <c r="N79" s="30"/>
      <c r="O79" s="30"/>
      <c r="P79" s="30"/>
      <c r="Q79" s="303">
        <f t="shared" si="3"/>
        <v>56917.45</v>
      </c>
      <c r="R79" s="178">
        <f t="shared" si="4"/>
        <v>1</v>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55">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MercedFY2019-20RER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2021-01-29T23:59:59Z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DHCSDOC-1797567310-3416</vt:lpwstr>
  </property>
  <property fmtid="{D5CDD505-2E9C-101B-9397-08002B2CF9AE}" pid="3" name="_dlc_DocIdItemGuid">
    <vt:lpwstr>9f0608c2-b4f8-4e26-bc94-133b5fc643d1</vt:lpwstr>
  </property>
  <property fmtid="{D5CDD505-2E9C-101B-9397-08002B2CF9AE}" pid="4" name="_dlc_DocIdUrl">
    <vt:lpwstr>https://dhcscagovauthoring/_layouts/15/DocIdRedir.aspx?ID=DHCSDOC-1797567310-3416, DHCSDOC-1797567310-3416</vt:lpwstr>
  </property>
  <property fmtid="{D5CDD505-2E9C-101B-9397-08002B2CF9AE}" pid="5" name="TAGender">
    <vt:lpwstr/>
  </property>
  <property fmtid="{D5CDD505-2E9C-101B-9397-08002B2CF9AE}" pid="6" name="TAGEthnicity">
    <vt:lpwstr/>
  </property>
  <property fmtid="{D5CDD505-2E9C-101B-9397-08002B2CF9AE}" pid="7" name="Topics">
    <vt:lpwstr/>
  </property>
  <property fmtid="{D5CDD505-2E9C-101B-9397-08002B2CF9AE}" pid="8" name="Abstract">
    <vt:lpwstr>MercedFY2019-20RER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Reading Level">
    <vt:lpwstr/>
  </property>
  <property fmtid="{D5CDD505-2E9C-101B-9397-08002B2CF9AE}" pid="13" name="TAGAge">
    <vt:lpwstr/>
  </property>
  <property fmtid="{D5CDD505-2E9C-101B-9397-08002B2CF9AE}" pid="14" name="Organization">
    <vt:lpwstr>103</vt:lpwstr>
  </property>
  <property fmtid="{D5CDD505-2E9C-101B-9397-08002B2CF9AE}" pid="15" name="Division">
    <vt:lpwstr>11;#Community Services|c23dee46-a4de-4c29-8bbc-79830d9e7d7c</vt:lpwstr>
  </property>
  <property fmtid="{D5CDD505-2E9C-101B-9397-08002B2CF9AE}" pid="16" name="o68eaf9243684232b2418c37bbb152dc">
    <vt:lpwstr>Community Services|c23dee46-a4de-4c29-8bbc-79830d9e7d7c</vt:lpwstr>
  </property>
  <property fmtid="{D5CDD505-2E9C-101B-9397-08002B2CF9AE}" pid="17" name="TaxCatchAll">
    <vt:lpwstr>11;#Community Services|c23dee46-a4de-4c29-8bbc-79830d9e7d7c</vt:lpwstr>
  </property>
</Properties>
</file>