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584" firstSheet="1" activeTab="1"/>
  </bookViews>
  <sheets>
    <sheet name="DHCS Only" sheetId="1" state="hidden" r:id="rId1"/>
    <sheet name="1. Information" sheetId="2" r:id="rId2"/>
    <sheet name="Instructions 1. Information" sheetId="3" state="hidden" r:id="rId3"/>
    <sheet name="2. Component Summary" sheetId="4" r:id="rId4"/>
    <sheet name="Instructions 2. Component Summa" sheetId="5" state="hidden" r:id="rId5"/>
    <sheet name="3. CSS" sheetId="6" r:id="rId6"/>
    <sheet name="Instructions 3. CSS" sheetId="7" state="hidden" r:id="rId7"/>
    <sheet name="4. PEI" sheetId="8" r:id="rId8"/>
    <sheet name="Instructions 4. PEI" sheetId="9" state="hidden" r:id="rId9"/>
    <sheet name="5. INN" sheetId="10" r:id="rId10"/>
    <sheet name="Instructions 5. INN" sheetId="11" state="hidden" r:id="rId11"/>
    <sheet name="6. WET" sheetId="12" r:id="rId12"/>
    <sheet name="Instructions 6. WET" sheetId="13" state="hidden" r:id="rId13"/>
    <sheet name="7. CFTN" sheetId="14" r:id="rId14"/>
    <sheet name="Instructions 7. CFTN" sheetId="15" state="hidden" r:id="rId15"/>
    <sheet name="8. Adjustment (MHSA)" sheetId="16" r:id="rId16"/>
    <sheet name="Instructions 8. Adjust (MHSA)" sheetId="17" state="hidden" r:id="rId17"/>
    <sheet name="9. Adjustment (FFP)" sheetId="18" r:id="rId18"/>
    <sheet name="Instructions 9. Adjust (FFP)" sheetId="19" state="hidden" r:id="rId19"/>
    <sheet name="10. Comments" sheetId="20" r:id="rId20"/>
    <sheet name="Instructions 10. Comments" sheetId="21" state="hidden"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<sst xmlns="http://schemas.openxmlformats.org/spreadsheetml/2006/main" count="1700" uniqueCount="892">
  <si>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</si>
  <si>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</si>
  <si>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</si>
  <si>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</si>
  <si>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</si>
  <si>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</si>
  <si>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</si>
  <si>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</si>
  <si>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</si>
  <si>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</si>
  <si>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</si>
  <si>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</si>
  <si>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</si>
  <si>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</si>
  <si>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</si>
  <si>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</si>
  <si>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</si>
  <si>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</si>
  <si>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</si>
  <si>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</si>
  <si>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</si>
  <si>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</si>
  <si>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</si>
  <si>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</si>
  <si>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</si>
  <si>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</si>
  <si>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</si>
  <si>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</si>
  <si>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</si>
  <si>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</si>
  <si>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</si>
  <si>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</si>
  <si>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</si>
  <si>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</si>
  <si>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</si>
  <si>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</si>
  <si>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</si>
  <si>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</si>
  <si>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</si>
  <si>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</si>
  <si>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</si>
  <si>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</si>
  <si>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</si>
  <si>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</si>
  <si>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</si>
  <si>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</si>
  <si>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</si>
  <si>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</si>
  <si>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</si>
  <si>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</si>
  <si>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</si>
  <si>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</si>
  <si>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</si>
  <si>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</si>
  <si>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</si>
  <si>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</si>
  <si>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</si>
  <si>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</si>
  <si>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</si>
  <si>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</si>
  <si>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</si>
  <si>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</si>
  <si>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</si>
  <si>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</si>
  <si>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</si>
  <si>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</si>
  <si>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</si>
  <si>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</si>
  <si>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</si>
  <si>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</si>
  <si>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</si>
  <si>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</si>
  <si>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</si>
  <si>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</si>
  <si>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</si>
  <si>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</si>
  <si>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</si>
  <si>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</si>
  <si>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</si>
  <si>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</si>
  <si>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</si>
  <si>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</si>
  <si>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</si>
  <si>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</si>
  <si>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</si>
  <si>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</si>
  <si>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</si>
  <si>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</si>
  <si>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</si>
  <si>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</si>
  <si>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</si>
  <si>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</si>
  <si>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</si>
  <si>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</si>
  <si>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</si>
  <si>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</si>
  <si>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</si>
  <si>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</si>
  <si>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</si>
  <si>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</si>
  <si>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</si>
  <si>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</si>
  <si>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</si>
  <si>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</si>
  <si>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</si>
  <si>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</si>
  <si>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</si>
  <si>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</si>
  <si>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</si>
  <si>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</si>
  <si>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</si>
  <si>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</si>
  <si>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</si>
  <si>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</si>
  <si>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</si>
  <si>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</si>
  <si>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</si>
  <si>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</si>
  <si>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</si>
  <si>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</si>
  <si>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</si>
  <si>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</si>
  <si>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</si>
  <si>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</si>
  <si>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</si>
  <si>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</si>
  <si>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</si>
  <si>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</si>
  <si>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</si>
  <si>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</si>
  <si>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</si>
  <si>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</si>
  <si>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</si>
  <si>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</si>
  <si>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</si>
  <si>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</si>
  <si>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</si>
  <si>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</si>
  <si>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</si>
  <si>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</si>
  <si>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</si>
  <si>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</si>
  <si>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</si>
  <si>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</si>
  <si>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</si>
  <si>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</si>
  <si>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</si>
  <si>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</si>
  <si>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</si>
  <si>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</si>
  <si>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</si>
  <si>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</si>
  <si>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</si>
  <si>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</si>
  <si>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</si>
  <si>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</si>
  <si>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</si>
  <si>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</si>
  <si>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</si>
  <si>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</si>
  <si>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</si>
  <si>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</si>
  <si>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</si>
  <si>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</si>
  <si>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</si>
  <si>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</si>
  <si>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</si>
  <si>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</si>
  <si>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</si>
  <si>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</si>
  <si>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</si>
  <si>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</si>
  <si>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</si>
  <si>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</si>
  <si>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</si>
  <si>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</si>
  <si>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</si>
  <si>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</si>
  <si>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</si>
  <si>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</si>
  <si>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</si>
  <si>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</si>
  <si>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</si>
  <si>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</si>
  <si>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</si>
  <si>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</si>
  <si>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</si>
  <si>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</si>
  <si>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</si>
  <si>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</si>
  <si>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</si>
  <si>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</si>
  <si>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</si>
  <si>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</si>
  <si>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</si>
  <si>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</si>
  <si>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</si>
  <si>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</si>
  <si>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</si>
  <si>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</si>
  <si>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</si>
  <si>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</si>
  <si>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</si>
  <si>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</si>
  <si>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</si>
  <si>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</si>
  <si>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</si>
  <si>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</si>
  <si>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</si>
  <si>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</si>
  <si>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</si>
  <si>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</si>
  <si>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</si>
  <si>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</si>
  <si>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</si>
  <si>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</si>
  <si>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</si>
  <si>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</si>
  <si>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</si>
  <si>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</si>
  <si>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</si>
  <si>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</si>
  <si>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</si>
  <si>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</si>
  <si>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</si>
  <si>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</si>
  <si>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</si>
  <si>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</si>
  <si>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</si>
  <si>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</si>
  <si>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</si>
  <si>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</si>
  <si>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</si>
  <si>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</si>
  <si>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</si>
  <si>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</si>
  <si>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</si>
  <si>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</si>
  <si>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</si>
  <si>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</si>
  <si>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</si>
  <si>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</si>
  <si>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</si>
  <si>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</si>
  <si>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</si>
  <si>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</si>
  <si>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</si>
  <si>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</si>
  <si>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</si>
  <si>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</si>
  <si>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</si>
  <si>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</si>
  <si>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</si>
  <si>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</si>
  <si>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</si>
  <si>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</si>
  <si>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</si>
  <si>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</si>
  <si>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</si>
  <si>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</si>
  <si>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</si>
  <si>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</si>
  <si>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</si>
  <si>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</si>
  <si>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</si>
  <si>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</si>
  <si>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</si>
  <si>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</si>
  <si>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</si>
  <si>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</si>
  <si>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</si>
  <si>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</si>
  <si>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</si>
  <si>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</si>
  <si>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</si>
  <si>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</si>
  <si>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</si>
  <si>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</si>
  <si>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</si>
  <si>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</si>
  <si>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</si>
  <si>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</si>
  <si>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</si>
  <si>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</si>
  <si>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</si>
  <si>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</si>
  <si>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</si>
  <si>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</si>
  <si>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</si>
  <si>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</si>
  <si>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</si>
  <si>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</si>
  <si>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</si>
  <si>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</si>
  <si>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</si>
  <si>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</si>
  <si>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</si>
  <si>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</si>
  <si>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</si>
  <si>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</si>
  <si>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</si>
  <si>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</si>
  <si>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</si>
  <si>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</si>
  <si>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</si>
  <si>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</si>
  <si>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</si>
  <si>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</si>
  <si>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</si>
  <si>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</si>
  <si>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</si>
  <si>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</si>
  <si>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</si>
  <si>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</si>
  <si>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</si>
  <si>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</si>
  <si>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</si>
  <si>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</si>
  <si>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</si>
  <si>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</si>
  <si>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</si>
  <si>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</si>
  <si>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</si>
  <si>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</si>
  <si>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</si>
  <si>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</si>
  <si>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</si>
  <si>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</si>
  <si>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</si>
  <si>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</si>
  <si>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</si>
  <si>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</si>
  <si>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</si>
  <si>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</si>
  <si>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</si>
  <si>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</si>
  <si>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</si>
  <si>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</si>
  <si>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</si>
  <si>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</si>
  <si>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</si>
  <si>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</si>
  <si>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</si>
  <si>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</si>
  <si>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</si>
  <si>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</si>
  <si>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</si>
  <si>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</si>
  <si>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</si>
  <si>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</si>
  <si>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</si>
  <si>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</si>
  <si>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</si>
  <si>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</si>
  <si>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</si>
  <si>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</si>
  <si>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</si>
  <si>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</si>
  <si>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</si>
  <si>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</si>
  <si>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</si>
  <si>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</si>
  <si>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</si>
  <si>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</si>
  <si>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</si>
  <si>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</si>
  <si>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</si>
  <si>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</si>
  <si>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</si>
  <si>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</si>
  <si>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</si>
  <si>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</si>
  <si>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</si>
  <si>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</si>
  <si>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</si>
  <si>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</si>
  <si>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</si>
  <si>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</si>
  <si>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</si>
  <si>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</si>
  <si>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</si>
  <si>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</si>
  <si>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</si>
  <si>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</si>
  <si>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</si>
  <si>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</si>
  <si>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</si>
  <si>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</si>
  <si>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</si>
  <si>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</si>
  <si>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</si>
  <si>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</si>
  <si>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</si>
  <si>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</si>
  <si>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</si>
  <si>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</si>
  <si>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</si>
  <si>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</si>
  <si>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</si>
  <si>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</si>
  <si>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</si>
  <si>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</si>
  <si>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</si>
  <si>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</si>
  <si>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</si>
  <si>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</si>
  <si>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</si>
  <si>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</si>
  <si>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</si>
  <si>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</si>
  <si>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</si>
  <si>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</si>
  <si>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</si>
  <si>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</si>
  <si>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</si>
  <si>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</si>
  <si>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</si>
  <si>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</si>
  <si>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</si>
  <si>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</si>
  <si>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</si>
  <si>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</si>
  <si>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</si>
  <si>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</si>
  <si>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</si>
  <si>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</si>
  <si>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</si>
  <si>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</si>
  <si>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</si>
  <si>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</si>
  <si>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</si>
  <si>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</si>
  <si>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</si>
  <si>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</si>
  <si>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</si>
  <si>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</si>
  <si>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</si>
  <si>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</si>
  <si>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</si>
  <si>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</si>
  <si>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</si>
  <si>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</si>
  <si>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</si>
  <si>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</si>
  <si>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</si>
  <si>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</si>
  <si>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</si>
  <si>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</si>
  <si>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</si>
  <si>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</si>
  <si>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</si>
  <si>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</si>
  <si>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</si>
  <si>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</si>
  <si>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</si>
  <si>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</si>
  <si>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</si>
  <si>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</si>
  <si>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</si>
  <si>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</si>
  <si>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</si>
  <si>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</si>
  <si>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</si>
  <si>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</si>
  <si>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</si>
  <si>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</si>
  <si>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</si>
  <si>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</si>
  <si>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</si>
  <si>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</si>
  <si>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</si>
  <si>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</si>
  <si>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</si>
  <si>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</si>
  <si>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</si>
  <si>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</si>
  <si>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</si>
  <si>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</si>
  <si>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</si>
  <si>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</si>
  <si>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</si>
  <si>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</si>
  <si>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</si>
  <si>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</si>
  <si>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</si>
  <si>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</si>
  <si>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</si>
  <si>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</si>
  <si>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</si>
  <si>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</si>
  <si>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</si>
  <si>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</si>
  <si>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</si>
  <si>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</si>
  <si>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</si>
  <si>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</si>
  <si>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</si>
  <si>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</si>
  <si>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</si>
  <si>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</si>
  <si>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</si>
  <si>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</si>
  <si>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</si>
  <si>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</si>
  <si>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</si>
  <si>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</si>
  <si>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</si>
  <si>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</si>
  <si>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</si>
  <si>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</si>
  <si>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</si>
  <si>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</si>
  <si>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</si>
  <si>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</si>
  <si>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</si>
  <si>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</si>
  <si>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</si>
  <si>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</si>
  <si>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</si>
  <si>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</si>
  <si>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</si>
  <si>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</si>
  <si>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</si>
  <si>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</si>
  <si>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</si>
  <si>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</si>
  <si>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</si>
  <si>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</si>
  <si>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</si>
  <si>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</si>
  <si>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</si>
  <si>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</si>
  <si>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</si>
  <si>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</si>
  <si>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</si>
  <si>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</si>
  <si>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</si>
  <si>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</si>
  <si>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</si>
  <si>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</si>
  <si>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</si>
  <si>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</si>
  <si>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</si>
  <si>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</si>
  <si>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</si>
  <si>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</si>
  <si>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</si>
  <si>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</si>
  <si>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</si>
  <si>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</si>
  <si>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</si>
  <si>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</si>
  <si>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</si>
  <si>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</si>
  <si>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</si>
  <si>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</si>
  <si>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</si>
  <si>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</si>
  <si>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</si>
  <si>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</si>
  <si>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</si>
  <si>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</si>
  <si>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</si>
  <si>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</si>
  <si>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</si>
  <si>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</si>
  <si>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</si>
  <si>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</si>
  <si>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</si>
  <si>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</si>
  <si>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</si>
  <si>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</si>
  <si>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</si>
  <si>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</si>
  <si>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</si>
  <si>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</si>
  <si>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</si>
  <si>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</si>
  <si>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</si>
  <si>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</si>
  <si>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</si>
  <si>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</si>
  <si>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</si>
  <si>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</si>
  <si>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</si>
  <si>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</si>
  <si>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</si>
  <si>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</si>
  <si>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</si>
  <si>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</si>
  <si>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</si>
  <si>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</si>
  <si>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</si>
  <si>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</si>
  <si>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</si>
  <si>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</si>
  <si>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</si>
  <si>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</si>
  <si>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</si>
  <si>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</si>
  <si>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</si>
  <si>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</si>
  <si>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</si>
  <si>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</si>
  <si>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</si>
  <si>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</si>
  <si>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</si>
  <si>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</si>
  <si>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</si>
  <si>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</si>
  <si>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</si>
  <si>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</si>
  <si>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</si>
  <si>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</si>
  <si>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</si>
  <si>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</si>
  <si>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</si>
  <si>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</si>
  <si>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</si>
  <si>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</si>
  <si>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</si>
  <si>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</si>
  <si>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</si>
  <si>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</si>
  <si>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</si>
  <si>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</si>
  <si>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</si>
  <si>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</si>
  <si>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</si>
  <si>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</si>
  <si>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</si>
  <si>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</si>
  <si>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</si>
  <si>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</si>
  <si>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</si>
  <si>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</si>
  <si>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</si>
  <si>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</si>
  <si>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</si>
  <si>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</si>
  <si>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</si>
  <si>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</si>
  <si>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</si>
  <si>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</si>
  <si>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</si>
  <si>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</si>
  <si>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</si>
  <si>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</si>
  <si>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</si>
  <si>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</si>
  <si>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</si>
  <si>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</si>
  <si>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</si>
  <si>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</si>
  <si>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</si>
  <si>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</si>
  <si>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</si>
  <si>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</si>
  <si>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</si>
  <si>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</si>
  <si>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</si>
  <si>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</si>
  <si>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</si>
  <si>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</si>
  <si>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</si>
  <si>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</si>
  <si>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</si>
  <si>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</si>
  <si>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</si>
  <si>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</si>
  <si>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</si>
  <si>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</si>
  <si>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</si>
  <si>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</si>
  <si>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</si>
  <si>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</si>
  <si>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</si>
  <si>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</si>
  <si>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</si>
  <si>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</si>
  <si>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</si>
  <si>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</si>
  <si>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</si>
  <si>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</si>
  <si>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</si>
  <si>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</si>
  <si>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</si>
  <si>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</si>
  <si>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</si>
  <si>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</si>
  <si>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</si>
  <si>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</si>
  <si>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</si>
  <si>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</si>
  <si>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</si>
  <si>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</si>
  <si>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</si>
  <si>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</si>
  <si>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</si>
  <si>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</si>
  <si>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</si>
  <si>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</si>
  <si>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</si>
  <si>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</si>
  <si>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</si>
  <si>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</si>
  <si>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</si>
  <si>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</si>
  <si>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</si>
  <si>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</si>
  <si>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</si>
  <si>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</si>
  <si>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</si>
  <si>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</si>
  <si>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</si>
  <si>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</si>
  <si>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</si>
  <si>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</si>
  <si>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</si>
  <si>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</si>
  <si>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</si>
  <si>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</si>
  <si>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</si>
  <si>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</si>
  <si>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</si>
  <si>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</si>
  <si>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</si>
  <si>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</si>
  <si>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</si>
  <si>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</si>
  <si>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</si>
  <si>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</si>
  <si>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</si>
  <si>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</si>
  <si>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</si>
  <si>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</si>
  <si>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</si>
  <si>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</si>
  <si>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</si>
  <si>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</si>
  <si>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</si>
  <si>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</si>
  <si>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</si>
  <si>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</si>
  <si>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</si>
  <si>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</si>
  <si>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</si>
  <si>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</si>
  <si>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</si>
  <si>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</si>
  <si>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</si>
  <si>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</si>
  <si>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</si>
  <si>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</si>
  <si>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</si>
  <si>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</si>
  <si>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</si>
  <si>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</si>
  <si>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</si>
  <si>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</si>
  <si>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</si>
  <si>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</si>
  <si>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</si>
  <si>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</si>
  <si>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</si>
  <si>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</si>
  <si>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</si>
  <si>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</si>
  <si>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</si>
  <si>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</si>
  <si>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</si>
  <si>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</si>
  <si>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</si>
  <si>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</si>
  <si>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</si>
  <si>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</si>
  <si>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</si>
  <si>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</si>
  <si>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</si>
  <si>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</si>
  <si>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</si>
  <si>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</si>
  <si>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2019-20</t>
  </si>
  <si>
    <t>11512 B Avenue</t>
  </si>
  <si>
    <t>Auburn</t>
  </si>
  <si>
    <t>Elizabeth Sira</t>
  </si>
  <si>
    <t>esira@placer.ca.gov</t>
  </si>
  <si>
    <t>Senior Accountant</t>
  </si>
  <si>
    <t>530-745-3138</t>
  </si>
  <si>
    <t xml:space="preserve">Turning Point Community Programs: Assertive Community Treatment </t>
  </si>
  <si>
    <t xml:space="preserve">Adult System of Care: Homeless Outreach FSP Program </t>
  </si>
  <si>
    <t>Adult System of Care: Co-Occurring Program</t>
  </si>
  <si>
    <t>Children’s System of Care- Wraparound</t>
  </si>
  <si>
    <t>Children’s Receiving Home of Sacramento – Sprouts</t>
  </si>
  <si>
    <t>Uplift Family Services (formerly known as EMQ) – Fast Track Wraparound</t>
  </si>
  <si>
    <t>Advocates for Mentally Ill Housing- Path to Independence</t>
  </si>
  <si>
    <t>Advocates for Mentally Ill Housing- Peer Supported Transitional Housing</t>
  </si>
  <si>
    <t>Advocates for Mentally Ill Housing- Transitional Employment Services</t>
  </si>
  <si>
    <t>Adult System of Care- Adult Crisis Response Team</t>
  </si>
  <si>
    <t>Adult System of Care- Adult Reintegration Team</t>
  </si>
  <si>
    <t>Adult System of Care- Follow-Up Services</t>
  </si>
  <si>
    <t>Adult System of Care- Mobile Crisis Triage</t>
  </si>
  <si>
    <t>Adult System of Care- Welcome Center and Cirby Clubhouse</t>
  </si>
  <si>
    <t>Childrens System of Care - Family Mobile Team</t>
  </si>
  <si>
    <t>Childrens System of Care - School/County Collaborative</t>
  </si>
  <si>
    <t>Latino Leadership Council- Latino Support</t>
  </si>
  <si>
    <t>Lighthouse Counseling and Family Resource Center- Attachment based family therapy, Road to wellness, Trauma focused CBT (Spanish)</t>
  </si>
  <si>
    <t>Mental Health America- Consumer Affairs Coordinator</t>
  </si>
  <si>
    <t>Sierra Mental Wellness Group- Bilingual Therapy</t>
  </si>
  <si>
    <t>Sierra Native Alliance- Recovery Services and Supports</t>
  </si>
  <si>
    <t>Whole Person Learning- Youth Empowerment Support Program</t>
  </si>
  <si>
    <t>Big Brothers Big Sisters- Big Brothers Big Sisters Mentoring</t>
  </si>
  <si>
    <t>Boys and Girls Club of North Lake Tahoe- Youth Prevention Programs</t>
  </si>
  <si>
    <t>Child Advocates of Placer County- Court Appointed Special Advocates</t>
  </si>
  <si>
    <t>Community Recovery Resources- Parent Project (Granite Wellness Centers)</t>
  </si>
  <si>
    <t>Community Recovery Resources- Substance Assistance Program (Granite Wellness Centers)</t>
  </si>
  <si>
    <t>KidsFirst- Active Parenting Now</t>
  </si>
  <si>
    <t>KidsFirst- Forever Fathers</t>
  </si>
  <si>
    <t>KidsFirst- Incredible Years: Parenting Program</t>
  </si>
  <si>
    <t>KidsFirst- Leadership Enrichment and Activities Programs</t>
  </si>
  <si>
    <t>Latino Leadership Council- Parent Project</t>
  </si>
  <si>
    <t>Latino Leadership Council- Promotores Program</t>
  </si>
  <si>
    <t>Latino Leadership Council- Youth Services and Supports</t>
  </si>
  <si>
    <t>Lighthouse Counseling and Family Resource Center- Teaching Pro-Social Skills</t>
  </si>
  <si>
    <t>Lilliput- Home to Stay</t>
  </si>
  <si>
    <t>North Tahoe Family Resource Center- Parent Education Programs</t>
  </si>
  <si>
    <t>Sierra Native Alliance- Native Parenting Services and Supports</t>
  </si>
  <si>
    <t>Sierra Native Alliance- Youth Services and Supports</t>
  </si>
  <si>
    <t>Tahoe Safe Alliance- Youth Empowerment Groups</t>
  </si>
  <si>
    <t xml:space="preserve">Tahoe Truckee Unified School District- Tahoe Truckee Wellness Program </t>
  </si>
  <si>
    <t>Community Recovery Resources- (adolescent services)</t>
  </si>
  <si>
    <t>Gateway Mountain Center- Whole Hearts, Minds and Bodies Therapeutic Mentoring</t>
  </si>
  <si>
    <t>KidsFirst- Incredible Years: Dinosaur School</t>
  </si>
  <si>
    <t>KidsFirst- Parent and Baby Wellness</t>
  </si>
  <si>
    <t>KidsFirst- Early Intervention Therapy</t>
  </si>
  <si>
    <t>Lighthouse Counseling and Family Resource Center - Attachment Based Family Therapy</t>
  </si>
  <si>
    <t>Lighthouse Counseling and Family Resource Center - Road to Wellness</t>
  </si>
  <si>
    <t>Lighthouse Counseling and Family Resource Center- Trauma Focused CBT</t>
  </si>
  <si>
    <t>Sierra Mental Wellness Group- Functional Family Therapy</t>
  </si>
  <si>
    <t>Sierra Native Alliance- Early Onset Counseling</t>
  </si>
  <si>
    <t>Unity Care- Transition to Independence Process</t>
  </si>
  <si>
    <t>Uplift Family Services- North Tahoe Outpatient Programs</t>
  </si>
  <si>
    <t>Placer County Office of Education- Mental Health First Aid</t>
  </si>
  <si>
    <t xml:space="preserve">Placer County Office of Education- Positive Behavioral Intervention Services (PBIS) </t>
  </si>
  <si>
    <t>Sierra Native Alliance- Native Community Events</t>
  </si>
  <si>
    <t>Tahoe Safe Alliance- Mental Health First Aid</t>
  </si>
  <si>
    <t>Placer County Office of Education- Applied Suicide Intervention Skills Training</t>
  </si>
  <si>
    <t>Placer County Office of Education- Kognito</t>
  </si>
  <si>
    <t>Placer County Office of Education- SafeTALK</t>
  </si>
  <si>
    <t>Tahoe Forest Hospital District- Tahoe Truckee Suicide Prevention Coalition</t>
  </si>
  <si>
    <t>Family Resource Center of Truckee- Promotora Lead Workgroups</t>
  </si>
  <si>
    <t>Latino Leadership Council- Personas de Sabiduria</t>
  </si>
  <si>
    <t>North Tahoe Family Resource Center- Latino Leadership Training Series</t>
  </si>
  <si>
    <t>Adventure Risk Challenge- Youth Outreach</t>
  </si>
  <si>
    <t>Project MANA- Homelss Outreach Program</t>
  </si>
  <si>
    <t>Adult System of Care- Senior Peer Counseling</t>
  </si>
  <si>
    <t>Homeless Integrated Care Coordination and Evaluation</t>
  </si>
  <si>
    <t>Homelss Integrated Care Coordination and Evaluation</t>
  </si>
  <si>
    <t>AVATAR Expansion and Electronic Medical Record</t>
  </si>
  <si>
    <t>Cirby Hills Purchase and Renovation</t>
  </si>
  <si>
    <t>19/20</t>
  </si>
  <si>
    <t>Expenditure</t>
  </si>
  <si>
    <t>15/16</t>
  </si>
  <si>
    <t>FY15/16 Turning Point overpayment refund (JE100-0000182)</t>
  </si>
  <si>
    <t>17/18</t>
  </si>
  <si>
    <t>FY17-18 IT charge - RITM0047734 (Dell 7060 Micro computer - JE100-0007010)</t>
  </si>
  <si>
    <t>Interest Revenue</t>
  </si>
  <si>
    <t>FY17-18 Fair Market Value Adjustment to Fund Balance for MHSA (JV127555-PAS)</t>
  </si>
  <si>
    <t>FY17-18 Expenditure adjustment as a result of Medi-Cal FFP revenue received. Reducing expenditures to reflect other funding.</t>
  </si>
  <si>
    <t>FY19-20 Fair Market Value Adjustment to Fund Balance for MHSA</t>
  </si>
  <si>
    <t>FY17-18 Prudent Reserve reported .13 cents below actual. (no adjustment type for prudent reserve or revenue so had to use interest revenue)</t>
  </si>
  <si>
    <t>Tahoe Health and Human Services Feasibility/Site Selection</t>
  </si>
  <si>
    <t>Avatar Yearly Maintenance</t>
  </si>
  <si>
    <t>Granite Wellness Center- Parent Project</t>
  </si>
  <si>
    <t>Granite Wellness Centers- Substance Assistance Program</t>
  </si>
  <si>
    <t>KidsFirst- Incredible Years</t>
  </si>
  <si>
    <t>Granite Wellness Center- Adolescent Services</t>
  </si>
  <si>
    <t>Gateway Mountain Center- Whole Hearts, Minds and Bodies</t>
  </si>
  <si>
    <t>KidsFirst- Dinosaur School</t>
  </si>
  <si>
    <t>Tahoe Safe Alliance- Mental Health First Aid and Youth Mental Health First Aid</t>
  </si>
  <si>
    <t>Tahoe Truckee Unified School District- Tahoe Truckee Suicide Prevention Coalition</t>
  </si>
  <si>
    <t xml:space="preserve">Adult System of Care: Homeless Outreach Program </t>
  </si>
  <si>
    <t>Childrens System of Care - School County Collaborative</t>
  </si>
  <si>
    <t>Latino Leadership Council- Promotora</t>
  </si>
  <si>
    <t>Lighthouse Counseling and Family Resource Center- Mental Health Services (Spanish)</t>
  </si>
  <si>
    <t>Nevada Sierra Connecting Point - 211 Resource Line</t>
  </si>
  <si>
    <t>Adult System of Care - Dewitt Bridge Housing Program</t>
  </si>
  <si>
    <t>CSS Housing Projects</t>
  </si>
  <si>
    <t>AMI Housing, Inc. - Monarch House/Emergency Housing</t>
  </si>
  <si>
    <t>Mental Health America- Family Advocates &amp; Mental Health America- Family and Friends Coordinator</t>
  </si>
  <si>
    <t>FY19-20 Prudent Reserve transfer out reported .63 under actual transfer amount.</t>
  </si>
  <si>
    <t>Transfer of Prudent Reserve to CSS was intended to decrease the PR funding level to meet the allowable maximum per DHCS Information Notice 19-017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</si>
</sst>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24">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3" fillId="0" borderId="10" xfId="0" applyFont="1" applyBorder="1" applyAlignment="1" applyProtection="1">
      <alignment horizontal="left"/>
      <protection locked="0"/>
    </xf>
    <xf numFmtId="9" fontId="63" fillId="0" borderId="10" xfId="63" applyFont="1" applyFill="1" applyBorder="1" applyAlignment="1" applyProtection="1">
      <alignment/>
      <protection locked="0"/>
    </xf>
    <xf numFmtId="14" fontId="63" fillId="0" borderId="10" xfId="0" applyNumberFormat="1" applyFont="1" applyBorder="1" applyAlignment="1" applyProtection="1">
      <alignment/>
      <protection locked="0"/>
    </xf>
    <xf numFmtId="0" fontId="63" fillId="0" borderId="10" xfId="0" applyFont="1" applyBorder="1" applyAlignment="1" applyProtection="1">
      <alignment horizontal="center"/>
      <protection locked="0"/>
    </xf>
    <xf numFmtId="164" fontId="63" fillId="0" borderId="10" xfId="0" applyNumberFormat="1" applyFont="1" applyBorder="1" applyAlignment="1" applyProtection="1">
      <alignment horizont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140625" defaultRowHeight="15"/>
  <cols>
    <col min="1" max="16384" width="9.1406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A1">
      <selection activeCell="F19" sqref="F19"/>
    </sheetView>
  </sheetViews>
  <sheetFormatPr defaultColWidth="9.140625" defaultRowHeight="15" zeroHeight="1"/>
  <cols>
    <col min="1" max="1" width="2.7109375" style="27" customWidth="1"/>
    <col min="2" max="2" width="6.7109375" style="28" customWidth="1"/>
    <col min="3" max="3" width="9.57421875" style="28" customWidth="1"/>
    <col min="4" max="4" width="9.421875" style="28" bestFit="1" customWidth="1"/>
    <col min="5" max="5" width="55.140625" style="28" customWidth="1"/>
    <col min="6" max="7" width="17.7109375" style="28" customWidth="1"/>
    <col min="8" max="8" width="31.00390625" style="28" bestFit="1" customWidth="1"/>
    <col min="9" max="9" width="24.8515625" style="28" customWidth="1"/>
    <col min="10" max="10" width="24.421875" style="28" bestFit="1" customWidth="1"/>
    <col min="11" max="11" width="20.8515625" style="28" bestFit="1" customWidth="1"/>
    <col min="12" max="12" width="25.140625" style="28" bestFit="1" customWidth="1"/>
    <col min="13" max="13" width="26.57421875" style="28" customWidth="1"/>
    <col min="14" max="14" width="21.140625" style="28" bestFit="1" customWidth="1"/>
    <col min="15" max="15" width="20.140625" style="28" bestFit="1" customWidth="1"/>
    <col min="16" max="16" width="17.7109375" style="28" customWidth="1"/>
    <col min="17" max="17" width="18.00390625" style="27" bestFit="1" customWidth="1"/>
    <col min="18" max="16384" width="9.1406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2019-20</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Placer</v>
      </c>
      <c r="G9" s="226" t="s">
        <v>1</v>
      </c>
      <c r="H9" s="264">
        <f>IF(ISBLANK('1. Information'!D9),"",'1. Information'!D9)</f>
        <v>44227</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v>0</v>
      </c>
      <c r="G15" s="136"/>
      <c r="H15" s="136"/>
      <c r="I15" s="136"/>
      <c r="J15" s="136"/>
      <c r="K15" s="246">
        <f>SUM(F15:J15)</f>
        <v>0</v>
      </c>
      <c r="L15" s="175"/>
      <c r="M15" s="175"/>
      <c r="N15" s="175"/>
      <c r="O15" s="27"/>
      <c r="P15" s="27"/>
    </row>
    <row r="16" spans="2:16" ht="15.75">
      <c r="B16" s="300">
        <v>2</v>
      </c>
      <c r="C16" s="308" t="s">
        <v>143</v>
      </c>
      <c r="D16" s="242"/>
      <c r="E16" s="243"/>
      <c r="F16" s="136">
        <v>42463</v>
      </c>
      <c r="G16" s="136"/>
      <c r="H16" s="136"/>
      <c r="I16" s="136"/>
      <c r="J16" s="136"/>
      <c r="K16" s="246">
        <f>SUM(F16:J16)</f>
        <v>42463</v>
      </c>
      <c r="L16" s="175"/>
      <c r="M16" s="175"/>
      <c r="N16" s="175"/>
      <c r="O16" s="27"/>
      <c r="P16" s="27"/>
    </row>
    <row r="17" spans="2:16" ht="15.75">
      <c r="B17" s="300">
        <v>3</v>
      </c>
      <c r="C17" s="309" t="s">
        <v>238</v>
      </c>
      <c r="D17" s="245"/>
      <c r="E17" s="243"/>
      <c r="F17" s="136">
        <v>0</v>
      </c>
      <c r="G17" s="310"/>
      <c r="H17" s="310"/>
      <c r="I17" s="310"/>
      <c r="J17" s="310"/>
      <c r="K17" s="246">
        <f>F17</f>
        <v>0</v>
      </c>
      <c r="L17" s="175"/>
      <c r="M17" s="175"/>
      <c r="N17" s="175"/>
      <c r="O17" s="27"/>
      <c r="P17" s="27"/>
    </row>
    <row r="18" spans="2:16" ht="15.75">
      <c r="B18" s="300">
        <v>4</v>
      </c>
      <c r="C18" s="309" t="s">
        <v>293</v>
      </c>
      <c r="D18" s="245"/>
      <c r="E18" s="243"/>
      <c r="F18" s="136">
        <v>0</v>
      </c>
      <c r="G18" s="310"/>
      <c r="H18" s="310"/>
      <c r="I18" s="310"/>
      <c r="J18" s="310"/>
      <c r="K18" s="246">
        <f>F18</f>
        <v>0</v>
      </c>
      <c r="L18" s="175"/>
      <c r="M18" s="175"/>
      <c r="N18" s="175"/>
      <c r="O18" s="27"/>
      <c r="P18" s="27"/>
    </row>
    <row r="19" spans="2:16" ht="15.75">
      <c r="B19" s="300">
        <v>5</v>
      </c>
      <c r="C19" s="308" t="s">
        <v>144</v>
      </c>
      <c r="D19" s="242"/>
      <c r="E19" s="243"/>
      <c r="F19" s="311">
        <f>SUMIF($K$29:$K$128,"Project Administration",L$29:L$128)</f>
        <v>442606</v>
      </c>
      <c r="G19" s="312">
        <f>SUMIF($K$29:$K$128,"Project Administration",M$29:M$128)</f>
        <v>0</v>
      </c>
      <c r="H19" s="311">
        <f>SUMIF($K$29:$K$128,"Project Administration",N$29:N$128)</f>
        <v>0</v>
      </c>
      <c r="I19" s="311">
        <f>SUMIF($K$29:$K$128,"Project Administration",O$29:O$128)</f>
        <v>0</v>
      </c>
      <c r="J19" s="311">
        <f>SUMIF($K$29:$K$128,"Project Administration",P$29:P$128)</f>
        <v>0</v>
      </c>
      <c r="K19" s="246">
        <f>SUM(F19:J19)</f>
        <v>442606</v>
      </c>
      <c r="L19" s="175"/>
      <c r="M19" s="175"/>
      <c r="N19" s="175"/>
      <c r="O19" s="27"/>
      <c r="P19" s="27"/>
    </row>
    <row r="20" spans="2:16" ht="15.75">
      <c r="B20" s="300">
        <v>6</v>
      </c>
      <c r="C20" s="308" t="s">
        <v>145</v>
      </c>
      <c r="D20" s="242"/>
      <c r="E20" s="243"/>
      <c r="F20" s="310">
        <f>SUMIF($K$29:$K$128,"Project Evaluation",L$29:L$128)</f>
        <v>77632</v>
      </c>
      <c r="G20" s="313">
        <f>SUMIF($K$29:$K$128,"Project Evaluation",M$29:M$128)</f>
        <v>0</v>
      </c>
      <c r="H20" s="310">
        <f>SUMIF($K$29:$K$128,"Project Evaluation",N$29:N$128)</f>
        <v>0</v>
      </c>
      <c r="I20" s="310">
        <f>SUMIF($K$29:$K$128,"Project Evaluation",O$29:O$128)</f>
        <v>0</v>
      </c>
      <c r="J20" s="310">
        <f>SUMIF($K$29:$K$128,"Project Evaluation",P$29:P$128)</f>
        <v>0</v>
      </c>
      <c r="K20" s="246">
        <f>SUM(F20:J20)</f>
        <v>77632</v>
      </c>
      <c r="L20" s="175"/>
      <c r="M20" s="175"/>
      <c r="N20" s="175"/>
      <c r="O20" s="27"/>
      <c r="P20" s="27"/>
    </row>
    <row r="21" spans="2:16" ht="15.75">
      <c r="B21" s="300">
        <v>7</v>
      </c>
      <c r="C21" s="308" t="s">
        <v>196</v>
      </c>
      <c r="D21" s="242"/>
      <c r="E21" s="243"/>
      <c r="F21" s="310">
        <f>SUMIF($K$29:$K$128,"Project Direct",L$29:L$128)</f>
        <v>329025</v>
      </c>
      <c r="G21" s="313">
        <f>SUMIF($K$29:$K$128,"Project Direct",M$29:M$128)</f>
        <v>0</v>
      </c>
      <c r="H21" s="310">
        <f>SUMIF($K$29:$K$128,"Project Direct",N$29:N$128)</f>
        <v>0</v>
      </c>
      <c r="I21" s="310">
        <f>SUMIF($K$29:$K$128,"Project Direct",O$29:O$128)</f>
        <v>0</v>
      </c>
      <c r="J21" s="310">
        <f>SUMIF($K$29:$K$128,"Project Direct",P$29:P$128)</f>
        <v>0</v>
      </c>
      <c r="K21" s="246">
        <f>SUM(F21:J21)</f>
        <v>329025</v>
      </c>
      <c r="L21" s="175"/>
      <c r="M21" s="175"/>
      <c r="N21" s="175"/>
      <c r="O21" s="27"/>
      <c r="P21" s="27"/>
    </row>
    <row r="22" spans="2:16" ht="15.75">
      <c r="B22" s="300">
        <v>8</v>
      </c>
      <c r="C22" s="308" t="s">
        <v>146</v>
      </c>
      <c r="D22" s="314"/>
      <c r="F22" s="315">
        <f>SUM(F19:F21)</f>
        <v>849263</v>
      </c>
      <c r="G22" s="316">
        <f>SUM(G19:G21)</f>
        <v>0</v>
      </c>
      <c r="H22" s="315">
        <f>SUM(H19:H21)</f>
        <v>0</v>
      </c>
      <c r="I22" s="315">
        <f>SUM(I19:I21)</f>
        <v>0</v>
      </c>
      <c r="J22" s="315">
        <f>SUM(J19:J21)</f>
        <v>0</v>
      </c>
      <c r="K22" s="246">
        <f>SUM(F22:J22)</f>
        <v>849263</v>
      </c>
      <c r="L22" s="175"/>
      <c r="M22" s="175"/>
      <c r="N22" s="175"/>
      <c r="O22" s="27"/>
      <c r="P22" s="27"/>
    </row>
    <row r="23" spans="2:16" ht="30.75" customHeight="1">
      <c r="B23" s="300">
        <v>9</v>
      </c>
      <c r="C23" s="317" t="s">
        <v>239</v>
      </c>
      <c r="D23" s="318"/>
      <c r="E23" s="319"/>
      <c r="F23" s="320">
        <f>SUM(F15:F16,F18:F21)</f>
        <v>891726</v>
      </c>
      <c r="G23" s="320">
        <f>SUM(G15:G16,G19:G21)</f>
        <v>0</v>
      </c>
      <c r="H23" s="320">
        <f>SUM(H15:H16,H19:H21)</f>
        <v>0</v>
      </c>
      <c r="I23" s="320">
        <f>SUM(I15:I16,I19:I21)</f>
        <v>0</v>
      </c>
      <c r="J23" s="320">
        <f>SUM(J15:J16,J19:J21)</f>
        <v>0</v>
      </c>
      <c r="K23" s="279">
        <f>SUM(F23:J23)</f>
        <v>891726</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60">
      <c r="B29" s="276">
        <v>10</v>
      </c>
      <c r="C29" s="293" t="s">
        <v>23</v>
      </c>
      <c r="D29" s="325">
        <f>IF(Q32&lt;&gt;0,VLOOKUP($E$9,Info_County_Code,2,FALSE),"")</f>
        <v>31</v>
      </c>
      <c r="E29" s="134" t="s">
        <v>856</v>
      </c>
      <c r="F29" s="134" t="s">
        <v>857</v>
      </c>
      <c r="G29" s="417">
        <v>42761</v>
      </c>
      <c r="H29" s="417">
        <v>42773</v>
      </c>
      <c r="I29" s="126">
        <v>3785000</v>
      </c>
      <c r="J29" s="30"/>
      <c r="K29" s="326" t="s">
        <v>140</v>
      </c>
      <c r="L29" s="32">
        <v>442606</v>
      </c>
      <c r="M29" s="32"/>
      <c r="N29" s="30"/>
      <c r="O29" s="30"/>
      <c r="P29" s="34"/>
      <c r="Q29" s="246">
        <f>SUM(L29:P29)</f>
        <v>442606</v>
      </c>
    </row>
    <row r="30" spans="2:17" ht="30">
      <c r="B30" s="276">
        <v>10</v>
      </c>
      <c r="C30" s="218" t="s">
        <v>25</v>
      </c>
      <c r="D30" s="327">
        <f aca="true" t="shared" si="0" ref="D30:J31">IF(ISBLANK(D29),"",D29)</f>
        <v>31</v>
      </c>
      <c r="E30" s="328" t="str">
        <f t="shared" si="0"/>
        <v>Homeless Integrated Care Coordination and Evaluation</v>
      </c>
      <c r="F30" s="329" t="str">
        <f t="shared" si="0"/>
        <v>Homelss Integrated Care Coordination and Evaluation</v>
      </c>
      <c r="G30" s="329">
        <f t="shared" si="0"/>
        <v>42761</v>
      </c>
      <c r="H30" s="329">
        <f t="shared" si="0"/>
        <v>42773</v>
      </c>
      <c r="I30" s="330">
        <f t="shared" si="0"/>
        <v>3785000</v>
      </c>
      <c r="J30" s="330">
        <f t="shared" si="0"/>
      </c>
      <c r="K30" s="275" t="s">
        <v>141</v>
      </c>
      <c r="L30" s="32">
        <v>77632</v>
      </c>
      <c r="M30" s="32"/>
      <c r="N30" s="30"/>
      <c r="O30" s="30"/>
      <c r="P30" s="34"/>
      <c r="Q30" s="246">
        <f aca="true" t="shared" si="1" ref="Q30:Q60">SUM(L30:P30)</f>
        <v>77632</v>
      </c>
    </row>
    <row r="31" spans="2:17" ht="30">
      <c r="B31" s="276">
        <v>10</v>
      </c>
      <c r="C31" s="218" t="s">
        <v>27</v>
      </c>
      <c r="D31" s="327">
        <f aca="true" t="shared" si="2" ref="D31:I31">IF(ISBLANK(D29),"",D29)</f>
        <v>31</v>
      </c>
      <c r="E31" s="331" t="str">
        <f t="shared" si="2"/>
        <v>Homeless Integrated Care Coordination and Evaluation</v>
      </c>
      <c r="F31" s="332" t="str">
        <f t="shared" si="2"/>
        <v>Homelss Integrated Care Coordination and Evaluation</v>
      </c>
      <c r="G31" s="332">
        <f t="shared" si="2"/>
        <v>42761</v>
      </c>
      <c r="H31" s="332">
        <f t="shared" si="2"/>
        <v>42773</v>
      </c>
      <c r="I31" s="275">
        <f t="shared" si="2"/>
        <v>3785000</v>
      </c>
      <c r="J31" s="275">
        <f t="shared" si="0"/>
      </c>
      <c r="K31" s="275" t="s">
        <v>197</v>
      </c>
      <c r="L31" s="32">
        <v>329025</v>
      </c>
      <c r="M31" s="32"/>
      <c r="N31" s="30"/>
      <c r="O31" s="30"/>
      <c r="P31" s="34"/>
      <c r="Q31" s="246">
        <f t="shared" si="1"/>
        <v>329025</v>
      </c>
    </row>
    <row r="32" spans="2:17" ht="31.5">
      <c r="B32" s="333">
        <v>10</v>
      </c>
      <c r="C32" s="333" t="s">
        <v>202</v>
      </c>
      <c r="D32" s="334">
        <f aca="true" t="shared" si="3" ref="D32:J32">IF(ISBLANK(D29),"",D29)</f>
        <v>31</v>
      </c>
      <c r="E32" s="335" t="str">
        <f t="shared" si="3"/>
        <v>Homeless Integrated Care Coordination and Evaluation</v>
      </c>
      <c r="F32" s="336" t="str">
        <f t="shared" si="3"/>
        <v>Homelss Integrated Care Coordination and Evaluation</v>
      </c>
      <c r="G32" s="336">
        <f t="shared" si="3"/>
        <v>42761</v>
      </c>
      <c r="H32" s="336">
        <f t="shared" si="3"/>
        <v>42773</v>
      </c>
      <c r="I32" s="337">
        <f t="shared" si="3"/>
        <v>3785000</v>
      </c>
      <c r="J32" s="337">
        <f t="shared" si="3"/>
      </c>
      <c r="K32" s="279" t="s">
        <v>217</v>
      </c>
      <c r="L32" s="338">
        <f>SUM(L29:L31)</f>
        <v>849263</v>
      </c>
      <c r="M32" s="338">
        <f>SUM(M29:M31)</f>
        <v>0</v>
      </c>
      <c r="N32" s="339">
        <f>SUM(N29:N31)</f>
        <v>0</v>
      </c>
      <c r="O32" s="339">
        <f>SUM(O29:O31)</f>
        <v>0</v>
      </c>
      <c r="P32" s="340">
        <f>SUM(P29:P31)</f>
        <v>0</v>
      </c>
      <c r="Q32" s="279">
        <f t="shared" si="1"/>
        <v>849263</v>
      </c>
    </row>
    <row r="33" spans="2:17" ht="15">
      <c r="B33" s="276">
        <v>11</v>
      </c>
      <c r="C33" s="293" t="s">
        <v>23</v>
      </c>
      <c r="D33" s="325">
        <f>IF(Q36&lt;&gt;0,VLOOKUP($E$9,Info_County_Code,2,FALSE),"")</f>
      </c>
      <c r="E33" s="144"/>
      <c r="F33" s="38"/>
      <c r="G33" s="38"/>
      <c r="H33" s="38"/>
      <c r="I33" s="30"/>
      <c r="J33" s="30"/>
      <c r="K33" s="326">
        <f>IF(NOT(ISBLANK(E33)),$K$29,"")</f>
      </c>
      <c r="L33" s="32"/>
      <c r="M33" s="32"/>
      <c r="N33" s="30"/>
      <c r="O33" s="30"/>
      <c r="P33" s="34"/>
      <c r="Q33" s="246">
        <f>SUM(L33:P33)</f>
        <v>0</v>
      </c>
    </row>
    <row r="34" spans="2:17" ht="15">
      <c r="B34" s="276">
        <v>11</v>
      </c>
      <c r="C34" s="218" t="s">
        <v>25</v>
      </c>
      <c r="D34" s="327">
        <f aca="true" t="shared" si="4" ref="D34:J34">IF(ISBLANK(D33),"",D33)</f>
      </c>
      <c r="E34" s="328">
        <f t="shared" si="4"/>
      </c>
      <c r="F34" s="329">
        <f t="shared" si="4"/>
      </c>
      <c r="G34" s="329">
        <f t="shared" si="4"/>
      </c>
      <c r="H34" s="329">
        <f t="shared" si="4"/>
      </c>
      <c r="I34" s="330">
        <f t="shared" si="4"/>
      </c>
      <c r="J34" s="330">
        <f t="shared" si="4"/>
      </c>
      <c r="K34" s="275">
        <f>IF(NOT(ISBLANK(E33)),$K$30,"")</f>
      </c>
      <c r="L34" s="32"/>
      <c r="M34" s="32"/>
      <c r="N34" s="30"/>
      <c r="O34" s="30"/>
      <c r="P34" s="34"/>
      <c r="Q34" s="246">
        <f>SUM(L34:P34)</f>
        <v>0</v>
      </c>
    </row>
    <row r="35" spans="2:17" ht="15">
      <c r="B35" s="276">
        <v>11</v>
      </c>
      <c r="C35" s="218" t="s">
        <v>27</v>
      </c>
      <c r="D35" s="327">
        <f aca="true" t="shared" si="5" ref="D35:J35">IF(ISBLANK(D33),"",D33)</f>
      </c>
      <c r="E35" s="331">
        <f t="shared" si="5"/>
      </c>
      <c r="F35" s="332">
        <f t="shared" si="5"/>
      </c>
      <c r="G35" s="332">
        <f t="shared" si="5"/>
      </c>
      <c r="H35" s="332">
        <f t="shared" si="5"/>
      </c>
      <c r="I35" s="275">
        <f t="shared" si="5"/>
      </c>
      <c r="J35" s="275">
        <f t="shared" si="5"/>
      </c>
      <c r="K35" s="275">
        <f>IF(NOT(ISBLANK(E33)),$K$31,"")</f>
      </c>
      <c r="L35" s="32"/>
      <c r="M35" s="32"/>
      <c r="N35" s="30"/>
      <c r="O35" s="30"/>
      <c r="P35" s="34"/>
      <c r="Q35" s="246">
        <f>SUM(L35:P35)</f>
        <v>0</v>
      </c>
    </row>
    <row r="36" spans="2:17" ht="15.75">
      <c r="B36" s="333">
        <v>11</v>
      </c>
      <c r="C36" s="333" t="s">
        <v>202</v>
      </c>
      <c r="D36" s="334">
        <f aca="true" t="shared" si="6" ref="D36:J36">IF(ISBLANK(D33),"",D33)</f>
      </c>
      <c r="E36" s="335">
        <f t="shared" si="6"/>
      </c>
      <c r="F36" s="336">
        <f t="shared" si="6"/>
      </c>
      <c r="G36" s="336">
        <f t="shared" si="6"/>
      </c>
      <c r="H36" s="336">
        <f t="shared" si="6"/>
      </c>
      <c r="I36" s="337">
        <f t="shared" si="6"/>
      </c>
      <c r="J36" s="337">
        <f t="shared" si="6"/>
      </c>
      <c r="K36" s="279">
        <f>IF(NOT(ISBLANK(E33)),$K$32,"")</f>
      </c>
      <c r="L36" s="338">
        <f>SUM(L33:L35)</f>
        <v>0</v>
      </c>
      <c r="M36" s="338">
        <f>SUM(M33:M35)</f>
        <v>0</v>
      </c>
      <c r="N36" s="339">
        <f>SUM(N33:N35)</f>
        <v>0</v>
      </c>
      <c r="O36" s="339">
        <f>SUM(O33:O35)</f>
        <v>0</v>
      </c>
      <c r="P36" s="340">
        <f>SUM(P33:P35)</f>
        <v>0</v>
      </c>
      <c r="Q36" s="279">
        <f>SUM(L36:P36)</f>
        <v>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4">
      <selection activeCell="F20" sqref="F20"/>
    </sheetView>
  </sheetViews>
  <sheetFormatPr defaultColWidth="0" defaultRowHeight="15" zeroHeight="1"/>
  <cols>
    <col min="1" max="1" width="2.7109375" style="25" customWidth="1"/>
    <col min="2" max="2" width="6.7109375" style="25" customWidth="1"/>
    <col min="3" max="3" width="11.8515625" style="25" customWidth="1"/>
    <col min="4" max="4" width="42.00390625" style="25" customWidth="1"/>
    <col min="5" max="5" width="29.7109375" style="25" customWidth="1"/>
    <col min="6" max="6" width="28.7109375" style="25" bestFit="1" customWidth="1"/>
    <col min="7" max="7" width="22.00390625" style="25" customWidth="1"/>
    <col min="8" max="8" width="20.140625" style="25" customWidth="1"/>
    <col min="9" max="9" width="19.140625" style="25" customWidth="1"/>
    <col min="10" max="11" width="17.7109375" style="25" customWidth="1"/>
    <col min="12" max="12" width="17.7109375" style="25" hidden="1" customWidth="1"/>
    <col min="13" max="14" width="22.421875" style="25" hidden="1" customWidth="1"/>
    <col min="15" max="15" width="21.00390625" style="25" hidden="1" customWidth="1"/>
    <col min="16" max="16" width="21.28125" style="25" hidden="1" customWidth="1"/>
    <col min="17" max="17" width="21.140625" style="25" hidden="1" customWidth="1"/>
    <col min="18" max="21" width="22.421875" style="25" hidden="1" customWidth="1"/>
    <col min="22" max="22" width="19.00390625" style="25" hidden="1" customWidth="1"/>
    <col min="23" max="16384" width="9.1406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2019-20</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Placer</v>
      </c>
      <c r="F9" s="226" t="s">
        <v>1</v>
      </c>
      <c r="G9" s="346">
        <f>IF(ISBLANK('1. Information'!D9),"",'1. Information'!D9)</f>
        <v>44227</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v>0</v>
      </c>
      <c r="G15" s="136"/>
      <c r="H15" s="136"/>
      <c r="I15" s="136"/>
      <c r="J15" s="136"/>
      <c r="K15" s="241">
        <f>SUM(F15:J15)</f>
        <v>0</v>
      </c>
      <c r="L15" s="175"/>
      <c r="M15" s="175"/>
      <c r="N15" s="27"/>
      <c r="O15" s="27"/>
    </row>
    <row r="16" spans="1:15" ht="15.75">
      <c r="A16" s="27"/>
      <c r="B16" s="300">
        <v>2</v>
      </c>
      <c r="C16" s="163" t="s">
        <v>14</v>
      </c>
      <c r="D16" s="242"/>
      <c r="E16" s="350"/>
      <c r="F16" s="136">
        <v>0</v>
      </c>
      <c r="G16" s="136"/>
      <c r="H16" s="136"/>
      <c r="I16" s="136"/>
      <c r="J16" s="136"/>
      <c r="K16" s="241">
        <f aca="true" t="shared" si="0" ref="K16:K21">SUM(F16:J16)</f>
        <v>0</v>
      </c>
      <c r="L16" s="175"/>
      <c r="M16" s="175"/>
      <c r="N16" s="27"/>
      <c r="O16" s="27"/>
    </row>
    <row r="17" spans="1:15" ht="15.75">
      <c r="A17" s="27"/>
      <c r="B17" s="300">
        <v>3</v>
      </c>
      <c r="C17" s="163" t="s">
        <v>198</v>
      </c>
      <c r="D17" s="242"/>
      <c r="E17" s="350"/>
      <c r="F17" s="136">
        <v>103496.07</v>
      </c>
      <c r="G17" s="136"/>
      <c r="H17" s="136"/>
      <c r="I17" s="136"/>
      <c r="J17" s="136"/>
      <c r="K17" s="241">
        <f t="shared" si="0"/>
        <v>103496.07</v>
      </c>
      <c r="L17" s="175"/>
      <c r="M17" s="175"/>
      <c r="N17" s="27"/>
      <c r="O17" s="27"/>
    </row>
    <row r="18" spans="1:15" ht="15.75">
      <c r="A18" s="27"/>
      <c r="B18" s="300">
        <v>4</v>
      </c>
      <c r="C18" s="163" t="s">
        <v>189</v>
      </c>
      <c r="D18" s="242"/>
      <c r="E18" s="350"/>
      <c r="F18" s="136">
        <v>0</v>
      </c>
      <c r="G18" s="275"/>
      <c r="H18" s="275"/>
      <c r="I18" s="275"/>
      <c r="J18" s="275"/>
      <c r="K18" s="241">
        <f>F18</f>
        <v>0</v>
      </c>
      <c r="L18" s="175"/>
      <c r="M18" s="175"/>
      <c r="N18" s="27"/>
      <c r="O18" s="27"/>
    </row>
    <row r="19" spans="1:15" ht="15.75">
      <c r="A19" s="27"/>
      <c r="B19" s="300">
        <v>5</v>
      </c>
      <c r="C19" s="163" t="s">
        <v>296</v>
      </c>
      <c r="D19" s="242"/>
      <c r="E19" s="350"/>
      <c r="F19" s="136">
        <v>0</v>
      </c>
      <c r="G19" s="275"/>
      <c r="H19" s="275"/>
      <c r="I19" s="275"/>
      <c r="J19" s="275"/>
      <c r="K19" s="241">
        <f>F19</f>
        <v>0</v>
      </c>
      <c r="L19" s="175"/>
      <c r="M19" s="175"/>
      <c r="N19" s="27"/>
      <c r="O19" s="27"/>
    </row>
    <row r="20" spans="1:15" ht="15.75">
      <c r="A20" s="27"/>
      <c r="B20" s="300">
        <v>6</v>
      </c>
      <c r="C20" s="242" t="s">
        <v>153</v>
      </c>
      <c r="D20" s="245"/>
      <c r="E20" s="243"/>
      <c r="F20" s="330">
        <f>SUM(E28:E32)</f>
        <v>124802.18000000001</v>
      </c>
      <c r="G20" s="351">
        <f>SUM(F28:F32)</f>
        <v>0</v>
      </c>
      <c r="H20" s="330">
        <f>SUM(G28:G32)</f>
        <v>0</v>
      </c>
      <c r="I20" s="330">
        <f>SUM(H28:H32)</f>
        <v>0</v>
      </c>
      <c r="J20" s="330">
        <f>SUM(I28:I32)</f>
        <v>0</v>
      </c>
      <c r="K20" s="246">
        <f t="shared" si="0"/>
        <v>124802.18000000001</v>
      </c>
      <c r="L20" s="175"/>
      <c r="M20" s="175"/>
      <c r="N20" s="27"/>
      <c r="O20" s="27"/>
    </row>
    <row r="21" spans="1:15" ht="30.75" customHeight="1">
      <c r="A21" s="27"/>
      <c r="B21" s="300">
        <v>7</v>
      </c>
      <c r="C21" s="277" t="s">
        <v>188</v>
      </c>
      <c r="D21" s="277"/>
      <c r="E21" s="277"/>
      <c r="F21" s="279">
        <f>SUM(F15:F17,F19:F20)</f>
        <v>228298.25</v>
      </c>
      <c r="G21" s="251">
        <f>SUM(G15:G17,G20)</f>
        <v>0</v>
      </c>
      <c r="H21" s="250">
        <f>SUM(H15:H17,H20)</f>
        <v>0</v>
      </c>
      <c r="I21" s="250">
        <f>SUM(I15:I17,I20)</f>
        <v>0</v>
      </c>
      <c r="J21" s="250">
        <f>SUM(J15:J17,J20)</f>
        <v>0</v>
      </c>
      <c r="K21" s="279">
        <f t="shared" si="0"/>
        <v>228298.25</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31</v>
      </c>
      <c r="D28" s="355" t="s">
        <v>98</v>
      </c>
      <c r="E28" s="31">
        <v>13277.44</v>
      </c>
      <c r="F28" s="32"/>
      <c r="G28" s="31"/>
      <c r="H28" s="31"/>
      <c r="I28" s="128"/>
      <c r="J28" s="275">
        <f>SUM(E28:I28)</f>
        <v>13277.44</v>
      </c>
      <c r="K28" s="175"/>
      <c r="L28" s="175"/>
      <c r="M28" s="175"/>
      <c r="N28" s="175"/>
      <c r="O28" s="175"/>
      <c r="P28" s="175"/>
      <c r="Q28" s="175"/>
      <c r="R28" s="175"/>
    </row>
    <row r="29" spans="1:18" ht="15.75">
      <c r="A29" s="27"/>
      <c r="B29" s="300">
        <v>9</v>
      </c>
      <c r="C29" s="301">
        <f>IF(J29&lt;&gt;0,VLOOKUP($D$9,Info_County_Code,2,FALSE),"")</f>
        <v>31</v>
      </c>
      <c r="D29" s="355" t="s">
        <v>99</v>
      </c>
      <c r="E29" s="31">
        <v>58521.86</v>
      </c>
      <c r="F29" s="32"/>
      <c r="G29" s="31"/>
      <c r="H29" s="31"/>
      <c r="I29" s="128"/>
      <c r="J29" s="275">
        <f>SUM(E29:I29)</f>
        <v>58521.86</v>
      </c>
      <c r="K29" s="175"/>
      <c r="L29" s="175"/>
      <c r="M29" s="175"/>
      <c r="N29" s="175"/>
      <c r="O29" s="175"/>
      <c r="P29" s="175"/>
      <c r="Q29" s="175"/>
      <c r="R29" s="175"/>
    </row>
    <row r="30" spans="1:18" ht="15.75">
      <c r="A30" s="27"/>
      <c r="B30" s="300">
        <v>10</v>
      </c>
      <c r="C30" s="301">
        <f>IF(J30&lt;&gt;0,VLOOKUP($D$9,Info_County_Code,2,FALSE),"")</f>
      </c>
      <c r="D30" s="219" t="s">
        <v>295</v>
      </c>
      <c r="E30" s="31"/>
      <c r="F30" s="32"/>
      <c r="G30" s="31"/>
      <c r="H30" s="31"/>
      <c r="I30" s="128"/>
      <c r="J30" s="275">
        <f>SUM(E30:I30)</f>
        <v>0</v>
      </c>
      <c r="K30" s="175"/>
      <c r="L30" s="175"/>
      <c r="M30" s="175"/>
      <c r="N30" s="175"/>
      <c r="O30" s="175"/>
      <c r="P30" s="175"/>
      <c r="Q30" s="175"/>
      <c r="R30" s="175"/>
    </row>
    <row r="31" spans="1:18" ht="15.75">
      <c r="A31" s="27"/>
      <c r="B31" s="354">
        <v>11</v>
      </c>
      <c r="C31" s="301">
        <f>IF(J31&lt;&gt;0,VLOOKUP($D$9,Info_County_Code,2,FALSE),"")</f>
        <v>31</v>
      </c>
      <c r="D31" s="355" t="s">
        <v>101</v>
      </c>
      <c r="E31" s="31">
        <v>52297.93</v>
      </c>
      <c r="F31" s="32"/>
      <c r="G31" s="31"/>
      <c r="H31" s="31"/>
      <c r="I31" s="128"/>
      <c r="J31" s="275">
        <f>SUM(E31:I31)</f>
        <v>52297.93</v>
      </c>
      <c r="K31" s="175"/>
      <c r="L31" s="175"/>
      <c r="M31" s="175"/>
      <c r="N31" s="175"/>
      <c r="O31" s="175"/>
      <c r="P31" s="175"/>
      <c r="Q31" s="175"/>
      <c r="R31" s="175"/>
    </row>
    <row r="32" spans="1:18" ht="15.75">
      <c r="A32" s="27"/>
      <c r="B32" s="300">
        <v>12</v>
      </c>
      <c r="C32" s="301">
        <f>IF(J32&lt;&gt;0,VLOOKUP($D$9,Info_County_Code,2,FALSE),"")</f>
        <v>31</v>
      </c>
      <c r="D32" s="355" t="s">
        <v>102</v>
      </c>
      <c r="E32" s="31">
        <v>704.95</v>
      </c>
      <c r="F32" s="32"/>
      <c r="G32" s="31"/>
      <c r="H32" s="31"/>
      <c r="I32" s="128"/>
      <c r="J32" s="275">
        <f>SUM(E32:I32)</f>
        <v>704.95</v>
      </c>
      <c r="K32" s="175"/>
      <c r="L32" s="175"/>
      <c r="M32" s="175"/>
      <c r="N32" s="175"/>
      <c r="O32" s="175"/>
      <c r="P32" s="175"/>
      <c r="Q32" s="175"/>
      <c r="R32" s="175"/>
    </row>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140625" style="173" hidden="1" customWidth="1"/>
    <col min="3" max="16384" width="9.1406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
      <selection activeCell="E31" sqref="E31"/>
    </sheetView>
  </sheetViews>
  <sheetFormatPr defaultColWidth="0" defaultRowHeight="15" zeroHeight="1"/>
  <cols>
    <col min="1" max="1" width="2.7109375" style="27" customWidth="1"/>
    <col min="2" max="2" width="6.7109375" style="27" customWidth="1"/>
    <col min="3" max="3" width="10.140625" style="27" bestFit="1" customWidth="1"/>
    <col min="4" max="5" width="50.7109375" style="27" customWidth="1"/>
    <col min="6" max="6" width="37.140625" style="27" bestFit="1" customWidth="1"/>
    <col min="7" max="7" width="20.1406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1" width="18.28125" style="175" hidden="1" customWidth="1"/>
    <col min="22" max="22" width="18.140625" style="175" hidden="1" customWidth="1"/>
    <col min="23" max="23" width="18.421875" style="175" hidden="1" customWidth="1"/>
    <col min="24" max="24" width="16.57421875" style="27" hidden="1" customWidth="1"/>
    <col min="25" max="26" width="22.140625" style="27" hidden="1" customWidth="1"/>
    <col min="27" max="16384" width="9.1406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2019-20</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Placer</v>
      </c>
      <c r="E9" s="8"/>
      <c r="F9" s="162" t="s">
        <v>1</v>
      </c>
      <c r="G9" s="264">
        <f>IF(ISBLANK('1. Information'!D9),"",'1. Information'!D9)</f>
        <v>44227</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v>0</v>
      </c>
      <c r="G15" s="136"/>
      <c r="H15" s="136"/>
      <c r="I15" s="136"/>
      <c r="J15" s="136"/>
      <c r="K15" s="326">
        <f>SUM(F15:J15)</f>
        <v>0</v>
      </c>
      <c r="L15" s="175"/>
      <c r="M15" s="175"/>
      <c r="U15" s="27"/>
      <c r="V15" s="27"/>
      <c r="W15" s="27"/>
    </row>
    <row r="16" spans="2:23" ht="15.75">
      <c r="B16" s="300">
        <v>2</v>
      </c>
      <c r="C16" s="162" t="s">
        <v>309</v>
      </c>
      <c r="D16" s="225"/>
      <c r="E16" s="358"/>
      <c r="F16" s="136">
        <v>0</v>
      </c>
      <c r="G16" s="136"/>
      <c r="H16" s="136"/>
      <c r="I16" s="136"/>
      <c r="J16" s="136"/>
      <c r="K16" s="326">
        <f>SUM(F16:J16)</f>
        <v>0</v>
      </c>
      <c r="L16" s="175"/>
      <c r="M16" s="175"/>
      <c r="U16" s="27"/>
      <c r="V16" s="27"/>
      <c r="W16" s="27"/>
    </row>
    <row r="17" spans="2:23" ht="15.75">
      <c r="B17" s="300">
        <v>3</v>
      </c>
      <c r="C17" s="162" t="s">
        <v>311</v>
      </c>
      <c r="D17" s="225"/>
      <c r="E17" s="358"/>
      <c r="F17" s="136">
        <v>0</v>
      </c>
      <c r="G17" s="136"/>
      <c r="H17" s="136"/>
      <c r="I17" s="136"/>
      <c r="J17" s="136"/>
      <c r="K17" s="326">
        <f>SUM(F17:J17)</f>
        <v>0</v>
      </c>
      <c r="L17" s="175"/>
      <c r="M17" s="175"/>
      <c r="U17" s="27"/>
      <c r="V17" s="27"/>
      <c r="W17" s="27"/>
    </row>
    <row r="18" spans="1:15" s="25" customFormat="1" ht="15.75">
      <c r="A18" s="27"/>
      <c r="B18" s="300">
        <v>4</v>
      </c>
      <c r="C18" s="163" t="s">
        <v>642</v>
      </c>
      <c r="D18" s="242"/>
      <c r="E18" s="350"/>
      <c r="F18" s="136">
        <v>0</v>
      </c>
      <c r="G18" s="275"/>
      <c r="H18" s="275"/>
      <c r="I18" s="275"/>
      <c r="J18" s="275"/>
      <c r="K18" s="241">
        <f>F18</f>
        <v>0</v>
      </c>
      <c r="L18" s="175"/>
      <c r="M18" s="175"/>
      <c r="N18" s="27"/>
      <c r="O18" s="27"/>
    </row>
    <row r="19" spans="1:15" s="25" customFormat="1" ht="15.75">
      <c r="A19" s="27"/>
      <c r="B19" s="300">
        <v>5</v>
      </c>
      <c r="C19" s="163" t="s">
        <v>643</v>
      </c>
      <c r="D19" s="242"/>
      <c r="E19" s="350"/>
      <c r="F19" s="136">
        <v>0</v>
      </c>
      <c r="G19" s="275"/>
      <c r="H19" s="275"/>
      <c r="I19" s="275"/>
      <c r="J19" s="275"/>
      <c r="K19" s="241">
        <f>F19</f>
        <v>0</v>
      </c>
      <c r="L19" s="175"/>
      <c r="M19" s="175"/>
      <c r="N19" s="27"/>
      <c r="O19" s="27"/>
    </row>
    <row r="20" spans="2:23" ht="15.75">
      <c r="B20" s="300">
        <v>6</v>
      </c>
      <c r="C20" s="162" t="s">
        <v>310</v>
      </c>
      <c r="D20" s="225"/>
      <c r="E20" s="240"/>
      <c r="F20" s="351">
        <f>SUM(G27:G46)</f>
        <v>2486687.16</v>
      </c>
      <c r="G20" s="351">
        <f>SUM(H27:H46)</f>
        <v>0</v>
      </c>
      <c r="H20" s="330">
        <f>SUM(I27:I46)</f>
        <v>0</v>
      </c>
      <c r="I20" s="330">
        <f>SUM(J27:J46)</f>
        <v>0</v>
      </c>
      <c r="J20" s="275">
        <f>SUM(K27:K46)</f>
        <v>0</v>
      </c>
      <c r="K20" s="326">
        <f>SUM(F20:J20)</f>
        <v>2486687.16</v>
      </c>
      <c r="L20" s="175"/>
      <c r="M20" s="175"/>
      <c r="U20" s="27"/>
      <c r="V20" s="27"/>
      <c r="W20" s="27"/>
    </row>
    <row r="21" spans="2:23" ht="30.75" customHeight="1">
      <c r="B21" s="300">
        <v>7</v>
      </c>
      <c r="C21" s="359" t="s">
        <v>768</v>
      </c>
      <c r="D21" s="360"/>
      <c r="E21" s="361"/>
      <c r="F21" s="279">
        <f>SUM(F15:F17,F19:F20)</f>
        <v>2486687.16</v>
      </c>
      <c r="G21" s="251">
        <f>SUM(G15:G17,G20)</f>
        <v>0</v>
      </c>
      <c r="H21" s="251">
        <f>SUM(H15:H17,H20)</f>
        <v>0</v>
      </c>
      <c r="I21" s="251">
        <f>SUM(I15:I17,I20)</f>
        <v>0</v>
      </c>
      <c r="J21" s="251">
        <f>SUM(J15:J17,J20)</f>
        <v>0</v>
      </c>
      <c r="K21" s="250">
        <f>SUM(F21:J21)</f>
        <v>2486687.16</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30.75">
      <c r="B27" s="300">
        <v>8</v>
      </c>
      <c r="C27" s="301">
        <f aca="true" t="shared" si="0" ref="C27:C46">IF(L27&lt;&gt;0,VLOOKUP($D$9,Info_County_Code,2,FALSE),"")</f>
        <v>31</v>
      </c>
      <c r="D27" s="134" t="s">
        <v>858</v>
      </c>
      <c r="E27" s="134"/>
      <c r="F27" s="415" t="s">
        <v>155</v>
      </c>
      <c r="G27" s="126">
        <v>86687.16</v>
      </c>
      <c r="H27" s="126"/>
      <c r="I27" s="126"/>
      <c r="J27" s="129"/>
      <c r="K27" s="126"/>
      <c r="L27" s="364">
        <f>SUM(G27:K27)</f>
        <v>86687.16</v>
      </c>
      <c r="M27" s="175"/>
      <c r="U27" s="27"/>
      <c r="V27" s="27"/>
      <c r="W27" s="27"/>
    </row>
    <row r="28" spans="2:23" ht="15.75">
      <c r="B28" s="300">
        <v>9</v>
      </c>
      <c r="C28" s="301">
        <f t="shared" si="0"/>
        <v>31</v>
      </c>
      <c r="D28" s="134" t="s">
        <v>859</v>
      </c>
      <c r="E28" s="144"/>
      <c r="F28" s="415" t="s">
        <v>154</v>
      </c>
      <c r="G28" s="126">
        <v>2400000</v>
      </c>
      <c r="H28" s="126"/>
      <c r="I28" s="126"/>
      <c r="J28" s="129"/>
      <c r="K28" s="126"/>
      <c r="L28" s="364">
        <f aca="true" t="shared" si="1" ref="L28:L46">SUM(G28:K28)</f>
        <v>2400000</v>
      </c>
      <c r="M28" s="175"/>
      <c r="U28" s="27"/>
      <c r="V28" s="27"/>
      <c r="W28" s="27"/>
    </row>
    <row r="29" spans="2:23" ht="30.75">
      <c r="B29" s="300">
        <v>10</v>
      </c>
      <c r="C29" s="301">
        <f t="shared" si="0"/>
      </c>
      <c r="D29" s="134" t="s">
        <v>871</v>
      </c>
      <c r="E29" s="144"/>
      <c r="F29" s="415" t="s">
        <v>154</v>
      </c>
      <c r="G29" s="126">
        <v>0</v>
      </c>
      <c r="H29" s="126"/>
      <c r="I29" s="126"/>
      <c r="J29" s="129"/>
      <c r="K29" s="126"/>
      <c r="L29" s="364">
        <f t="shared" si="1"/>
        <v>0</v>
      </c>
      <c r="M29" s="175"/>
      <c r="U29" s="27"/>
      <c r="V29" s="27"/>
      <c r="W29" s="27"/>
    </row>
    <row r="30" spans="2:23" ht="15.75">
      <c r="B30" s="300">
        <v>11</v>
      </c>
      <c r="C30" s="301">
        <f t="shared" si="0"/>
      </c>
      <c r="D30" s="134" t="s">
        <v>872</v>
      </c>
      <c r="E30" s="144"/>
      <c r="F30" s="415" t="s">
        <v>155</v>
      </c>
      <c r="G30" s="126">
        <v>0</v>
      </c>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140625" style="173" customWidth="1"/>
    <col min="2" max="2" width="9.140625" style="173" hidden="1" customWidth="1"/>
    <col min="3" max="16384" width="9.1406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31">
      <selection activeCell="G53" sqref="G53"/>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140625" style="402" customWidth="1"/>
    <col min="6" max="6" width="20.140625" style="402" customWidth="1"/>
    <col min="7" max="7" width="30.00390625" style="402" customWidth="1"/>
    <col min="8" max="8" width="54.28125" style="27" customWidth="1"/>
    <col min="9" max="13" width="11.7109375" style="27" hidden="1" customWidth="1"/>
    <col min="14" max="16384" width="9.1406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2019-20</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Placer</v>
      </c>
      <c r="E9" s="2"/>
      <c r="F9" s="365" t="s">
        <v>156</v>
      </c>
      <c r="G9" s="264">
        <f>IF(ISBLANK('1. Information'!D9),"",'1. Information'!D9)</f>
        <v>44227</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30">
      <c r="B15" s="300">
        <v>1</v>
      </c>
      <c r="C15" s="301">
        <f aca="true" t="shared" si="0" ref="C15:C44">IF(G15&lt;&gt;0,VLOOKUP($D$9,Info_County_Code,2,FALSE),"")</f>
        <v>31</v>
      </c>
      <c r="D15" s="40" t="s">
        <v>28</v>
      </c>
      <c r="E15" s="40" t="s">
        <v>861</v>
      </c>
      <c r="F15" s="150" t="s">
        <v>862</v>
      </c>
      <c r="G15" s="132">
        <v>-88505</v>
      </c>
      <c r="H15" s="134" t="s">
        <v>863</v>
      </c>
    </row>
    <row r="16" spans="2:8" ht="30">
      <c r="B16" s="300">
        <v>2</v>
      </c>
      <c r="C16" s="301">
        <f t="shared" si="0"/>
        <v>31</v>
      </c>
      <c r="D16" s="40" t="s">
        <v>32</v>
      </c>
      <c r="E16" s="40" t="s">
        <v>861</v>
      </c>
      <c r="F16" s="150" t="s">
        <v>864</v>
      </c>
      <c r="G16" s="132">
        <v>616.39</v>
      </c>
      <c r="H16" s="134" t="s">
        <v>865</v>
      </c>
    </row>
    <row r="17" spans="2:8" ht="30">
      <c r="B17" s="300">
        <v>3</v>
      </c>
      <c r="C17" s="301">
        <f t="shared" si="0"/>
        <v>31</v>
      </c>
      <c r="D17" s="40" t="s">
        <v>28</v>
      </c>
      <c r="E17" s="40" t="s">
        <v>866</v>
      </c>
      <c r="F17" s="150" t="s">
        <v>864</v>
      </c>
      <c r="G17" s="132">
        <v>-321804.52</v>
      </c>
      <c r="H17" s="134" t="s">
        <v>867</v>
      </c>
    </row>
    <row r="18" spans="2:8" ht="30">
      <c r="B18" s="300">
        <v>4</v>
      </c>
      <c r="C18" s="301">
        <f t="shared" si="0"/>
        <v>31</v>
      </c>
      <c r="D18" s="40" t="s">
        <v>29</v>
      </c>
      <c r="E18" s="40" t="s">
        <v>866</v>
      </c>
      <c r="F18" s="150" t="s">
        <v>864</v>
      </c>
      <c r="G18" s="132">
        <v>-80451.13</v>
      </c>
      <c r="H18" s="134" t="s">
        <v>867</v>
      </c>
    </row>
    <row r="19" spans="2:8" ht="30">
      <c r="B19" s="300">
        <v>5</v>
      </c>
      <c r="C19" s="301">
        <f t="shared" si="0"/>
        <v>31</v>
      </c>
      <c r="D19" s="40" t="s">
        <v>30</v>
      </c>
      <c r="E19" s="40" t="s">
        <v>866</v>
      </c>
      <c r="F19" s="150" t="s">
        <v>864</v>
      </c>
      <c r="G19" s="132">
        <v>-21171.35</v>
      </c>
      <c r="H19" s="134" t="s">
        <v>867</v>
      </c>
    </row>
    <row r="20" spans="2:8" ht="45">
      <c r="B20" s="300">
        <v>6</v>
      </c>
      <c r="C20" s="301">
        <f t="shared" si="0"/>
        <v>31</v>
      </c>
      <c r="D20" s="40" t="s">
        <v>28</v>
      </c>
      <c r="E20" s="40" t="s">
        <v>861</v>
      </c>
      <c r="F20" s="150" t="s">
        <v>864</v>
      </c>
      <c r="G20" s="132">
        <v>-855602</v>
      </c>
      <c r="H20" s="134" t="s">
        <v>868</v>
      </c>
    </row>
    <row r="21" spans="2:8" ht="45">
      <c r="B21" s="300">
        <v>7</v>
      </c>
      <c r="C21" s="301">
        <f t="shared" si="0"/>
        <v>31</v>
      </c>
      <c r="D21" s="40" t="s">
        <v>28</v>
      </c>
      <c r="E21" s="40" t="s">
        <v>861</v>
      </c>
      <c r="F21" s="150" t="s">
        <v>864</v>
      </c>
      <c r="G21" s="132">
        <v>-504111</v>
      </c>
      <c r="H21" s="134" t="s">
        <v>868</v>
      </c>
    </row>
    <row r="22" spans="2:8" ht="45">
      <c r="B22" s="300">
        <v>8</v>
      </c>
      <c r="C22" s="301">
        <f t="shared" si="0"/>
        <v>31</v>
      </c>
      <c r="D22" s="40" t="s">
        <v>28</v>
      </c>
      <c r="E22" s="40" t="s">
        <v>861</v>
      </c>
      <c r="F22" s="150" t="s">
        <v>864</v>
      </c>
      <c r="G22" s="132">
        <v>-387777</v>
      </c>
      <c r="H22" s="134" t="s">
        <v>868</v>
      </c>
    </row>
    <row r="23" spans="2:8" ht="45">
      <c r="B23" s="300">
        <v>9</v>
      </c>
      <c r="C23" s="301">
        <f t="shared" si="0"/>
        <v>31</v>
      </c>
      <c r="D23" s="40" t="s">
        <v>28</v>
      </c>
      <c r="E23" s="40" t="s">
        <v>861</v>
      </c>
      <c r="F23" s="150" t="s">
        <v>864</v>
      </c>
      <c r="G23" s="132">
        <v>-400703</v>
      </c>
      <c r="H23" s="134" t="s">
        <v>868</v>
      </c>
    </row>
    <row r="24" spans="2:8" ht="45">
      <c r="B24" s="300">
        <v>10</v>
      </c>
      <c r="C24" s="301">
        <f t="shared" si="0"/>
        <v>31</v>
      </c>
      <c r="D24" s="40" t="s">
        <v>28</v>
      </c>
      <c r="E24" s="40" t="s">
        <v>861</v>
      </c>
      <c r="F24" s="150" t="s">
        <v>864</v>
      </c>
      <c r="G24" s="132">
        <v>-225856</v>
      </c>
      <c r="H24" s="134" t="s">
        <v>868</v>
      </c>
    </row>
    <row r="25" spans="2:8" ht="30">
      <c r="B25" s="300">
        <v>11</v>
      </c>
      <c r="C25" s="301">
        <f t="shared" si="0"/>
        <v>31</v>
      </c>
      <c r="D25" s="40" t="s">
        <v>28</v>
      </c>
      <c r="E25" s="40" t="s">
        <v>866</v>
      </c>
      <c r="F25" s="150" t="s">
        <v>860</v>
      </c>
      <c r="G25" s="132">
        <v>61437.59</v>
      </c>
      <c r="H25" s="134" t="s">
        <v>869</v>
      </c>
    </row>
    <row r="26" spans="2:8" ht="30">
      <c r="B26" s="300">
        <v>12</v>
      </c>
      <c r="C26" s="301">
        <f t="shared" si="0"/>
        <v>31</v>
      </c>
      <c r="D26" s="40" t="s">
        <v>29</v>
      </c>
      <c r="E26" s="40" t="s">
        <v>866</v>
      </c>
      <c r="F26" s="150" t="s">
        <v>860</v>
      </c>
      <c r="G26" s="132">
        <v>15359.4</v>
      </c>
      <c r="H26" s="134" t="s">
        <v>869</v>
      </c>
    </row>
    <row r="27" spans="2:8" ht="30">
      <c r="B27" s="300">
        <v>13</v>
      </c>
      <c r="C27" s="301">
        <f t="shared" si="0"/>
        <v>31</v>
      </c>
      <c r="D27" s="40" t="s">
        <v>30</v>
      </c>
      <c r="E27" s="40" t="s">
        <v>866</v>
      </c>
      <c r="F27" s="150" t="s">
        <v>860</v>
      </c>
      <c r="G27" s="132">
        <v>4041.95</v>
      </c>
      <c r="H27" s="134" t="s">
        <v>869</v>
      </c>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90">
      <c r="B51" s="300">
        <v>31</v>
      </c>
      <c r="C51" s="301">
        <f aca="true" t="shared" si="1" ref="C51:C80">IF(F51&lt;&gt;0,VLOOKUP($D$9,Info_County_Code,2,FALSE),"")</f>
        <v>31</v>
      </c>
      <c r="D51" s="372" t="s">
        <v>166</v>
      </c>
      <c r="E51" s="418" t="s">
        <v>864</v>
      </c>
      <c r="F51" s="419">
        <v>0.13</v>
      </c>
      <c r="G51" s="134" t="s">
        <v>870</v>
      </c>
    </row>
    <row r="52" spans="2:7" ht="60">
      <c r="B52" s="300">
        <v>32</v>
      </c>
      <c r="C52" s="301">
        <f t="shared" si="1"/>
        <v>31</v>
      </c>
      <c r="D52" s="372" t="s">
        <v>166</v>
      </c>
      <c r="E52" s="418" t="s">
        <v>860</v>
      </c>
      <c r="F52" s="419">
        <v>-0.37</v>
      </c>
      <c r="G52" s="134" t="s">
        <v>890</v>
      </c>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140625" style="166" hidden="1" customWidth="1"/>
    <col min="3" max="16384" width="9.1406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15" sqref="D15:H27"/>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8515625" style="27" bestFit="1" customWidth="1"/>
    <col min="10" max="14" width="11.7109375" style="27" hidden="1" customWidth="1"/>
    <col min="15" max="16384" width="21.1406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2019-20</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Placer</v>
      </c>
      <c r="F9" s="226" t="s">
        <v>1</v>
      </c>
      <c r="G9" s="346">
        <f>IF(ISBLANK('1. Information'!D9),"",'1. Information'!D9)</f>
        <v>44227</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140625" style="166" customWidth="1"/>
    <col min="2" max="2" width="9.140625" style="166" hidden="1" customWidth="1"/>
    <col min="3" max="16384" width="9.1406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1">
      <selection activeCell="D10" sqref="D10"/>
    </sheetView>
  </sheetViews>
  <sheetFormatPr defaultColWidth="0" defaultRowHeight="15" zeroHeight="1"/>
  <cols>
    <col min="1" max="1" width="2.7109375" style="25" customWidth="1"/>
    <col min="2" max="2" width="6.7109375" style="25" customWidth="1"/>
    <col min="3" max="4" width="50.7109375" style="25" customWidth="1"/>
    <col min="5" max="5" width="9.140625" style="25" customWidth="1"/>
    <col min="6" max="7" width="9.1406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2019-20</v>
      </c>
      <c r="C6" s="1"/>
      <c r="D6" s="1"/>
    </row>
    <row r="7" spans="2:5" ht="18">
      <c r="B7" s="382" t="s">
        <v>282</v>
      </c>
      <c r="C7" s="1"/>
      <c r="D7" s="1"/>
      <c r="E7" s="27"/>
    </row>
    <row r="8" ht="15">
      <c r="D8" s="131"/>
    </row>
    <row r="9" spans="2:4" ht="34.5" customHeight="1">
      <c r="B9" s="203">
        <v>1</v>
      </c>
      <c r="C9" s="209" t="s">
        <v>1</v>
      </c>
      <c r="D9" s="113">
        <v>44227</v>
      </c>
    </row>
    <row r="10" spans="2:4" ht="34.5" customHeight="1">
      <c r="B10" s="203">
        <v>2</v>
      </c>
      <c r="C10" s="205" t="s">
        <v>303</v>
      </c>
      <c r="D10" s="151" t="s">
        <v>782</v>
      </c>
    </row>
    <row r="11" spans="2:4" ht="34.5" customHeight="1">
      <c r="B11" s="203">
        <v>3</v>
      </c>
      <c r="C11" s="204" t="s">
        <v>0</v>
      </c>
      <c r="D11" s="135" t="s">
        <v>66</v>
      </c>
    </row>
    <row r="12" spans="2:4" ht="34.5" customHeight="1">
      <c r="B12" s="203">
        <v>4</v>
      </c>
      <c r="C12" s="206" t="s">
        <v>113</v>
      </c>
      <c r="D12" s="182">
        <f>IF(ISBLANK(D11),"",VLOOKUP(D11,Info_County_Code,2))</f>
        <v>31</v>
      </c>
    </row>
    <row r="13" spans="2:4" ht="34.5" customHeight="1">
      <c r="B13" s="203">
        <v>5</v>
      </c>
      <c r="C13" s="204" t="s">
        <v>114</v>
      </c>
      <c r="D13" s="412" t="s">
        <v>783</v>
      </c>
    </row>
    <row r="14" spans="2:4" ht="34.5" customHeight="1">
      <c r="B14" s="203">
        <v>6</v>
      </c>
      <c r="C14" s="204" t="s">
        <v>115</v>
      </c>
      <c r="D14" s="135" t="s">
        <v>784</v>
      </c>
    </row>
    <row r="15" spans="2:4" ht="34.5" customHeight="1">
      <c r="B15" s="203">
        <v>7</v>
      </c>
      <c r="C15" s="204" t="s">
        <v>116</v>
      </c>
      <c r="D15" s="172">
        <v>95603</v>
      </c>
    </row>
    <row r="16" spans="2:4" ht="34.5" customHeight="1">
      <c r="B16" s="203">
        <v>8</v>
      </c>
      <c r="C16" s="207" t="s">
        <v>162</v>
      </c>
      <c r="D16" s="183" t="str">
        <f>IF(ISBLANK(D11),"",VLOOKUP(D11,County_Population,5,FALSE))</f>
        <v>Yes</v>
      </c>
    </row>
    <row r="17" spans="2:4" ht="34.5" customHeight="1">
      <c r="B17" s="203">
        <v>9</v>
      </c>
      <c r="C17" s="204" t="s">
        <v>112</v>
      </c>
      <c r="D17" s="135" t="s">
        <v>785</v>
      </c>
    </row>
    <row r="18" spans="2:4" ht="34.5" customHeight="1">
      <c r="B18" s="203">
        <v>10</v>
      </c>
      <c r="C18" s="208" t="s">
        <v>167</v>
      </c>
      <c r="D18" s="413" t="s">
        <v>787</v>
      </c>
    </row>
    <row r="19" spans="2:4" ht="34.5" customHeight="1">
      <c r="B19" s="203">
        <v>11</v>
      </c>
      <c r="C19" s="208" t="s">
        <v>184</v>
      </c>
      <c r="D19" s="413" t="s">
        <v>786</v>
      </c>
    </row>
    <row r="20" spans="2:4" ht="34.5" customHeight="1">
      <c r="B20" s="203">
        <v>12</v>
      </c>
      <c r="C20" s="209" t="s">
        <v>280</v>
      </c>
      <c r="D20" s="414" t="s">
        <v>788</v>
      </c>
    </row>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7" sqref="E27"/>
    </sheetView>
  </sheetViews>
  <sheetFormatPr defaultColWidth="0" defaultRowHeight="15" zeroHeight="1"/>
  <cols>
    <col min="1" max="1" width="2.7109375" style="25" customWidth="1"/>
    <col min="2" max="2" width="11.00390625" style="25" customWidth="1"/>
    <col min="3" max="3" width="22.140625" style="25" customWidth="1"/>
    <col min="4" max="4" width="13.140625" style="25" bestFit="1" customWidth="1"/>
    <col min="5" max="5" width="72.421875" style="25" customWidth="1"/>
    <col min="6" max="6" width="19.421875" style="25" customWidth="1"/>
    <col min="7" max="7" width="15.7109375" style="25" customWidth="1"/>
    <col min="8" max="18" width="9.140625" style="25" hidden="1" customWidth="1"/>
    <col min="19" max="30" width="0" style="25" hidden="1" customWidth="1"/>
    <col min="31" max="16384" width="9.1406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2019-20</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Placer</v>
      </c>
      <c r="F9" s="226" t="s">
        <v>1</v>
      </c>
      <c r="G9" s="346">
        <f>IF(ISBLANK('1. Information'!D9),"",'1. Information'!D9)</f>
        <v>44227</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45">
      <c r="B13" s="375">
        <v>1</v>
      </c>
      <c r="C13" s="169" t="s">
        <v>166</v>
      </c>
      <c r="D13" s="169" t="s">
        <v>860</v>
      </c>
      <c r="E13" s="117" t="s">
        <v>891</v>
      </c>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5" ht="15" hidden="1">
      <c r="S55" s="114"/>
    </row>
    <row r="66" ht="15" hidden="1">
      <c r="L66" s="115"/>
    </row>
    <row r="70" ht="15" hidden="1">
      <c r="M70" s="116"/>
    </row>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1406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140625" defaultRowHeight="15"/>
  <cols>
    <col min="1" max="1" width="14.8515625" style="130" bestFit="1" customWidth="1"/>
    <col min="2" max="3" width="22.140625" style="130" bestFit="1" customWidth="1"/>
    <col min="4" max="4" width="20.140625" style="130" bestFit="1" customWidth="1"/>
    <col min="5" max="5" width="18.8515625" style="130" bestFit="1" customWidth="1"/>
    <col min="6" max="6" width="3.8515625" style="130" customWidth="1"/>
    <col min="7" max="7" width="34.7109375" style="130" customWidth="1"/>
    <col min="8" max="8" width="17.7109375" style="130" customWidth="1"/>
    <col min="9" max="9" width="12.00390625" style="130" customWidth="1"/>
    <col min="10" max="16384" width="9.1406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Placer</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26" bestFit="1" customWidth="1"/>
    <col min="2" max="2" width="5.421875" style="26" customWidth="1"/>
    <col min="3" max="3" width="18.8515625" style="26" bestFit="1" customWidth="1"/>
    <col min="4" max="4" width="17.8515625" style="26" customWidth="1"/>
    <col min="5" max="5" width="18.00390625" style="26" customWidth="1"/>
    <col min="6" max="6" width="36.8515625" style="26" bestFit="1" customWidth="1"/>
    <col min="7" max="7" width="27.140625" style="26" customWidth="1"/>
    <col min="8" max="8" width="31.57421875" style="26" bestFit="1" customWidth="1"/>
    <col min="9" max="9" width="25.28125" style="26" customWidth="1"/>
    <col min="10" max="10" width="24.140625" style="26" customWidth="1"/>
    <col min="11" max="11" width="26.00390625" style="26" bestFit="1" customWidth="1"/>
    <col min="12" max="12" width="24.28125" style="26" bestFit="1" customWidth="1"/>
    <col min="13" max="13" width="35.8515625" style="26" customWidth="1"/>
    <col min="14" max="14" width="23.140625" style="26" bestFit="1" customWidth="1"/>
    <col min="15" max="15" width="11.7109375" style="26" customWidth="1"/>
    <col min="16" max="16" width="9.140625" style="26" customWidth="1"/>
    <col min="17" max="16384" width="9.140625" style="26" customWidth="1"/>
  </cols>
  <sheetData>
    <row r="1" spans="1:15" ht="32.25" thickBot="1">
      <c r="A1" s="420" t="s">
        <v>148</v>
      </c>
      <c r="B1" s="421"/>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55" customWidth="1"/>
    <col min="2" max="2" width="14.851562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23" t="s">
        <v>171</v>
      </c>
      <c r="B2" s="423"/>
      <c r="C2" s="423"/>
      <c r="D2" s="423"/>
      <c r="E2" s="423"/>
    </row>
    <row r="3" spans="1:5" ht="14.25" customHeight="1">
      <c r="A3" s="423" t="s">
        <v>235</v>
      </c>
      <c r="B3" s="423"/>
      <c r="C3" s="423"/>
      <c r="D3" s="423"/>
      <c r="E3" s="423"/>
    </row>
    <row r="4" spans="1:4" ht="14.25" customHeight="1" thickBot="1">
      <c r="A4" s="57"/>
      <c r="B4" s="58"/>
      <c r="C4" s="59"/>
      <c r="D4" s="60"/>
    </row>
    <row r="5" spans="1:5" ht="14.25" customHeight="1">
      <c r="A5" s="61" t="s">
        <v>172</v>
      </c>
      <c r="B5" s="422" t="s">
        <v>173</v>
      </c>
      <c r="C5" s="422"/>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140625" style="384" hidden="1" customWidth="1"/>
    <col min="5" max="16384" width="9.1406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A7">
      <selection activeCell="C41" sqref="C41"/>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140625" style="122" hidden="1" customWidth="1"/>
    <col min="13" max="16384" width="9.1406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2019-20</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Placer</v>
      </c>
      <c r="F9" s="210" t="s">
        <v>1</v>
      </c>
      <c r="G9" s="185">
        <f>IF(ISBLANK('1. Information'!D9),"",'1. Information'!D9)</f>
        <v>44227</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v>284105.9</v>
      </c>
      <c r="E14" s="149">
        <v>71026.47</v>
      </c>
      <c r="F14" s="149">
        <v>18691.18</v>
      </c>
      <c r="G14" s="149">
        <v>0</v>
      </c>
      <c r="H14" s="149">
        <v>0</v>
      </c>
      <c r="I14" s="186">
        <f>SUM(D14:H14)</f>
        <v>373823.55</v>
      </c>
    </row>
    <row r="15" spans="2:9" ht="15">
      <c r="B15" s="218">
        <v>2</v>
      </c>
      <c r="C15" s="219" t="s">
        <v>278</v>
      </c>
      <c r="D15" s="164">
        <v>0</v>
      </c>
      <c r="E15" s="164">
        <v>0</v>
      </c>
      <c r="F15" s="164">
        <v>0</v>
      </c>
      <c r="G15" s="164">
        <v>0</v>
      </c>
      <c r="H15" s="164">
        <v>0</v>
      </c>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4399471.13</v>
      </c>
      <c r="G19" s="122"/>
      <c r="H19" s="122"/>
      <c r="I19" s="122"/>
    </row>
    <row r="20" spans="2:9" ht="15">
      <c r="B20" s="216">
        <v>4</v>
      </c>
      <c r="C20" s="220" t="s">
        <v>22</v>
      </c>
      <c r="D20" s="149">
        <v>1579807</v>
      </c>
      <c r="E20" s="149">
        <v>0</v>
      </c>
      <c r="F20" s="187">
        <f>-D20-E20</f>
        <v>-1579807</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-0.24</v>
      </c>
      <c r="G22" s="122"/>
      <c r="H22" s="122"/>
      <c r="I22" s="122"/>
    </row>
    <row r="23" spans="2:9" ht="15">
      <c r="B23" s="211">
        <v>7</v>
      </c>
      <c r="C23" s="217" t="s">
        <v>236</v>
      </c>
      <c r="D23" s="193"/>
      <c r="E23" s="193"/>
      <c r="F23" s="189">
        <f>F19+F20+F21+F22</f>
        <v>2819663.8899999997</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-3135508</v>
      </c>
      <c r="E27" s="188">
        <f>'3. CSS'!F21</f>
        <v>0</v>
      </c>
      <c r="F27" s="186">
        <f>'3. CSS'!F22</f>
        <v>385000</v>
      </c>
      <c r="G27" s="194">
        <f>'3. CSS'!F23</f>
        <v>2750508</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16849697.880000003</v>
      </c>
      <c r="E31" s="194">
        <f>'4. PEI'!F22</f>
        <v>2973465.3799999994</v>
      </c>
      <c r="F31" s="194">
        <f>'5. INN'!F23</f>
        <v>891726</v>
      </c>
      <c r="G31" s="194">
        <f>'6. WET'!F21</f>
        <v>228298.25</v>
      </c>
      <c r="H31" s="194">
        <f>'7. CFTN'!F21</f>
        <v>2486687.16</v>
      </c>
      <c r="I31" s="194">
        <f>SUM(D31:H31)</f>
        <v>23429874.67</v>
      </c>
    </row>
    <row r="32" spans="2:9" ht="15">
      <c r="B32" s="211">
        <v>10</v>
      </c>
      <c r="C32" s="223" t="s">
        <v>4</v>
      </c>
      <c r="D32" s="189">
        <f>'3. CSS'!G27</f>
        <v>2482365.57</v>
      </c>
      <c r="E32" s="189">
        <f>'4. PEI'!G22</f>
        <v>59719</v>
      </c>
      <c r="F32" s="189">
        <f>'5. INN'!G23</f>
        <v>0</v>
      </c>
      <c r="G32" s="189">
        <f>'6. WET'!G21</f>
        <v>0</v>
      </c>
      <c r="H32" s="189">
        <f>'7. CFTN'!G21</f>
        <v>0</v>
      </c>
      <c r="I32" s="194">
        <f>SUM(D32:H32)</f>
        <v>2542084.57</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0</v>
      </c>
      <c r="E34" s="189">
        <f>'4. PEI'!I22</f>
        <v>0</v>
      </c>
      <c r="F34" s="189">
        <f>'5. INN'!I23</f>
        <v>0</v>
      </c>
      <c r="G34" s="189">
        <f>'6. WET'!I21</f>
        <v>0</v>
      </c>
      <c r="H34" s="189">
        <f>'7. CFTN'!I21</f>
        <v>0</v>
      </c>
      <c r="I34" s="194">
        <f>SUM(D34:H34)</f>
        <v>0</v>
      </c>
    </row>
    <row r="35" spans="2:9" ht="15">
      <c r="B35" s="211">
        <v>13</v>
      </c>
      <c r="C35" s="223" t="s">
        <v>12</v>
      </c>
      <c r="D35" s="189">
        <f>'3. CSS'!J27</f>
        <v>0</v>
      </c>
      <c r="E35" s="189">
        <f>'4. PEI'!J22</f>
        <v>0</v>
      </c>
      <c r="F35" s="189">
        <f>'5. INN'!J23</f>
        <v>0</v>
      </c>
      <c r="G35" s="189">
        <f>'6. WET'!J21</f>
        <v>0</v>
      </c>
      <c r="H35" s="189">
        <f>'7. CFTN'!J21</f>
        <v>0</v>
      </c>
      <c r="I35" s="194">
        <f>SUM(D35:H35)</f>
        <v>0</v>
      </c>
    </row>
    <row r="36" spans="2:9" ht="15.75">
      <c r="B36" s="211">
        <v>14</v>
      </c>
      <c r="C36" s="224" t="s">
        <v>21</v>
      </c>
      <c r="D36" s="195">
        <f>SUM(D31:D35)</f>
        <v>19332063.450000003</v>
      </c>
      <c r="E36" s="195">
        <f>SUM(E31:E35)</f>
        <v>3033184.3799999994</v>
      </c>
      <c r="F36" s="195">
        <f>SUM(F31:F35)</f>
        <v>891726</v>
      </c>
      <c r="G36" s="195">
        <f>SUM(G31:G35)</f>
        <v>228298.25</v>
      </c>
      <c r="H36" s="195">
        <f>SUM(H31:H35)</f>
        <v>2486687.16</v>
      </c>
      <c r="I36" s="196">
        <f>SUM(D36:H36)</f>
        <v>25971959.240000002</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57885.76</v>
      </c>
      <c r="E40" s="154"/>
      <c r="F40" s="120"/>
      <c r="H40" s="120"/>
      <c r="I40" s="122"/>
    </row>
    <row r="41" spans="2:9" ht="15.75">
      <c r="B41" s="211">
        <v>16</v>
      </c>
      <c r="C41" s="162" t="s">
        <v>19</v>
      </c>
      <c r="D41" s="197">
        <f>'3. CSS'!F16+'4. PEI'!F16+'5. INN'!F20+'6. WET'!F16+'7. CFTN'!F16</f>
        <v>338907</v>
      </c>
      <c r="E41" s="121"/>
      <c r="F41" s="120"/>
      <c r="G41" s="120"/>
      <c r="H41" s="120"/>
      <c r="I41" s="122"/>
    </row>
    <row r="42" spans="2:9" ht="15.75">
      <c r="B42" s="211">
        <v>17</v>
      </c>
      <c r="C42" s="162" t="s">
        <v>20</v>
      </c>
      <c r="D42" s="198">
        <f>'3. CSS'!F17+'4. PEI'!F17+'5. INN'!F16+'5. INN'!F19+'6. WET'!F17+'7. CFTN'!F17</f>
        <v>5040458.83</v>
      </c>
      <c r="E42" s="121"/>
      <c r="F42" s="120"/>
      <c r="G42" s="120"/>
      <c r="H42" s="120"/>
      <c r="I42" s="122"/>
    </row>
    <row r="43" spans="2:4" ht="15.75">
      <c r="B43" s="211">
        <v>18</v>
      </c>
      <c r="C43" s="225" t="s">
        <v>243</v>
      </c>
      <c r="D43" s="149">
        <v>0</v>
      </c>
    </row>
    <row r="44" spans="2:4" ht="15.75">
      <c r="B44" s="211">
        <v>19</v>
      </c>
      <c r="C44" s="162" t="s">
        <v>244</v>
      </c>
      <c r="D44" s="199">
        <f>'4. PEI'!F18</f>
        <v>112804</v>
      </c>
    </row>
    <row r="45" spans="2:4" ht="15.75">
      <c r="B45" s="211">
        <v>20</v>
      </c>
      <c r="C45" s="225" t="s">
        <v>245</v>
      </c>
      <c r="D45" s="149">
        <v>96482</v>
      </c>
    </row>
    <row r="46" spans="2:5" ht="15.75">
      <c r="B46" s="211">
        <v>21</v>
      </c>
      <c r="C46" s="162" t="s">
        <v>249</v>
      </c>
      <c r="D46" s="149">
        <v>345010.41</v>
      </c>
      <c r="E46" s="154"/>
    </row>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1">
      <selection activeCell="A4" sqref="A4"/>
    </sheetView>
  </sheetViews>
  <sheetFormatPr defaultColWidth="0" defaultRowHeight="15" zeroHeight="1"/>
  <cols>
    <col min="1" max="1" width="128.140625" style="393" customWidth="1"/>
    <col min="2" max="6" width="9.140625" style="393" hidden="1" customWidth="1"/>
    <col min="7" max="16384" width="9.1406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dimension ref="A1:L134"/>
  <sheetViews>
    <sheetView showGridLines="0" zoomScale="80" zoomScaleNormal="80" zoomScaleSheetLayoutView="40" zoomScalePageLayoutView="70" workbookViewId="0" topLeftCell="A13">
      <selection activeCell="F25" sqref="F25"/>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140625" style="122" customWidth="1"/>
    <col min="13" max="13" width="40.28125" style="175" hidden="1" customWidth="1"/>
    <col min="14" max="15" width="9.140625" style="175" hidden="1" customWidth="1"/>
    <col min="16" max="16384" width="9.1406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2019-20</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Placer</v>
      </c>
      <c r="E9" s="123"/>
      <c r="F9" s="226" t="s">
        <v>1</v>
      </c>
      <c r="G9" s="227">
        <f>IF(ISBLANK('1. Information'!D9),"",'1. Information'!D9)</f>
        <v>44227</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v>47075</v>
      </c>
      <c r="G15" s="136"/>
      <c r="H15" s="136"/>
      <c r="I15" s="136"/>
      <c r="J15" s="136"/>
      <c r="K15" s="241">
        <f>SUM(F15:J15)</f>
        <v>47075</v>
      </c>
      <c r="L15" s="175"/>
    </row>
    <row r="16" spans="1:12" ht="15" customHeight="1">
      <c r="A16" s="123"/>
      <c r="B16" s="234">
        <v>2</v>
      </c>
      <c r="C16" s="163" t="s">
        <v>7</v>
      </c>
      <c r="D16" s="242"/>
      <c r="E16" s="243"/>
      <c r="F16" s="136">
        <v>101275</v>
      </c>
      <c r="G16" s="136"/>
      <c r="H16" s="136"/>
      <c r="I16" s="136"/>
      <c r="J16" s="136"/>
      <c r="K16" s="241">
        <f>SUM(F16:J16)</f>
        <v>101275</v>
      </c>
      <c r="L16" s="175"/>
    </row>
    <row r="17" spans="1:12" ht="15.75" customHeight="1">
      <c r="A17" s="123"/>
      <c r="B17" s="234">
        <v>3</v>
      </c>
      <c r="C17" s="163" t="s">
        <v>117</v>
      </c>
      <c r="D17" s="242"/>
      <c r="E17" s="243"/>
      <c r="F17" s="136">
        <v>4353316.54</v>
      </c>
      <c r="G17" s="136"/>
      <c r="H17" s="136"/>
      <c r="I17" s="136"/>
      <c r="J17" s="136"/>
      <c r="K17" s="241">
        <f>SUM(F17:J17)</f>
        <v>4353316.54</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v>385000</v>
      </c>
      <c r="G22" s="246"/>
      <c r="H22" s="246"/>
      <c r="I22" s="246"/>
      <c r="J22" s="246"/>
      <c r="K22" s="241">
        <f t="shared" si="0"/>
        <v>385000</v>
      </c>
      <c r="L22" s="175"/>
    </row>
    <row r="23" spans="1:12" ht="15.75">
      <c r="A23" s="124"/>
      <c r="B23" s="218">
        <v>9</v>
      </c>
      <c r="C23" s="242" t="s">
        <v>193</v>
      </c>
      <c r="D23" s="245"/>
      <c r="E23" s="243"/>
      <c r="F23" s="136">
        <v>2750508</v>
      </c>
      <c r="G23" s="246"/>
      <c r="H23" s="246"/>
      <c r="I23" s="246"/>
      <c r="J23" s="246"/>
      <c r="K23" s="241">
        <f t="shared" si="0"/>
        <v>2750508</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12348031.340000004</v>
      </c>
      <c r="G25" s="246">
        <f>SUM(H34:H133)</f>
        <v>2482365.57</v>
      </c>
      <c r="H25" s="246">
        <f>SUM(I34:I133)</f>
        <v>0</v>
      </c>
      <c r="I25" s="246">
        <f>SUM(J34:J133)</f>
        <v>0</v>
      </c>
      <c r="J25" s="246">
        <f>SUM(K34:K133)</f>
        <v>0</v>
      </c>
      <c r="K25" s="246">
        <f>SUM(F25:J25)</f>
        <v>14830396.910000004</v>
      </c>
      <c r="L25" s="175"/>
    </row>
    <row r="26" spans="1:12" ht="30.75" customHeight="1">
      <c r="A26" s="123"/>
      <c r="B26" s="234">
        <v>12</v>
      </c>
      <c r="C26" s="247" t="s">
        <v>190</v>
      </c>
      <c r="D26" s="248"/>
      <c r="E26" s="249"/>
      <c r="F26" s="250">
        <f>SUM(F15:F17,F19:F25)</f>
        <v>19985205.880000003</v>
      </c>
      <c r="G26" s="250">
        <f>SUM(G15:G17,G25)</f>
        <v>2482365.57</v>
      </c>
      <c r="H26" s="251">
        <f>SUM(H15:H17,H25)</f>
        <v>0</v>
      </c>
      <c r="I26" s="250">
        <f>SUM(I15:I17,I25)</f>
        <v>0</v>
      </c>
      <c r="J26" s="250">
        <f>SUM(J15:J17,J25)</f>
        <v>0</v>
      </c>
      <c r="K26" s="250">
        <f>SUM(F26:J26)</f>
        <v>22467571.450000003</v>
      </c>
      <c r="L26" s="175"/>
    </row>
    <row r="27" spans="1:12" ht="30.75" customHeight="1">
      <c r="A27" s="123"/>
      <c r="B27" s="234">
        <v>13</v>
      </c>
      <c r="C27" s="252" t="s">
        <v>675</v>
      </c>
      <c r="D27" s="252"/>
      <c r="E27" s="252"/>
      <c r="F27" s="250">
        <f>SUM(F15:F17,F19,F20,F25)</f>
        <v>16849697.880000003</v>
      </c>
      <c r="G27" s="250">
        <f>SUM(G15:G17,G25)</f>
        <v>2482365.57</v>
      </c>
      <c r="H27" s="250">
        <f>SUM(H15:H17,H25)</f>
        <v>0</v>
      </c>
      <c r="I27" s="250">
        <f>SUM(I15:I17,I25)</f>
        <v>0</v>
      </c>
      <c r="J27" s="250">
        <f>SUM(J15:J17,J25)</f>
        <v>0</v>
      </c>
      <c r="K27" s="250">
        <f>SUM(F27:J27)</f>
        <v>19332063.450000003</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30.75">
      <c r="A34" s="123"/>
      <c r="B34" s="262">
        <v>14</v>
      </c>
      <c r="C34" s="263">
        <f aca="true" t="shared" si="1" ref="C34:C65">IF(L34&lt;&gt;0,VLOOKUP($D$9,Info_County_Code,2,FALSE),"")</f>
        <v>31</v>
      </c>
      <c r="D34" s="134" t="s">
        <v>789</v>
      </c>
      <c r="E34" s="144"/>
      <c r="F34" s="415" t="s">
        <v>95</v>
      </c>
      <c r="G34" s="126">
        <v>3052111.7199999997</v>
      </c>
      <c r="H34" s="126">
        <v>1068684.82</v>
      </c>
      <c r="I34" s="126"/>
      <c r="J34" s="129"/>
      <c r="K34" s="126"/>
      <c r="L34" s="246">
        <f>SUM(G34:K34)</f>
        <v>4120796.54</v>
      </c>
    </row>
    <row r="35" spans="1:12" ht="30.75">
      <c r="A35" s="123"/>
      <c r="B35" s="262">
        <v>15</v>
      </c>
      <c r="C35" s="263">
        <f t="shared" si="1"/>
        <v>31</v>
      </c>
      <c r="D35" s="134" t="s">
        <v>881</v>
      </c>
      <c r="E35" s="144" t="s">
        <v>790</v>
      </c>
      <c r="F35" s="415" t="s">
        <v>95</v>
      </c>
      <c r="G35" s="126">
        <v>527913.77</v>
      </c>
      <c r="H35" s="126">
        <v>361097.73</v>
      </c>
      <c r="I35" s="126"/>
      <c r="J35" s="129"/>
      <c r="K35" s="126"/>
      <c r="L35" s="246">
        <f aca="true" t="shared" si="2" ref="L35:L98">SUM(G35:K35)</f>
        <v>889011.5</v>
      </c>
    </row>
    <row r="36" spans="1:12" ht="15.75">
      <c r="A36" s="123"/>
      <c r="B36" s="262">
        <v>16</v>
      </c>
      <c r="C36" s="263">
        <f t="shared" si="1"/>
        <v>31</v>
      </c>
      <c r="D36" s="134" t="s">
        <v>791</v>
      </c>
      <c r="E36" s="144"/>
      <c r="F36" s="415" t="s">
        <v>95</v>
      </c>
      <c r="G36" s="126">
        <v>1279030.0099999998</v>
      </c>
      <c r="H36" s="126">
        <v>278814.58</v>
      </c>
      <c r="I36" s="126"/>
      <c r="J36" s="129"/>
      <c r="K36" s="126"/>
      <c r="L36" s="246">
        <f t="shared" si="2"/>
        <v>1557844.5899999999</v>
      </c>
    </row>
    <row r="37" spans="1:12" ht="15.75">
      <c r="A37" s="123"/>
      <c r="B37" s="262">
        <v>17</v>
      </c>
      <c r="C37" s="263">
        <f t="shared" si="1"/>
        <v>31</v>
      </c>
      <c r="D37" s="134" t="s">
        <v>792</v>
      </c>
      <c r="E37" s="144"/>
      <c r="F37" s="415" t="s">
        <v>95</v>
      </c>
      <c r="G37" s="126">
        <v>1973699.65</v>
      </c>
      <c r="H37" s="126">
        <v>336722.38</v>
      </c>
      <c r="I37" s="126"/>
      <c r="J37" s="129"/>
      <c r="K37" s="126"/>
      <c r="L37" s="246">
        <f t="shared" si="2"/>
        <v>2310422.03</v>
      </c>
    </row>
    <row r="38" spans="1:12" ht="30.75">
      <c r="A38" s="123"/>
      <c r="B38" s="262">
        <v>18</v>
      </c>
      <c r="C38" s="263">
        <f t="shared" si="1"/>
        <v>31</v>
      </c>
      <c r="D38" s="134" t="s">
        <v>793</v>
      </c>
      <c r="E38" s="144"/>
      <c r="F38" s="415" t="s">
        <v>95</v>
      </c>
      <c r="G38" s="126">
        <v>252657.02000000002</v>
      </c>
      <c r="H38" s="126">
        <v>5138.4</v>
      </c>
      <c r="I38" s="126"/>
      <c r="J38" s="129"/>
      <c r="K38" s="126"/>
      <c r="L38" s="246">
        <f t="shared" si="2"/>
        <v>257795.42</v>
      </c>
    </row>
    <row r="39" spans="1:12" ht="30.75">
      <c r="A39" s="123"/>
      <c r="B39" s="262">
        <v>19</v>
      </c>
      <c r="C39" s="263">
        <f t="shared" si="1"/>
        <v>31</v>
      </c>
      <c r="D39" s="134" t="s">
        <v>794</v>
      </c>
      <c r="E39" s="144"/>
      <c r="F39" s="415" t="s">
        <v>95</v>
      </c>
      <c r="G39" s="126">
        <v>712470.84</v>
      </c>
      <c r="H39" s="126">
        <v>431412.36</v>
      </c>
      <c r="I39" s="126"/>
      <c r="J39" s="129"/>
      <c r="K39" s="126"/>
      <c r="L39" s="246">
        <f t="shared" si="2"/>
        <v>1143883.2</v>
      </c>
    </row>
    <row r="40" spans="1:12" ht="30.75">
      <c r="A40" s="123"/>
      <c r="B40" s="262">
        <v>20</v>
      </c>
      <c r="C40" s="263">
        <f t="shared" si="1"/>
        <v>31</v>
      </c>
      <c r="D40" s="134" t="s">
        <v>795</v>
      </c>
      <c r="E40" s="144"/>
      <c r="F40" s="415" t="s">
        <v>96</v>
      </c>
      <c r="G40" s="126">
        <v>157210.4733</v>
      </c>
      <c r="H40" s="126"/>
      <c r="I40" s="126"/>
      <c r="J40" s="129"/>
      <c r="K40" s="126"/>
      <c r="L40" s="246">
        <f t="shared" si="2"/>
        <v>157210.4733</v>
      </c>
    </row>
    <row r="41" spans="1:12" ht="30.75">
      <c r="A41" s="123"/>
      <c r="B41" s="262">
        <v>21</v>
      </c>
      <c r="C41" s="263">
        <f t="shared" si="1"/>
        <v>31</v>
      </c>
      <c r="D41" s="134" t="s">
        <v>796</v>
      </c>
      <c r="E41" s="144"/>
      <c r="F41" s="415" t="s">
        <v>96</v>
      </c>
      <c r="G41" s="126">
        <v>92476.74900000001</v>
      </c>
      <c r="H41" s="126"/>
      <c r="I41" s="126"/>
      <c r="J41" s="129"/>
      <c r="K41" s="126"/>
      <c r="L41" s="246">
        <f t="shared" si="2"/>
        <v>92476.74900000001</v>
      </c>
    </row>
    <row r="42" spans="1:12" ht="30.75">
      <c r="A42" s="123"/>
      <c r="B42" s="262">
        <v>22</v>
      </c>
      <c r="C42" s="263">
        <f t="shared" si="1"/>
        <v>31</v>
      </c>
      <c r="D42" s="134" t="s">
        <v>797</v>
      </c>
      <c r="E42" s="144"/>
      <c r="F42" s="415" t="s">
        <v>96</v>
      </c>
      <c r="G42" s="126">
        <v>573355.8438</v>
      </c>
      <c r="H42" s="126"/>
      <c r="I42" s="126"/>
      <c r="J42" s="129"/>
      <c r="K42" s="126"/>
      <c r="L42" s="246">
        <f t="shared" si="2"/>
        <v>573355.8438</v>
      </c>
    </row>
    <row r="43" spans="1:12" ht="30.75">
      <c r="A43" s="123"/>
      <c r="B43" s="262">
        <v>23</v>
      </c>
      <c r="C43" s="263">
        <f t="shared" si="1"/>
        <v>31</v>
      </c>
      <c r="D43" s="134" t="s">
        <v>798</v>
      </c>
      <c r="E43" s="144"/>
      <c r="F43" s="415" t="s">
        <v>96</v>
      </c>
      <c r="G43" s="126">
        <v>332143.46</v>
      </c>
      <c r="H43" s="126"/>
      <c r="I43" s="126"/>
      <c r="J43" s="129"/>
      <c r="K43" s="126"/>
      <c r="L43" s="246">
        <f t="shared" si="2"/>
        <v>332143.46</v>
      </c>
    </row>
    <row r="44" spans="1:12" ht="15.75">
      <c r="A44" s="123"/>
      <c r="B44" s="262">
        <v>24</v>
      </c>
      <c r="C44" s="263">
        <f t="shared" si="1"/>
        <v>31</v>
      </c>
      <c r="D44" s="134" t="s">
        <v>799</v>
      </c>
      <c r="E44" s="144"/>
      <c r="F44" s="415" t="s">
        <v>96</v>
      </c>
      <c r="G44" s="126">
        <v>664713.88</v>
      </c>
      <c r="H44" s="126"/>
      <c r="I44" s="126"/>
      <c r="J44" s="129"/>
      <c r="K44" s="126"/>
      <c r="L44" s="246">
        <f t="shared" si="2"/>
        <v>664713.88</v>
      </c>
    </row>
    <row r="45" spans="1:12" ht="15.75">
      <c r="A45" s="123"/>
      <c r="B45" s="262">
        <v>25</v>
      </c>
      <c r="C45" s="263">
        <f t="shared" si="1"/>
        <v>31</v>
      </c>
      <c r="D45" s="134" t="s">
        <v>800</v>
      </c>
      <c r="E45" s="144"/>
      <c r="F45" s="415" t="s">
        <v>96</v>
      </c>
      <c r="G45" s="126">
        <v>104963.06</v>
      </c>
      <c r="H45" s="126"/>
      <c r="I45" s="126"/>
      <c r="J45" s="129"/>
      <c r="K45" s="126"/>
      <c r="L45" s="246">
        <f t="shared" si="2"/>
        <v>104963.06</v>
      </c>
    </row>
    <row r="46" spans="1:12" ht="15.75">
      <c r="A46" s="123"/>
      <c r="B46" s="262">
        <v>26</v>
      </c>
      <c r="C46" s="263">
        <f t="shared" si="1"/>
        <v>31</v>
      </c>
      <c r="D46" s="134" t="s">
        <v>801</v>
      </c>
      <c r="E46" s="144"/>
      <c r="F46" s="415" t="s">
        <v>96</v>
      </c>
      <c r="G46" s="126">
        <v>74805.28</v>
      </c>
      <c r="H46" s="126">
        <v>495.3</v>
      </c>
      <c r="I46" s="126"/>
      <c r="J46" s="129"/>
      <c r="K46" s="126"/>
      <c r="L46" s="246">
        <f t="shared" si="2"/>
        <v>75300.58</v>
      </c>
    </row>
    <row r="47" spans="1:12" ht="30.75">
      <c r="A47" s="123"/>
      <c r="B47" s="262">
        <v>27</v>
      </c>
      <c r="C47" s="263">
        <f t="shared" si="1"/>
        <v>31</v>
      </c>
      <c r="D47" s="134" t="s">
        <v>802</v>
      </c>
      <c r="E47" s="144"/>
      <c r="F47" s="415" t="s">
        <v>96</v>
      </c>
      <c r="G47" s="126">
        <v>50041.06</v>
      </c>
      <c r="H47" s="126"/>
      <c r="I47" s="126"/>
      <c r="J47" s="129"/>
      <c r="K47" s="126"/>
      <c r="L47" s="246">
        <f t="shared" si="2"/>
        <v>50041.06</v>
      </c>
    </row>
    <row r="48" spans="1:12" ht="15.75">
      <c r="A48" s="123"/>
      <c r="B48" s="262">
        <v>28</v>
      </c>
      <c r="C48" s="263">
        <f t="shared" si="1"/>
        <v>31</v>
      </c>
      <c r="D48" s="134" t="s">
        <v>803</v>
      </c>
      <c r="E48" s="144"/>
      <c r="F48" s="415" t="s">
        <v>96</v>
      </c>
      <c r="G48" s="126">
        <v>39947.89</v>
      </c>
      <c r="H48" s="126"/>
      <c r="I48" s="126"/>
      <c r="J48" s="129"/>
      <c r="K48" s="126"/>
      <c r="L48" s="246">
        <f t="shared" si="2"/>
        <v>39947.89</v>
      </c>
    </row>
    <row r="49" spans="1:12" ht="30.75">
      <c r="A49" s="123"/>
      <c r="B49" s="262">
        <v>29</v>
      </c>
      <c r="C49" s="263">
        <f t="shared" si="1"/>
      </c>
      <c r="D49" s="134" t="s">
        <v>882</v>
      </c>
      <c r="E49" s="144" t="s">
        <v>804</v>
      </c>
      <c r="F49" s="415" t="s">
        <v>96</v>
      </c>
      <c r="G49" s="126">
        <v>0</v>
      </c>
      <c r="H49" s="126"/>
      <c r="I49" s="126"/>
      <c r="J49" s="129"/>
      <c r="K49" s="126"/>
      <c r="L49" s="246">
        <f t="shared" si="2"/>
        <v>0</v>
      </c>
    </row>
    <row r="50" spans="1:12" ht="15.75">
      <c r="A50" s="123"/>
      <c r="B50" s="262">
        <v>30</v>
      </c>
      <c r="C50" s="263">
        <f t="shared" si="1"/>
        <v>31</v>
      </c>
      <c r="D50" s="134" t="s">
        <v>883</v>
      </c>
      <c r="E50" s="144" t="s">
        <v>805</v>
      </c>
      <c r="F50" s="415" t="s">
        <v>96</v>
      </c>
      <c r="G50" s="126">
        <v>82425.31</v>
      </c>
      <c r="H50" s="126"/>
      <c r="I50" s="126"/>
      <c r="J50" s="129"/>
      <c r="K50" s="126"/>
      <c r="L50" s="246">
        <f t="shared" si="2"/>
        <v>82425.31</v>
      </c>
    </row>
    <row r="51" spans="1:12" ht="45.75">
      <c r="A51" s="123"/>
      <c r="B51" s="262">
        <v>31</v>
      </c>
      <c r="C51" s="263">
        <f t="shared" si="1"/>
        <v>31</v>
      </c>
      <c r="D51" s="134" t="s">
        <v>884</v>
      </c>
      <c r="E51" s="144" t="s">
        <v>806</v>
      </c>
      <c r="F51" s="415" t="s">
        <v>96</v>
      </c>
      <c r="G51" s="126">
        <v>176264</v>
      </c>
      <c r="H51" s="126"/>
      <c r="I51" s="126"/>
      <c r="J51" s="129"/>
      <c r="K51" s="126"/>
      <c r="L51" s="246">
        <f t="shared" si="2"/>
        <v>176264</v>
      </c>
    </row>
    <row r="52" spans="1:12" ht="45.75">
      <c r="A52" s="123"/>
      <c r="B52" s="262">
        <v>32</v>
      </c>
      <c r="C52" s="263">
        <f t="shared" si="1"/>
        <v>31</v>
      </c>
      <c r="D52" s="134" t="s">
        <v>807</v>
      </c>
      <c r="E52" s="144" t="s">
        <v>889</v>
      </c>
      <c r="F52" s="415" t="s">
        <v>96</v>
      </c>
      <c r="G52" s="126">
        <v>383888.32999999996</v>
      </c>
      <c r="H52" s="126"/>
      <c r="I52" s="126"/>
      <c r="J52" s="129"/>
      <c r="K52" s="126"/>
      <c r="L52" s="246">
        <f t="shared" si="2"/>
        <v>383888.32999999996</v>
      </c>
    </row>
    <row r="53" spans="1:12" ht="15.75">
      <c r="A53" s="123"/>
      <c r="B53" s="262">
        <v>33</v>
      </c>
      <c r="C53" s="263">
        <f t="shared" si="1"/>
        <v>31</v>
      </c>
      <c r="D53" s="134" t="s">
        <v>808</v>
      </c>
      <c r="E53" s="144"/>
      <c r="F53" s="415" t="s">
        <v>96</v>
      </c>
      <c r="G53" s="126">
        <v>114684.79</v>
      </c>
      <c r="H53" s="126"/>
      <c r="I53" s="126"/>
      <c r="J53" s="129"/>
      <c r="K53" s="126"/>
      <c r="L53" s="246">
        <f t="shared" si="2"/>
        <v>114684.79</v>
      </c>
    </row>
    <row r="54" spans="1:12" ht="30.75">
      <c r="A54" s="123"/>
      <c r="B54" s="262">
        <v>34</v>
      </c>
      <c r="C54" s="263">
        <f t="shared" si="1"/>
        <v>31</v>
      </c>
      <c r="D54" s="134" t="s">
        <v>809</v>
      </c>
      <c r="E54" s="144"/>
      <c r="F54" s="415" t="s">
        <v>96</v>
      </c>
      <c r="G54" s="126">
        <v>132141.22</v>
      </c>
      <c r="H54" s="126"/>
      <c r="I54" s="126"/>
      <c r="J54" s="129"/>
      <c r="K54" s="126"/>
      <c r="L54" s="246">
        <f t="shared" si="2"/>
        <v>132141.22</v>
      </c>
    </row>
    <row r="55" spans="1:12" ht="30.75">
      <c r="A55" s="123"/>
      <c r="B55" s="262">
        <v>35</v>
      </c>
      <c r="C55" s="263">
        <f t="shared" si="1"/>
        <v>31</v>
      </c>
      <c r="D55" s="134" t="s">
        <v>810</v>
      </c>
      <c r="E55" s="144"/>
      <c r="F55" s="415" t="s">
        <v>96</v>
      </c>
      <c r="G55" s="126">
        <v>147251.37</v>
      </c>
      <c r="H55" s="126"/>
      <c r="I55" s="126"/>
      <c r="J55" s="129"/>
      <c r="K55" s="126"/>
      <c r="L55" s="246">
        <f t="shared" si="2"/>
        <v>147251.37</v>
      </c>
    </row>
    <row r="56" spans="1:12" ht="30.75">
      <c r="A56" s="123"/>
      <c r="B56" s="262">
        <v>36</v>
      </c>
      <c r="C56" s="263">
        <f t="shared" si="1"/>
        <v>31</v>
      </c>
      <c r="D56" s="144" t="s">
        <v>885</v>
      </c>
      <c r="E56" s="144"/>
      <c r="F56" s="127" t="s">
        <v>96</v>
      </c>
      <c r="G56" s="126">
        <v>20600</v>
      </c>
      <c r="H56" s="126"/>
      <c r="I56" s="126"/>
      <c r="J56" s="129"/>
      <c r="K56" s="126"/>
      <c r="L56" s="246">
        <f t="shared" si="2"/>
        <v>20600</v>
      </c>
    </row>
    <row r="57" spans="1:12" ht="30.75">
      <c r="A57" s="123"/>
      <c r="B57" s="262">
        <v>37</v>
      </c>
      <c r="C57" s="263">
        <f t="shared" si="1"/>
      </c>
      <c r="D57" s="144" t="s">
        <v>886</v>
      </c>
      <c r="E57" s="144"/>
      <c r="F57" s="127" t="s">
        <v>95</v>
      </c>
      <c r="G57" s="126"/>
      <c r="H57" s="126"/>
      <c r="I57" s="126"/>
      <c r="J57" s="129"/>
      <c r="K57" s="126"/>
      <c r="L57" s="246">
        <f t="shared" si="2"/>
        <v>0</v>
      </c>
    </row>
    <row r="58" spans="1:12" ht="15.75">
      <c r="A58" s="123"/>
      <c r="B58" s="262">
        <v>38</v>
      </c>
      <c r="C58" s="263">
        <f t="shared" si="1"/>
        <v>31</v>
      </c>
      <c r="D58" s="144" t="s">
        <v>887</v>
      </c>
      <c r="E58" s="144"/>
      <c r="F58" s="127" t="s">
        <v>95</v>
      </c>
      <c r="G58" s="126">
        <v>1276286.5600000003</v>
      </c>
      <c r="H58" s="126"/>
      <c r="I58" s="126"/>
      <c r="J58" s="129"/>
      <c r="K58" s="126"/>
      <c r="L58" s="246">
        <f t="shared" si="2"/>
        <v>1276286.5600000003</v>
      </c>
    </row>
    <row r="59" spans="1:12" ht="30.75">
      <c r="A59" s="123"/>
      <c r="B59" s="262">
        <v>39</v>
      </c>
      <c r="C59" s="263">
        <f t="shared" si="1"/>
      </c>
      <c r="D59" s="144" t="s">
        <v>886</v>
      </c>
      <c r="E59" s="144"/>
      <c r="F59" s="127" t="s">
        <v>96</v>
      </c>
      <c r="G59" s="126"/>
      <c r="H59" s="126"/>
      <c r="I59" s="126"/>
      <c r="J59" s="129"/>
      <c r="K59" s="126"/>
      <c r="L59" s="246">
        <f t="shared" si="2"/>
        <v>0</v>
      </c>
    </row>
    <row r="60" spans="1:12" ht="30.75">
      <c r="A60" s="123"/>
      <c r="B60" s="262">
        <v>40</v>
      </c>
      <c r="C60" s="263">
        <f t="shared" si="1"/>
        <v>31</v>
      </c>
      <c r="D60" s="144" t="s">
        <v>888</v>
      </c>
      <c r="E60" s="144"/>
      <c r="F60" s="127" t="s">
        <v>96</v>
      </c>
      <c r="G60" s="126">
        <v>101724.4239</v>
      </c>
      <c r="H60" s="126"/>
      <c r="I60" s="126"/>
      <c r="J60" s="129"/>
      <c r="K60" s="126"/>
      <c r="L60" s="246">
        <f t="shared" si="2"/>
        <v>101724.4239</v>
      </c>
    </row>
    <row r="61" spans="1:12" ht="15.75">
      <c r="A61" s="123"/>
      <c r="B61" s="262">
        <v>41</v>
      </c>
      <c r="C61" s="263">
        <f t="shared" si="1"/>
        <v>31</v>
      </c>
      <c r="D61" s="144" t="s">
        <v>887</v>
      </c>
      <c r="E61" s="144"/>
      <c r="F61" s="127" t="s">
        <v>96</v>
      </c>
      <c r="G61" s="126">
        <v>25224.63</v>
      </c>
      <c r="H61" s="126"/>
      <c r="I61" s="126"/>
      <c r="J61" s="129"/>
      <c r="K61" s="126"/>
      <c r="L61" s="246">
        <f t="shared" si="2"/>
        <v>25224.63</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horizontalDpi="600" verticalDpi="600" orientation="landscape" paperSize="5" scale="61"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
      <selection activeCell="A3" sqref="A3"/>
    </sheetView>
  </sheetViews>
  <sheetFormatPr defaultColWidth="0" defaultRowHeight="15" zeroHeight="1"/>
  <cols>
    <col min="1" max="1" width="128.140625" style="166" customWidth="1"/>
    <col min="2" max="16384" width="9.1406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A43">
      <selection activeCell="E44" sqref="E44"/>
    </sheetView>
  </sheetViews>
  <sheetFormatPr defaultColWidth="0" defaultRowHeight="15" zeroHeight="1"/>
  <cols>
    <col min="1" max="1" width="2.7109375" style="27" customWidth="1"/>
    <col min="2" max="2" width="6.7109375" style="27" customWidth="1"/>
    <col min="3" max="3" width="15.28125" style="37" customWidth="1"/>
    <col min="4" max="5" width="46.851562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8515625" style="402" customWidth="1"/>
    <col min="11" max="11" width="31.57421875" style="27" bestFit="1" customWidth="1"/>
    <col min="12" max="12" width="27.421875" style="27" bestFit="1" customWidth="1"/>
    <col min="13" max="13" width="23.140625" style="27" customWidth="1"/>
    <col min="14" max="15" width="26.421875" style="27" bestFit="1" customWidth="1"/>
    <col min="16" max="16" width="22.28125" style="27" customWidth="1"/>
    <col min="17" max="17" width="18.8515625" style="27" bestFit="1" customWidth="1"/>
    <col min="18" max="18" width="15.00390625" style="176" hidden="1" customWidth="1"/>
    <col min="19" max="24" width="15.00390625" style="175" hidden="1" customWidth="1"/>
    <col min="25" max="40" width="9.140625" style="175" hidden="1" customWidth="1"/>
    <col min="41" max="16384" width="9.1406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2019-20</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Placer</v>
      </c>
      <c r="E9" s="27" t="str">
        <f>IF(ISBLANK('1. Information'!D11),"",'1. Information'!D11)</f>
        <v>Placer</v>
      </c>
      <c r="F9" s="226" t="s">
        <v>1</v>
      </c>
      <c r="G9" s="264">
        <f>IF(ISBLANK('1. Information'!D9),"",'1. Information'!D9)</f>
        <v>44227</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v>10810.76</v>
      </c>
      <c r="G15" s="136"/>
      <c r="H15" s="136"/>
      <c r="I15" s="136"/>
      <c r="J15" s="136"/>
      <c r="K15" s="241">
        <f>SUM(F15:J15)</f>
        <v>10810.76</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v>160000</v>
      </c>
      <c r="G16" s="136"/>
      <c r="H16" s="136"/>
      <c r="I16" s="136"/>
      <c r="J16" s="136"/>
      <c r="K16" s="241">
        <f aca="true" t="shared" si="0" ref="K16:K22">SUM(F16:J16)</f>
        <v>160000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98577.22</v>
      </c>
      <c r="G17" s="136"/>
      <c r="H17" s="136"/>
      <c r="I17" s="136"/>
      <c r="J17" s="136"/>
      <c r="K17" s="241">
        <f t="shared" si="0"/>
        <v>98577.22</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v>112804</v>
      </c>
      <c r="G18" s="244"/>
      <c r="H18" s="244"/>
      <c r="I18" s="244"/>
      <c r="J18" s="244"/>
      <c r="K18" s="241">
        <f>F18</f>
        <v>112804</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2704077.3999999994</v>
      </c>
      <c r="G21" s="275">
        <f>SUMIF($G$34:$G$133,"Combined Summary",M$34:M$133)+SUMIF($F$34:$F$133,"Standalone",M$34:M$133)</f>
        <v>59719</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2763796.3999999994</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2973465.3799999994</v>
      </c>
      <c r="G22" s="279">
        <f>SUM(G15:G17,G20:G21)</f>
        <v>59719</v>
      </c>
      <c r="H22" s="279">
        <f>SUM(H15:H17,H20:H21)</f>
        <v>0</v>
      </c>
      <c r="I22" s="279">
        <f>SUM(I15:I17,I20:I21)</f>
        <v>0</v>
      </c>
      <c r="J22" s="279">
        <f>SUM(J15:J17,J20:J21)</f>
        <v>0</v>
      </c>
      <c r="K22" s="279">
        <f t="shared" si="0"/>
        <v>3033184.3799999994</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0.6953817453286736</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30.75">
      <c r="B34" s="300">
        <v>10</v>
      </c>
      <c r="C34" s="301">
        <f aca="true" t="shared" si="1" ref="C34:C65">IF(AND(NOT(COUNTA(D34:J34)),(NOT(COUNTA(L34:P34)))),"",VLOOKUP($D$9,Info_County_Code,2,FALSE))</f>
        <v>31</v>
      </c>
      <c r="D34" s="134" t="s">
        <v>811</v>
      </c>
      <c r="E34" s="134"/>
      <c r="F34" s="148" t="s">
        <v>125</v>
      </c>
      <c r="G34" s="148" t="s">
        <v>121</v>
      </c>
      <c r="H34" s="148"/>
      <c r="I34" s="416">
        <v>1</v>
      </c>
      <c r="J34" s="416">
        <v>1</v>
      </c>
      <c r="K34" s="302">
        <f>IF(OR(G34="Combined Summary",F34="Standalone"),(SUMPRODUCT(--(D$34:D$133=D34),I$34:I$133,J$34:J$133)),"")</f>
        <v>1</v>
      </c>
      <c r="L34" s="126">
        <v>11000</v>
      </c>
      <c r="M34" s="133"/>
      <c r="N34" s="30"/>
      <c r="O34" s="30"/>
      <c r="P34" s="30"/>
      <c r="Q34" s="303">
        <f>SUM(L34:P34)</f>
        <v>11000</v>
      </c>
      <c r="R34" s="178">
        <f>IF(OR(G34="Combined Summary",F34="Standalone"),(SUMIF(D$34:D$133,D34,I$34:I$133)),"")</f>
        <v>1</v>
      </c>
      <c r="S34" s="179">
        <f>IF(AND(F34="Standalone",NOT(R34=1)),"ERROR",IF(AND(G34="Combined Summary",NOT(R34=1)),"ERROR",""))</f>
      </c>
      <c r="T34" s="177"/>
      <c r="AL34" s="27"/>
      <c r="AM34" s="27"/>
      <c r="AN34" s="27"/>
    </row>
    <row r="35" spans="2:40" ht="30.75">
      <c r="B35" s="300">
        <v>11</v>
      </c>
      <c r="C35" s="301">
        <f t="shared" si="1"/>
        <v>31</v>
      </c>
      <c r="D35" s="134" t="s">
        <v>812</v>
      </c>
      <c r="E35" s="134"/>
      <c r="F35" s="148" t="s">
        <v>125</v>
      </c>
      <c r="G35" s="148" t="s">
        <v>121</v>
      </c>
      <c r="H35" s="148"/>
      <c r="I35" s="416">
        <v>1</v>
      </c>
      <c r="J35" s="416">
        <v>1</v>
      </c>
      <c r="K35" s="302">
        <f aca="true" t="shared" si="2" ref="K35:K98">IF(OR(G35="Combined Summary",F35="Standalone"),(SUMPRODUCT(--(D$34:D$133=D35),I$34:I$133,J$34:J$133)),"")</f>
        <v>1</v>
      </c>
      <c r="L35" s="126">
        <v>11000</v>
      </c>
      <c r="M35" s="133"/>
      <c r="N35" s="30"/>
      <c r="O35" s="30"/>
      <c r="P35" s="30"/>
      <c r="Q35" s="303">
        <f aca="true" t="shared" si="3" ref="Q35:Q98">SUM(L35:P35)</f>
        <v>11000</v>
      </c>
      <c r="R35" s="178">
        <f aca="true" t="shared" si="4" ref="R35:R98">IF(OR(G35="Combined Summary",F35="Standalone"),(SUMIF(D$34:D$133,D35,I$34:I$133)),"")</f>
        <v>1</v>
      </c>
      <c r="S35" s="180">
        <f aca="true" t="shared" si="5" ref="S35:S98">IF(AND(F35="Standalone",NOT(R35=1)),"ERROR",IF(AND(G35="Combined Summary",NOT(R35=1)),"ERROR",""))</f>
      </c>
      <c r="T35" s="177"/>
      <c r="AL35" s="27"/>
      <c r="AM35" s="27"/>
      <c r="AN35" s="27"/>
    </row>
    <row r="36" spans="2:40" ht="30.75">
      <c r="B36" s="300">
        <v>12</v>
      </c>
      <c r="C36" s="301">
        <f t="shared" si="1"/>
        <v>31</v>
      </c>
      <c r="D36" s="134" t="s">
        <v>813</v>
      </c>
      <c r="E36" s="134"/>
      <c r="F36" s="148" t="s">
        <v>125</v>
      </c>
      <c r="G36" s="148" t="s">
        <v>121</v>
      </c>
      <c r="H36" s="148"/>
      <c r="I36" s="416">
        <v>1</v>
      </c>
      <c r="J36" s="416">
        <v>1</v>
      </c>
      <c r="K36" s="302">
        <f t="shared" si="2"/>
        <v>1</v>
      </c>
      <c r="L36" s="126">
        <v>52000</v>
      </c>
      <c r="M36" s="133"/>
      <c r="N36" s="30"/>
      <c r="O36" s="30"/>
      <c r="P36" s="30"/>
      <c r="Q36" s="303">
        <f t="shared" si="3"/>
        <v>52000</v>
      </c>
      <c r="R36" s="178">
        <f t="shared" si="4"/>
        <v>1</v>
      </c>
      <c r="S36" s="180">
        <f t="shared" si="5"/>
      </c>
      <c r="AL36" s="27"/>
      <c r="AM36" s="27"/>
      <c r="AN36" s="27"/>
    </row>
    <row r="37" spans="2:40" ht="30.75">
      <c r="B37" s="300">
        <v>13</v>
      </c>
      <c r="C37" s="301">
        <f t="shared" si="1"/>
        <v>31</v>
      </c>
      <c r="D37" s="134" t="s">
        <v>873</v>
      </c>
      <c r="E37" s="134" t="s">
        <v>814</v>
      </c>
      <c r="F37" s="148" t="s">
        <v>125</v>
      </c>
      <c r="G37" s="148" t="s">
        <v>121</v>
      </c>
      <c r="H37" s="148"/>
      <c r="I37" s="416">
        <v>1</v>
      </c>
      <c r="J37" s="416">
        <v>1</v>
      </c>
      <c r="K37" s="302">
        <f t="shared" si="2"/>
        <v>1</v>
      </c>
      <c r="L37" s="126">
        <v>22154.15</v>
      </c>
      <c r="M37" s="133"/>
      <c r="N37" s="30"/>
      <c r="O37" s="30"/>
      <c r="P37" s="30"/>
      <c r="Q37" s="303">
        <f t="shared" si="3"/>
        <v>22154.15</v>
      </c>
      <c r="R37" s="178">
        <f t="shared" si="4"/>
        <v>1</v>
      </c>
      <c r="S37" s="180">
        <f t="shared" si="5"/>
      </c>
      <c r="AL37" s="27"/>
      <c r="AM37" s="27"/>
      <c r="AN37" s="27"/>
    </row>
    <row r="38" spans="2:40" ht="45.75">
      <c r="B38" s="300">
        <v>14</v>
      </c>
      <c r="C38" s="301">
        <f t="shared" si="1"/>
        <v>31</v>
      </c>
      <c r="D38" s="134" t="s">
        <v>874</v>
      </c>
      <c r="E38" s="134" t="s">
        <v>815</v>
      </c>
      <c r="F38" s="148" t="s">
        <v>125</v>
      </c>
      <c r="G38" s="148" t="s">
        <v>121</v>
      </c>
      <c r="H38" s="148"/>
      <c r="I38" s="416">
        <v>1</v>
      </c>
      <c r="J38" s="416">
        <v>1</v>
      </c>
      <c r="K38" s="302">
        <f t="shared" si="2"/>
        <v>1</v>
      </c>
      <c r="L38" s="126">
        <v>35962.773</v>
      </c>
      <c r="M38" s="133"/>
      <c r="N38" s="30"/>
      <c r="O38" s="30"/>
      <c r="P38" s="30"/>
      <c r="Q38" s="303">
        <f t="shared" si="3"/>
        <v>35962.773</v>
      </c>
      <c r="R38" s="178">
        <f t="shared" si="4"/>
        <v>1</v>
      </c>
      <c r="S38" s="180">
        <f t="shared" si="5"/>
      </c>
      <c r="AL38" s="27"/>
      <c r="AM38" s="27"/>
      <c r="AN38" s="27"/>
    </row>
    <row r="39" spans="2:40" ht="15.75">
      <c r="B39" s="300">
        <v>15</v>
      </c>
      <c r="C39" s="301">
        <f t="shared" si="1"/>
        <v>31</v>
      </c>
      <c r="D39" s="134" t="s">
        <v>816</v>
      </c>
      <c r="E39" s="134"/>
      <c r="F39" s="148" t="s">
        <v>125</v>
      </c>
      <c r="G39" s="148" t="s">
        <v>121</v>
      </c>
      <c r="H39" s="148"/>
      <c r="I39" s="416">
        <v>1</v>
      </c>
      <c r="J39" s="416">
        <v>0</v>
      </c>
      <c r="K39" s="302">
        <f t="shared" si="2"/>
        <v>0</v>
      </c>
      <c r="L39" s="126">
        <v>14571.900000000001</v>
      </c>
      <c r="M39" s="133"/>
      <c r="N39" s="30"/>
      <c r="O39" s="30"/>
      <c r="P39" s="30"/>
      <c r="Q39" s="303">
        <f t="shared" si="3"/>
        <v>14571.900000000001</v>
      </c>
      <c r="R39" s="178">
        <f t="shared" si="4"/>
        <v>1</v>
      </c>
      <c r="S39" s="180">
        <f t="shared" si="5"/>
      </c>
      <c r="AL39" s="27"/>
      <c r="AM39" s="27"/>
      <c r="AN39" s="27"/>
    </row>
    <row r="40" spans="2:40" ht="15.75">
      <c r="B40" s="300">
        <v>16</v>
      </c>
      <c r="C40" s="301">
        <f t="shared" si="1"/>
        <v>31</v>
      </c>
      <c r="D40" s="134" t="s">
        <v>817</v>
      </c>
      <c r="E40" s="134"/>
      <c r="F40" s="148" t="s">
        <v>125</v>
      </c>
      <c r="G40" s="148" t="s">
        <v>121</v>
      </c>
      <c r="H40" s="148"/>
      <c r="I40" s="416">
        <v>1</v>
      </c>
      <c r="J40" s="416">
        <v>1</v>
      </c>
      <c r="K40" s="302">
        <f t="shared" si="2"/>
        <v>1</v>
      </c>
      <c r="L40" s="126">
        <v>46630.08</v>
      </c>
      <c r="M40" s="133"/>
      <c r="N40" s="30"/>
      <c r="O40" s="30"/>
      <c r="P40" s="30"/>
      <c r="Q40" s="303">
        <f t="shared" si="3"/>
        <v>46630.08</v>
      </c>
      <c r="R40" s="178">
        <f t="shared" si="4"/>
        <v>1</v>
      </c>
      <c r="S40" s="180">
        <f t="shared" si="5"/>
      </c>
      <c r="AL40" s="27"/>
      <c r="AM40" s="27"/>
      <c r="AN40" s="27"/>
    </row>
    <row r="41" spans="2:40" ht="30.75">
      <c r="B41" s="300">
        <v>17</v>
      </c>
      <c r="C41" s="301">
        <f t="shared" si="1"/>
        <v>31</v>
      </c>
      <c r="D41" s="134" t="s">
        <v>875</v>
      </c>
      <c r="E41" s="134" t="s">
        <v>818</v>
      </c>
      <c r="F41" s="148" t="s">
        <v>125</v>
      </c>
      <c r="G41" s="148" t="s">
        <v>121</v>
      </c>
      <c r="H41" s="148"/>
      <c r="I41" s="416">
        <v>1</v>
      </c>
      <c r="J41" s="416">
        <v>1</v>
      </c>
      <c r="K41" s="302">
        <f t="shared" si="2"/>
        <v>1</v>
      </c>
      <c r="L41" s="126">
        <v>64869.8974</v>
      </c>
      <c r="M41" s="133"/>
      <c r="N41" s="30"/>
      <c r="O41" s="30"/>
      <c r="P41" s="30"/>
      <c r="Q41" s="303">
        <f t="shared" si="3"/>
        <v>64869.8974</v>
      </c>
      <c r="R41" s="178">
        <f t="shared" si="4"/>
        <v>1</v>
      </c>
      <c r="S41" s="180">
        <f t="shared" si="5"/>
      </c>
      <c r="AL41" s="27"/>
      <c r="AM41" s="27"/>
      <c r="AN41" s="27"/>
    </row>
    <row r="42" spans="2:40" ht="30.75">
      <c r="B42" s="300">
        <v>18</v>
      </c>
      <c r="C42" s="301">
        <f t="shared" si="1"/>
        <v>31</v>
      </c>
      <c r="D42" s="134" t="s">
        <v>819</v>
      </c>
      <c r="E42" s="134"/>
      <c r="F42" s="148" t="s">
        <v>125</v>
      </c>
      <c r="G42" s="148" t="s">
        <v>121</v>
      </c>
      <c r="H42" s="148"/>
      <c r="I42" s="416">
        <v>1</v>
      </c>
      <c r="J42" s="416">
        <v>1</v>
      </c>
      <c r="K42" s="302">
        <f t="shared" si="2"/>
        <v>1</v>
      </c>
      <c r="L42" s="126">
        <v>36429.75</v>
      </c>
      <c r="M42" s="133"/>
      <c r="N42" s="30"/>
      <c r="O42" s="30"/>
      <c r="P42" s="30"/>
      <c r="Q42" s="303">
        <f t="shared" si="3"/>
        <v>36429.75</v>
      </c>
      <c r="R42" s="178">
        <f t="shared" si="4"/>
        <v>1</v>
      </c>
      <c r="S42" s="180">
        <f t="shared" si="5"/>
      </c>
      <c r="AL42" s="27"/>
      <c r="AM42" s="27"/>
      <c r="AN42" s="27"/>
    </row>
    <row r="43" spans="2:40" ht="15.75">
      <c r="B43" s="300">
        <v>19</v>
      </c>
      <c r="C43" s="301">
        <f t="shared" si="1"/>
        <v>31</v>
      </c>
      <c r="D43" s="134" t="s">
        <v>820</v>
      </c>
      <c r="E43" s="134"/>
      <c r="F43" s="148" t="s">
        <v>125</v>
      </c>
      <c r="G43" s="148" t="s">
        <v>121</v>
      </c>
      <c r="H43" s="148"/>
      <c r="I43" s="416">
        <v>1</v>
      </c>
      <c r="J43" s="416">
        <v>0.4</v>
      </c>
      <c r="K43" s="302">
        <f t="shared" si="2"/>
        <v>0.4</v>
      </c>
      <c r="L43" s="126">
        <v>90332.437</v>
      </c>
      <c r="M43" s="133"/>
      <c r="N43" s="30"/>
      <c r="O43" s="30"/>
      <c r="P43" s="30"/>
      <c r="Q43" s="303">
        <f t="shared" si="3"/>
        <v>90332.437</v>
      </c>
      <c r="R43" s="178">
        <f t="shared" si="4"/>
        <v>1</v>
      </c>
      <c r="S43" s="180">
        <f t="shared" si="5"/>
      </c>
      <c r="AL43" s="27"/>
      <c r="AM43" s="27"/>
      <c r="AN43" s="27"/>
    </row>
    <row r="44" spans="2:40" ht="30.75">
      <c r="B44" s="300">
        <v>20</v>
      </c>
      <c r="C44" s="301">
        <f t="shared" si="1"/>
        <v>31</v>
      </c>
      <c r="D44" s="134" t="s">
        <v>805</v>
      </c>
      <c r="E44" s="134" t="s">
        <v>821</v>
      </c>
      <c r="F44" s="148" t="s">
        <v>125</v>
      </c>
      <c r="G44" s="148" t="s">
        <v>121</v>
      </c>
      <c r="H44" s="148"/>
      <c r="I44" s="416">
        <v>1</v>
      </c>
      <c r="J44" s="416">
        <v>0.15</v>
      </c>
      <c r="K44" s="302">
        <f t="shared" si="2"/>
        <v>0.15</v>
      </c>
      <c r="L44" s="126">
        <v>236254.06600000002</v>
      </c>
      <c r="M44" s="133"/>
      <c r="N44" s="30"/>
      <c r="O44" s="30"/>
      <c r="P44" s="30"/>
      <c r="Q44" s="303">
        <f t="shared" si="3"/>
        <v>236254.06600000002</v>
      </c>
      <c r="R44" s="178">
        <f t="shared" si="4"/>
        <v>1</v>
      </c>
      <c r="S44" s="180">
        <f t="shared" si="5"/>
      </c>
      <c r="AL44" s="27"/>
      <c r="AM44" s="27"/>
      <c r="AN44" s="27"/>
    </row>
    <row r="45" spans="2:40" ht="30.75">
      <c r="B45" s="300">
        <v>21</v>
      </c>
      <c r="C45" s="301">
        <f t="shared" si="1"/>
        <v>31</v>
      </c>
      <c r="D45" s="134" t="s">
        <v>822</v>
      </c>
      <c r="E45" s="134"/>
      <c r="F45" s="148" t="s">
        <v>125</v>
      </c>
      <c r="G45" s="148" t="s">
        <v>121</v>
      </c>
      <c r="H45" s="148"/>
      <c r="I45" s="416">
        <v>1</v>
      </c>
      <c r="J45" s="416">
        <v>0.95</v>
      </c>
      <c r="K45" s="302">
        <f t="shared" si="2"/>
        <v>0.95</v>
      </c>
      <c r="L45" s="126">
        <v>20845.947</v>
      </c>
      <c r="M45" s="133"/>
      <c r="N45" s="30"/>
      <c r="O45" s="30"/>
      <c r="P45" s="30"/>
      <c r="Q45" s="303">
        <f t="shared" si="3"/>
        <v>20845.947</v>
      </c>
      <c r="R45" s="178">
        <f t="shared" si="4"/>
        <v>1</v>
      </c>
      <c r="S45" s="180">
        <f t="shared" si="5"/>
      </c>
      <c r="AL45" s="27"/>
      <c r="AM45" s="27"/>
      <c r="AN45" s="27"/>
    </row>
    <row r="46" spans="2:40" ht="30.75">
      <c r="B46" s="300">
        <v>22</v>
      </c>
      <c r="C46" s="301">
        <f t="shared" si="1"/>
        <v>31</v>
      </c>
      <c r="D46" s="134" t="s">
        <v>823</v>
      </c>
      <c r="E46" s="134"/>
      <c r="F46" s="148" t="s">
        <v>125</v>
      </c>
      <c r="G46" s="148" t="s">
        <v>121</v>
      </c>
      <c r="H46" s="148"/>
      <c r="I46" s="416">
        <v>1</v>
      </c>
      <c r="J46" s="416">
        <v>1</v>
      </c>
      <c r="K46" s="302">
        <f t="shared" si="2"/>
        <v>1</v>
      </c>
      <c r="L46" s="126">
        <v>67130.5096</v>
      </c>
      <c r="M46" s="133"/>
      <c r="N46" s="30"/>
      <c r="O46" s="30"/>
      <c r="P46" s="30"/>
      <c r="Q46" s="303">
        <f t="shared" si="3"/>
        <v>67130.5096</v>
      </c>
      <c r="R46" s="178">
        <f t="shared" si="4"/>
        <v>1</v>
      </c>
      <c r="S46" s="180">
        <f t="shared" si="5"/>
      </c>
      <c r="AL46" s="27"/>
      <c r="AM46" s="27"/>
      <c r="AN46" s="27"/>
    </row>
    <row r="47" spans="2:40" ht="15.75">
      <c r="B47" s="300">
        <v>23</v>
      </c>
      <c r="C47" s="301">
        <f t="shared" si="1"/>
        <v>31</v>
      </c>
      <c r="D47" s="134" t="s">
        <v>824</v>
      </c>
      <c r="E47" s="134"/>
      <c r="F47" s="148" t="s">
        <v>125</v>
      </c>
      <c r="G47" s="148" t="s">
        <v>121</v>
      </c>
      <c r="H47" s="148"/>
      <c r="I47" s="416">
        <v>1</v>
      </c>
      <c r="J47" s="416">
        <v>1</v>
      </c>
      <c r="K47" s="302">
        <f t="shared" si="2"/>
        <v>1</v>
      </c>
      <c r="L47" s="126">
        <v>52817.08</v>
      </c>
      <c r="M47" s="133"/>
      <c r="N47" s="30"/>
      <c r="O47" s="30"/>
      <c r="P47" s="30"/>
      <c r="Q47" s="303">
        <f t="shared" si="3"/>
        <v>52817.08</v>
      </c>
      <c r="R47" s="178">
        <f t="shared" si="4"/>
        <v>1</v>
      </c>
      <c r="S47" s="180">
        <f t="shared" si="5"/>
      </c>
      <c r="AL47" s="27"/>
      <c r="AM47" s="27"/>
      <c r="AN47" s="27"/>
    </row>
    <row r="48" spans="2:40" ht="30.75">
      <c r="B48" s="300">
        <v>24</v>
      </c>
      <c r="C48" s="301">
        <f t="shared" si="1"/>
        <v>31</v>
      </c>
      <c r="D48" s="134" t="s">
        <v>825</v>
      </c>
      <c r="E48" s="134"/>
      <c r="F48" s="148" t="s">
        <v>125</v>
      </c>
      <c r="G48" s="148" t="s">
        <v>121</v>
      </c>
      <c r="H48" s="148"/>
      <c r="I48" s="416">
        <v>1</v>
      </c>
      <c r="J48" s="416">
        <v>1</v>
      </c>
      <c r="K48" s="302">
        <f t="shared" si="2"/>
        <v>1</v>
      </c>
      <c r="L48" s="126">
        <v>73825.9409</v>
      </c>
      <c r="M48" s="133"/>
      <c r="N48" s="30"/>
      <c r="O48" s="30"/>
      <c r="P48" s="30"/>
      <c r="Q48" s="303">
        <f t="shared" si="3"/>
        <v>73825.9409</v>
      </c>
      <c r="R48" s="178">
        <f t="shared" si="4"/>
        <v>1</v>
      </c>
      <c r="S48" s="180">
        <f t="shared" si="5"/>
      </c>
      <c r="AL48" s="27"/>
      <c r="AM48" s="27"/>
      <c r="AN48" s="27"/>
    </row>
    <row r="49" spans="2:40" ht="30.75">
      <c r="B49" s="300">
        <v>25</v>
      </c>
      <c r="C49" s="301">
        <f t="shared" si="1"/>
        <v>31</v>
      </c>
      <c r="D49" s="134" t="s">
        <v>826</v>
      </c>
      <c r="E49" s="134"/>
      <c r="F49" s="148" t="s">
        <v>125</v>
      </c>
      <c r="G49" s="148" t="s">
        <v>121</v>
      </c>
      <c r="H49" s="148"/>
      <c r="I49" s="416">
        <v>1</v>
      </c>
      <c r="J49" s="416">
        <v>1</v>
      </c>
      <c r="K49" s="302">
        <f t="shared" si="2"/>
        <v>1</v>
      </c>
      <c r="L49" s="126">
        <v>34471.398</v>
      </c>
      <c r="M49" s="133"/>
      <c r="N49" s="30"/>
      <c r="O49" s="30"/>
      <c r="P49" s="30"/>
      <c r="Q49" s="303">
        <f t="shared" si="3"/>
        <v>34471.398</v>
      </c>
      <c r="R49" s="178">
        <f t="shared" si="4"/>
        <v>1</v>
      </c>
      <c r="S49" s="180">
        <f t="shared" si="5"/>
      </c>
      <c r="AL49" s="27"/>
      <c r="AM49" s="27"/>
      <c r="AN49" s="27"/>
    </row>
    <row r="50" spans="2:40" ht="30.75">
      <c r="B50" s="300">
        <v>26</v>
      </c>
      <c r="C50" s="301">
        <f t="shared" si="1"/>
        <v>31</v>
      </c>
      <c r="D50" s="134" t="s">
        <v>827</v>
      </c>
      <c r="E50" s="134"/>
      <c r="F50" s="148" t="s">
        <v>125</v>
      </c>
      <c r="G50" s="148" t="s">
        <v>121</v>
      </c>
      <c r="H50" s="148"/>
      <c r="I50" s="416">
        <v>1</v>
      </c>
      <c r="J50" s="416">
        <v>1</v>
      </c>
      <c r="K50" s="302">
        <f t="shared" si="2"/>
        <v>1</v>
      </c>
      <c r="L50" s="126">
        <v>18561.521999999997</v>
      </c>
      <c r="M50" s="133"/>
      <c r="N50" s="30"/>
      <c r="O50" s="30"/>
      <c r="P50" s="30"/>
      <c r="Q50" s="303">
        <f t="shared" si="3"/>
        <v>18561.521999999997</v>
      </c>
      <c r="R50" s="178">
        <f t="shared" si="4"/>
        <v>1</v>
      </c>
      <c r="S50" s="180">
        <f t="shared" si="5"/>
      </c>
      <c r="AL50" s="27"/>
      <c r="AM50" s="27"/>
      <c r="AN50" s="27"/>
    </row>
    <row r="51" spans="2:40" ht="30.75">
      <c r="B51" s="300">
        <v>27</v>
      </c>
      <c r="C51" s="301">
        <f t="shared" si="1"/>
        <v>31</v>
      </c>
      <c r="D51" s="134" t="s">
        <v>828</v>
      </c>
      <c r="E51" s="134"/>
      <c r="F51" s="148" t="s">
        <v>125</v>
      </c>
      <c r="G51" s="148" t="s">
        <v>121</v>
      </c>
      <c r="H51" s="148"/>
      <c r="I51" s="416">
        <v>1</v>
      </c>
      <c r="J51" s="416">
        <v>1</v>
      </c>
      <c r="K51" s="302">
        <f t="shared" si="2"/>
        <v>1</v>
      </c>
      <c r="L51" s="126">
        <v>83250.5291</v>
      </c>
      <c r="M51" s="133"/>
      <c r="N51" s="30"/>
      <c r="O51" s="30"/>
      <c r="P51" s="30"/>
      <c r="Q51" s="303">
        <f t="shared" si="3"/>
        <v>83250.5291</v>
      </c>
      <c r="R51" s="178">
        <f t="shared" si="4"/>
        <v>1</v>
      </c>
      <c r="S51" s="180">
        <f t="shared" si="5"/>
      </c>
      <c r="AL51" s="27"/>
      <c r="AM51" s="27"/>
      <c r="AN51" s="27"/>
    </row>
    <row r="52" spans="2:40" ht="30.75">
      <c r="B52" s="300">
        <v>28</v>
      </c>
      <c r="C52" s="301">
        <f t="shared" si="1"/>
        <v>31</v>
      </c>
      <c r="D52" s="134" t="s">
        <v>829</v>
      </c>
      <c r="E52" s="134"/>
      <c r="F52" s="148" t="s">
        <v>125</v>
      </c>
      <c r="G52" s="148" t="s">
        <v>121</v>
      </c>
      <c r="H52" s="148"/>
      <c r="I52" s="416">
        <v>1</v>
      </c>
      <c r="J52" s="416">
        <v>1</v>
      </c>
      <c r="K52" s="302">
        <f t="shared" si="2"/>
        <v>1</v>
      </c>
      <c r="L52" s="126">
        <v>81389</v>
      </c>
      <c r="M52" s="133"/>
      <c r="N52" s="30"/>
      <c r="O52" s="30"/>
      <c r="P52" s="30"/>
      <c r="Q52" s="303">
        <f t="shared" si="3"/>
        <v>81389</v>
      </c>
      <c r="R52" s="178">
        <f t="shared" si="4"/>
        <v>1</v>
      </c>
      <c r="S52" s="180">
        <f t="shared" si="5"/>
      </c>
      <c r="AL52" s="27"/>
      <c r="AM52" s="27"/>
      <c r="AN52" s="27"/>
    </row>
    <row r="53" spans="2:40" ht="30.75">
      <c r="B53" s="300">
        <v>29</v>
      </c>
      <c r="C53" s="301">
        <f t="shared" si="1"/>
        <v>31</v>
      </c>
      <c r="D53" s="134" t="s">
        <v>876</v>
      </c>
      <c r="E53" s="134" t="s">
        <v>830</v>
      </c>
      <c r="F53" s="148" t="s">
        <v>125</v>
      </c>
      <c r="G53" s="148" t="s">
        <v>122</v>
      </c>
      <c r="H53" s="148"/>
      <c r="I53" s="416">
        <v>1</v>
      </c>
      <c r="J53" s="416">
        <v>1</v>
      </c>
      <c r="K53" s="302">
        <f t="shared" si="2"/>
        <v>1</v>
      </c>
      <c r="L53" s="126">
        <v>64709.39</v>
      </c>
      <c r="M53" s="133"/>
      <c r="N53" s="30"/>
      <c r="O53" s="30"/>
      <c r="P53" s="30"/>
      <c r="Q53" s="303">
        <f t="shared" si="3"/>
        <v>64709.39</v>
      </c>
      <c r="R53" s="178">
        <f t="shared" si="4"/>
        <v>1</v>
      </c>
      <c r="S53" s="180">
        <f t="shared" si="5"/>
      </c>
      <c r="AL53" s="27"/>
      <c r="AM53" s="27"/>
      <c r="AN53" s="27"/>
    </row>
    <row r="54" spans="2:40" ht="30.75">
      <c r="B54" s="300">
        <v>30</v>
      </c>
      <c r="C54" s="301">
        <f t="shared" si="1"/>
        <v>31</v>
      </c>
      <c r="D54" s="134" t="s">
        <v>877</v>
      </c>
      <c r="E54" s="134" t="s">
        <v>831</v>
      </c>
      <c r="F54" s="148" t="s">
        <v>125</v>
      </c>
      <c r="G54" s="148" t="s">
        <v>122</v>
      </c>
      <c r="H54" s="148"/>
      <c r="I54" s="416">
        <v>1</v>
      </c>
      <c r="J54" s="416">
        <v>1</v>
      </c>
      <c r="K54" s="302">
        <f t="shared" si="2"/>
        <v>1</v>
      </c>
      <c r="L54" s="126">
        <v>13723.6</v>
      </c>
      <c r="M54" s="133"/>
      <c r="N54" s="30"/>
      <c r="O54" s="30"/>
      <c r="P54" s="30"/>
      <c r="Q54" s="303">
        <f t="shared" si="3"/>
        <v>13723.6</v>
      </c>
      <c r="R54" s="178">
        <f t="shared" si="4"/>
        <v>1</v>
      </c>
      <c r="S54" s="180">
        <f t="shared" si="5"/>
      </c>
      <c r="AL54" s="27"/>
      <c r="AM54" s="27"/>
      <c r="AN54" s="27"/>
    </row>
    <row r="55" spans="2:40" ht="15.75">
      <c r="B55" s="300">
        <v>31</v>
      </c>
      <c r="C55" s="301">
        <f t="shared" si="1"/>
        <v>31</v>
      </c>
      <c r="D55" s="134" t="s">
        <v>878</v>
      </c>
      <c r="E55" s="134" t="s">
        <v>832</v>
      </c>
      <c r="F55" s="148" t="s">
        <v>125</v>
      </c>
      <c r="G55" s="148" t="s">
        <v>122</v>
      </c>
      <c r="H55" s="148"/>
      <c r="I55" s="416">
        <v>1</v>
      </c>
      <c r="J55" s="416">
        <v>1</v>
      </c>
      <c r="K55" s="302">
        <f t="shared" si="2"/>
        <v>1</v>
      </c>
      <c r="L55" s="126">
        <v>70038.4</v>
      </c>
      <c r="M55" s="133"/>
      <c r="N55" s="30"/>
      <c r="O55" s="30"/>
      <c r="P55" s="30"/>
      <c r="Q55" s="303">
        <f t="shared" si="3"/>
        <v>70038.4</v>
      </c>
      <c r="R55" s="178">
        <f t="shared" si="4"/>
        <v>1</v>
      </c>
      <c r="S55" s="180">
        <f t="shared" si="5"/>
      </c>
      <c r="AL55" s="27"/>
      <c r="AM55" s="27"/>
      <c r="AN55" s="27"/>
    </row>
    <row r="56" spans="2:40" ht="15.75">
      <c r="B56" s="300">
        <v>32</v>
      </c>
      <c r="C56" s="301">
        <f t="shared" si="1"/>
        <v>31</v>
      </c>
      <c r="D56" s="134" t="s">
        <v>833</v>
      </c>
      <c r="E56" s="134"/>
      <c r="F56" s="148" t="s">
        <v>125</v>
      </c>
      <c r="G56" s="148" t="s">
        <v>122</v>
      </c>
      <c r="H56" s="148"/>
      <c r="I56" s="416">
        <v>1</v>
      </c>
      <c r="J56" s="416">
        <v>1</v>
      </c>
      <c r="K56" s="302">
        <f t="shared" si="2"/>
        <v>1</v>
      </c>
      <c r="L56" s="126">
        <v>151805.48</v>
      </c>
      <c r="M56" s="133"/>
      <c r="N56" s="30"/>
      <c r="O56" s="30"/>
      <c r="P56" s="30"/>
      <c r="Q56" s="303">
        <f t="shared" si="3"/>
        <v>151805.48</v>
      </c>
      <c r="R56" s="178">
        <f t="shared" si="4"/>
        <v>1</v>
      </c>
      <c r="S56" s="180">
        <f t="shared" si="5"/>
      </c>
      <c r="AL56" s="27"/>
      <c r="AM56" s="27"/>
      <c r="AN56" s="27"/>
    </row>
    <row r="57" spans="2:40" ht="15.75">
      <c r="B57" s="300">
        <v>33</v>
      </c>
      <c r="C57" s="301">
        <f t="shared" si="1"/>
        <v>31</v>
      </c>
      <c r="D57" s="134" t="s">
        <v>834</v>
      </c>
      <c r="E57" s="134"/>
      <c r="F57" s="148" t="s">
        <v>125</v>
      </c>
      <c r="G57" s="148" t="s">
        <v>122</v>
      </c>
      <c r="H57" s="148"/>
      <c r="I57" s="416">
        <v>1</v>
      </c>
      <c r="J57" s="416">
        <v>0.7</v>
      </c>
      <c r="K57" s="302">
        <f t="shared" si="2"/>
        <v>0.7</v>
      </c>
      <c r="L57" s="126">
        <v>148275.12</v>
      </c>
      <c r="M57" s="133"/>
      <c r="N57" s="30"/>
      <c r="O57" s="30"/>
      <c r="P57" s="30"/>
      <c r="Q57" s="303">
        <f t="shared" si="3"/>
        <v>148275.12</v>
      </c>
      <c r="R57" s="178">
        <f t="shared" si="4"/>
        <v>1</v>
      </c>
      <c r="S57" s="180">
        <f t="shared" si="5"/>
      </c>
      <c r="AL57" s="27"/>
      <c r="AM57" s="27"/>
      <c r="AN57" s="27"/>
    </row>
    <row r="58" spans="2:40" ht="30.75">
      <c r="B58" s="300">
        <v>34</v>
      </c>
      <c r="C58" s="301">
        <f t="shared" si="1"/>
        <v>31</v>
      </c>
      <c r="D58" s="134" t="s">
        <v>835</v>
      </c>
      <c r="E58" s="134"/>
      <c r="F58" s="148" t="s">
        <v>125</v>
      </c>
      <c r="G58" s="148" t="s">
        <v>122</v>
      </c>
      <c r="H58" s="148"/>
      <c r="I58" s="416">
        <v>1</v>
      </c>
      <c r="J58" s="416">
        <v>1</v>
      </c>
      <c r="K58" s="302">
        <f t="shared" si="2"/>
        <v>1</v>
      </c>
      <c r="L58" s="126">
        <v>88385</v>
      </c>
      <c r="M58" s="133"/>
      <c r="N58" s="30"/>
      <c r="O58" s="30"/>
      <c r="P58" s="30"/>
      <c r="Q58" s="303">
        <f t="shared" si="3"/>
        <v>88385</v>
      </c>
      <c r="R58" s="178">
        <f t="shared" si="4"/>
        <v>1</v>
      </c>
      <c r="S58" s="180">
        <f t="shared" si="5"/>
      </c>
      <c r="AL58" s="27"/>
      <c r="AM58" s="27"/>
      <c r="AN58" s="27"/>
    </row>
    <row r="59" spans="2:40" ht="30.75">
      <c r="B59" s="300">
        <v>35</v>
      </c>
      <c r="C59" s="301">
        <f t="shared" si="1"/>
        <v>31</v>
      </c>
      <c r="D59" s="134" t="s">
        <v>836</v>
      </c>
      <c r="E59" s="134"/>
      <c r="F59" s="148" t="s">
        <v>125</v>
      </c>
      <c r="G59" s="148" t="s">
        <v>122</v>
      </c>
      <c r="H59" s="148"/>
      <c r="I59" s="416">
        <v>1</v>
      </c>
      <c r="J59" s="416">
        <v>1</v>
      </c>
      <c r="K59" s="302">
        <f t="shared" si="2"/>
        <v>1</v>
      </c>
      <c r="L59" s="126">
        <v>88385</v>
      </c>
      <c r="M59" s="133"/>
      <c r="N59" s="30"/>
      <c r="O59" s="30"/>
      <c r="P59" s="30"/>
      <c r="Q59" s="303">
        <f t="shared" si="3"/>
        <v>88385</v>
      </c>
      <c r="R59" s="178">
        <f t="shared" si="4"/>
        <v>1</v>
      </c>
      <c r="S59" s="180">
        <f t="shared" si="5"/>
      </c>
      <c r="AL59" s="27"/>
      <c r="AM59" s="27"/>
      <c r="AN59" s="27"/>
    </row>
    <row r="60" spans="2:40" ht="30.75">
      <c r="B60" s="300">
        <v>36</v>
      </c>
      <c r="C60" s="301">
        <f t="shared" si="1"/>
        <v>31</v>
      </c>
      <c r="D60" s="134" t="s">
        <v>837</v>
      </c>
      <c r="E60" s="134"/>
      <c r="F60" s="148" t="s">
        <v>125</v>
      </c>
      <c r="G60" s="148" t="s">
        <v>122</v>
      </c>
      <c r="H60" s="148"/>
      <c r="I60" s="416">
        <v>1</v>
      </c>
      <c r="J60" s="416">
        <v>1</v>
      </c>
      <c r="K60" s="302">
        <f t="shared" si="2"/>
        <v>1</v>
      </c>
      <c r="L60" s="126">
        <v>88385</v>
      </c>
      <c r="M60" s="133"/>
      <c r="N60" s="30"/>
      <c r="O60" s="30"/>
      <c r="P60" s="30"/>
      <c r="Q60" s="303">
        <f t="shared" si="3"/>
        <v>88385</v>
      </c>
      <c r="R60" s="178">
        <f t="shared" si="4"/>
        <v>1</v>
      </c>
      <c r="S60" s="180">
        <f t="shared" si="5"/>
      </c>
      <c r="AL60" s="27"/>
      <c r="AM60" s="27"/>
      <c r="AN60" s="27"/>
    </row>
    <row r="61" spans="2:40" ht="30.75">
      <c r="B61" s="300">
        <v>37</v>
      </c>
      <c r="C61" s="301">
        <f t="shared" si="1"/>
        <v>31</v>
      </c>
      <c r="D61" s="134" t="s">
        <v>838</v>
      </c>
      <c r="E61" s="134"/>
      <c r="F61" s="148" t="s">
        <v>125</v>
      </c>
      <c r="G61" s="148" t="s">
        <v>122</v>
      </c>
      <c r="H61" s="148"/>
      <c r="I61" s="416">
        <v>1</v>
      </c>
      <c r="J61" s="416">
        <v>1</v>
      </c>
      <c r="K61" s="302">
        <f t="shared" si="2"/>
        <v>1</v>
      </c>
      <c r="L61" s="126">
        <v>133970</v>
      </c>
      <c r="M61" s="133">
        <v>59719</v>
      </c>
      <c r="N61" s="30"/>
      <c r="O61" s="30"/>
      <c r="P61" s="30"/>
      <c r="Q61" s="303">
        <f t="shared" si="3"/>
        <v>193689</v>
      </c>
      <c r="R61" s="178">
        <f t="shared" si="4"/>
        <v>1</v>
      </c>
      <c r="S61" s="180">
        <f t="shared" si="5"/>
      </c>
      <c r="AL61" s="27"/>
      <c r="AM61" s="27"/>
      <c r="AN61" s="27"/>
    </row>
    <row r="62" spans="2:40" ht="30.75">
      <c r="B62" s="300">
        <v>38</v>
      </c>
      <c r="C62" s="301">
        <f t="shared" si="1"/>
        <v>31</v>
      </c>
      <c r="D62" s="134" t="s">
        <v>839</v>
      </c>
      <c r="E62" s="134"/>
      <c r="F62" s="148" t="s">
        <v>125</v>
      </c>
      <c r="G62" s="148" t="s">
        <v>122</v>
      </c>
      <c r="H62" s="148"/>
      <c r="I62" s="416">
        <v>1</v>
      </c>
      <c r="J62" s="416">
        <v>0.4</v>
      </c>
      <c r="K62" s="302">
        <f t="shared" si="2"/>
        <v>0.4</v>
      </c>
      <c r="L62" s="126">
        <v>148380.29</v>
      </c>
      <c r="M62" s="133"/>
      <c r="N62" s="30"/>
      <c r="O62" s="30"/>
      <c r="P62" s="30"/>
      <c r="Q62" s="303">
        <f t="shared" si="3"/>
        <v>148380.29</v>
      </c>
      <c r="R62" s="178">
        <f t="shared" si="4"/>
        <v>1</v>
      </c>
      <c r="S62" s="180">
        <f t="shared" si="5"/>
      </c>
      <c r="AL62" s="27"/>
      <c r="AM62" s="27"/>
      <c r="AN62" s="27"/>
    </row>
    <row r="63" spans="2:40" ht="30.75">
      <c r="B63" s="300">
        <v>39</v>
      </c>
      <c r="C63" s="301">
        <f t="shared" si="1"/>
        <v>31</v>
      </c>
      <c r="D63" s="134" t="s">
        <v>840</v>
      </c>
      <c r="E63" s="134"/>
      <c r="F63" s="148" t="s">
        <v>125</v>
      </c>
      <c r="G63" s="148" t="s">
        <v>122</v>
      </c>
      <c r="H63" s="148"/>
      <c r="I63" s="416">
        <v>1</v>
      </c>
      <c r="J63" s="416">
        <v>1</v>
      </c>
      <c r="K63" s="302">
        <f t="shared" si="2"/>
        <v>1</v>
      </c>
      <c r="L63" s="126">
        <v>147518.26</v>
      </c>
      <c r="M63" s="133"/>
      <c r="N63" s="30"/>
      <c r="O63" s="30"/>
      <c r="P63" s="30"/>
      <c r="Q63" s="303">
        <f t="shared" si="3"/>
        <v>147518.26</v>
      </c>
      <c r="R63" s="178">
        <f t="shared" si="4"/>
        <v>1</v>
      </c>
      <c r="S63" s="180">
        <f t="shared" si="5"/>
      </c>
      <c r="AL63" s="27"/>
      <c r="AM63" s="27"/>
      <c r="AN63" s="27"/>
    </row>
    <row r="64" spans="2:40" ht="30.75">
      <c r="B64" s="300">
        <v>40</v>
      </c>
      <c r="C64" s="301">
        <f t="shared" si="1"/>
        <v>31</v>
      </c>
      <c r="D64" s="134" t="s">
        <v>841</v>
      </c>
      <c r="E64" s="134"/>
      <c r="F64" s="148" t="s">
        <v>125</v>
      </c>
      <c r="G64" s="148" t="s">
        <v>122</v>
      </c>
      <c r="H64" s="148"/>
      <c r="I64" s="416">
        <v>1</v>
      </c>
      <c r="J64" s="416">
        <v>1</v>
      </c>
      <c r="K64" s="302">
        <f t="shared" si="2"/>
        <v>1</v>
      </c>
      <c r="L64" s="126">
        <v>6514.02</v>
      </c>
      <c r="M64" s="133"/>
      <c r="N64" s="30"/>
      <c r="O64" s="30"/>
      <c r="P64" s="30"/>
      <c r="Q64" s="303">
        <f t="shared" si="3"/>
        <v>6514.02</v>
      </c>
      <c r="R64" s="178">
        <f t="shared" si="4"/>
        <v>1</v>
      </c>
      <c r="S64" s="180">
        <f t="shared" si="5"/>
      </c>
      <c r="AL64" s="27"/>
      <c r="AM64" s="27"/>
      <c r="AN64" s="27"/>
    </row>
    <row r="65" spans="2:40" ht="30.75">
      <c r="B65" s="300">
        <v>41</v>
      </c>
      <c r="C65" s="301">
        <f t="shared" si="1"/>
        <v>31</v>
      </c>
      <c r="D65" s="134" t="s">
        <v>842</v>
      </c>
      <c r="E65" s="134"/>
      <c r="F65" s="148" t="s">
        <v>125</v>
      </c>
      <c r="G65" s="148" t="s">
        <v>127</v>
      </c>
      <c r="H65" s="148"/>
      <c r="I65" s="416">
        <v>1</v>
      </c>
      <c r="J65" s="416">
        <v>0.2</v>
      </c>
      <c r="K65" s="302">
        <f t="shared" si="2"/>
        <v>0.2</v>
      </c>
      <c r="L65" s="126">
        <v>35070.73754432042</v>
      </c>
      <c r="M65" s="133"/>
      <c r="N65" s="30"/>
      <c r="O65" s="30"/>
      <c r="P65" s="30"/>
      <c r="Q65" s="303">
        <f t="shared" si="3"/>
        <v>35070.73754432042</v>
      </c>
      <c r="R65" s="178">
        <f t="shared" si="4"/>
        <v>1</v>
      </c>
      <c r="S65" s="180">
        <f t="shared" si="5"/>
      </c>
      <c r="AL65" s="27"/>
      <c r="AM65" s="27"/>
      <c r="AN65" s="27"/>
    </row>
    <row r="66" spans="2:40" ht="30.75">
      <c r="B66" s="300">
        <v>42</v>
      </c>
      <c r="C66" s="301">
        <f aca="true" t="shared" si="6" ref="C66:C97">IF(AND(NOT(COUNTA(D66:J66)),(NOT(COUNTA(L66:P66)))),"",VLOOKUP($D$9,Info_County_Code,2,FALSE))</f>
        <v>31</v>
      </c>
      <c r="D66" s="134" t="s">
        <v>843</v>
      </c>
      <c r="E66" s="134"/>
      <c r="F66" s="148" t="s">
        <v>125</v>
      </c>
      <c r="G66" s="148" t="s">
        <v>127</v>
      </c>
      <c r="H66" s="148"/>
      <c r="I66" s="416">
        <v>1</v>
      </c>
      <c r="J66" s="416">
        <v>1</v>
      </c>
      <c r="K66" s="302">
        <f t="shared" si="2"/>
        <v>1</v>
      </c>
      <c r="L66" s="126">
        <v>144166.62245567955</v>
      </c>
      <c r="M66" s="133"/>
      <c r="N66" s="30"/>
      <c r="O66" s="30"/>
      <c r="P66" s="30"/>
      <c r="Q66" s="303">
        <f t="shared" si="3"/>
        <v>144166.62245567955</v>
      </c>
      <c r="R66" s="178">
        <f t="shared" si="4"/>
        <v>1</v>
      </c>
      <c r="S66" s="180">
        <f t="shared" si="5"/>
      </c>
      <c r="AL66" s="27"/>
      <c r="AM66" s="27"/>
      <c r="AN66" s="27"/>
    </row>
    <row r="67" spans="2:40" ht="30.75">
      <c r="B67" s="300">
        <v>43</v>
      </c>
      <c r="C67" s="301">
        <f t="shared" si="6"/>
        <v>31</v>
      </c>
      <c r="D67" s="134" t="s">
        <v>844</v>
      </c>
      <c r="E67" s="134"/>
      <c r="F67" s="148" t="s">
        <v>125</v>
      </c>
      <c r="G67" s="148" t="s">
        <v>127</v>
      </c>
      <c r="H67" s="148"/>
      <c r="I67" s="416">
        <v>1</v>
      </c>
      <c r="J67" s="416">
        <v>0.15</v>
      </c>
      <c r="K67" s="302">
        <f t="shared" si="2"/>
        <v>0.15</v>
      </c>
      <c r="L67" s="126">
        <v>16732.98</v>
      </c>
      <c r="M67" s="133"/>
      <c r="N67" s="30"/>
      <c r="O67" s="30"/>
      <c r="P67" s="30"/>
      <c r="Q67" s="303">
        <f t="shared" si="3"/>
        <v>16732.98</v>
      </c>
      <c r="R67" s="178">
        <f t="shared" si="4"/>
        <v>1</v>
      </c>
      <c r="S67" s="180">
        <f t="shared" si="5"/>
      </c>
      <c r="AL67" s="27"/>
      <c r="AM67" s="27"/>
      <c r="AN67" s="27"/>
    </row>
    <row r="68" spans="2:40" ht="30.75">
      <c r="B68" s="300">
        <v>44</v>
      </c>
      <c r="C68" s="301">
        <f t="shared" si="6"/>
        <v>31</v>
      </c>
      <c r="D68" s="134" t="s">
        <v>879</v>
      </c>
      <c r="E68" s="134" t="s">
        <v>845</v>
      </c>
      <c r="F68" s="148" t="s">
        <v>125</v>
      </c>
      <c r="G68" s="148" t="s">
        <v>127</v>
      </c>
      <c r="H68" s="148"/>
      <c r="I68" s="416">
        <v>1</v>
      </c>
      <c r="J68" s="416">
        <v>0.1</v>
      </c>
      <c r="K68" s="302">
        <f t="shared" si="2"/>
        <v>0.1</v>
      </c>
      <c r="L68" s="126">
        <v>2248.24</v>
      </c>
      <c r="M68" s="133"/>
      <c r="N68" s="30"/>
      <c r="O68" s="30"/>
      <c r="P68" s="30"/>
      <c r="Q68" s="303">
        <f t="shared" si="3"/>
        <v>2248.24</v>
      </c>
      <c r="R68" s="178">
        <f t="shared" si="4"/>
        <v>1</v>
      </c>
      <c r="S68" s="180">
        <f t="shared" si="5"/>
      </c>
      <c r="AL68" s="27"/>
      <c r="AM68" s="27"/>
      <c r="AN68" s="27"/>
    </row>
    <row r="69" spans="2:40" ht="30.75">
      <c r="B69" s="300">
        <v>45</v>
      </c>
      <c r="C69" s="301">
        <f t="shared" si="6"/>
        <v>31</v>
      </c>
      <c r="D69" s="134" t="s">
        <v>846</v>
      </c>
      <c r="E69" s="134"/>
      <c r="F69" s="148" t="s">
        <v>125</v>
      </c>
      <c r="G69" s="148" t="s">
        <v>129</v>
      </c>
      <c r="H69" s="148"/>
      <c r="I69" s="416">
        <v>1</v>
      </c>
      <c r="J69" s="416">
        <v>0.1</v>
      </c>
      <c r="K69" s="302">
        <f t="shared" si="2"/>
        <v>0.1</v>
      </c>
      <c r="L69" s="126">
        <v>21764.278505303933</v>
      </c>
      <c r="M69" s="133"/>
      <c r="N69" s="30"/>
      <c r="O69" s="30"/>
      <c r="P69" s="30"/>
      <c r="Q69" s="303">
        <f t="shared" si="3"/>
        <v>21764.278505303933</v>
      </c>
      <c r="R69" s="178">
        <f t="shared" si="4"/>
        <v>1</v>
      </c>
      <c r="S69" s="180">
        <f t="shared" si="5"/>
      </c>
      <c r="AL69" s="27"/>
      <c r="AM69" s="27"/>
      <c r="AN69" s="27"/>
    </row>
    <row r="70" spans="2:40" ht="15.75">
      <c r="B70" s="300">
        <v>46</v>
      </c>
      <c r="C70" s="301">
        <f t="shared" si="6"/>
        <v>31</v>
      </c>
      <c r="D70" s="134" t="s">
        <v>847</v>
      </c>
      <c r="E70" s="134"/>
      <c r="F70" s="148" t="s">
        <v>125</v>
      </c>
      <c r="G70" s="148" t="s">
        <v>129</v>
      </c>
      <c r="H70" s="148"/>
      <c r="I70" s="416">
        <v>1</v>
      </c>
      <c r="J70" s="416">
        <v>1</v>
      </c>
      <c r="K70" s="302">
        <f t="shared" si="2"/>
        <v>1</v>
      </c>
      <c r="L70" s="126">
        <v>21764.278505303933</v>
      </c>
      <c r="M70" s="133"/>
      <c r="N70" s="30"/>
      <c r="O70" s="30"/>
      <c r="P70" s="30"/>
      <c r="Q70" s="303">
        <f t="shared" si="3"/>
        <v>21764.278505303933</v>
      </c>
      <c r="R70" s="178">
        <f t="shared" si="4"/>
        <v>1</v>
      </c>
      <c r="S70" s="180">
        <f t="shared" si="5"/>
      </c>
      <c r="AL70" s="27"/>
      <c r="AM70" s="27"/>
      <c r="AN70" s="27"/>
    </row>
    <row r="71" spans="2:40" ht="30.75">
      <c r="B71" s="300">
        <v>47</v>
      </c>
      <c r="C71" s="301">
        <f t="shared" si="6"/>
        <v>31</v>
      </c>
      <c r="D71" s="134" t="s">
        <v>848</v>
      </c>
      <c r="E71" s="134"/>
      <c r="F71" s="148" t="s">
        <v>125</v>
      </c>
      <c r="G71" s="148" t="s">
        <v>129</v>
      </c>
      <c r="H71" s="148"/>
      <c r="I71" s="416">
        <v>1</v>
      </c>
      <c r="J71" s="416">
        <v>0.15</v>
      </c>
      <c r="K71" s="302">
        <f t="shared" si="2"/>
        <v>0.15</v>
      </c>
      <c r="L71" s="126">
        <v>14798.672989392137</v>
      </c>
      <c r="M71" s="133"/>
      <c r="N71" s="30"/>
      <c r="O71" s="30"/>
      <c r="P71" s="30"/>
      <c r="Q71" s="303">
        <f t="shared" si="3"/>
        <v>14798.672989392137</v>
      </c>
      <c r="R71" s="178">
        <f t="shared" si="4"/>
        <v>1</v>
      </c>
      <c r="S71" s="180">
        <f t="shared" si="5"/>
      </c>
      <c r="AL71" s="27"/>
      <c r="AM71" s="27"/>
      <c r="AN71" s="27"/>
    </row>
    <row r="72" spans="2:40" ht="30.75">
      <c r="B72" s="300">
        <v>48</v>
      </c>
      <c r="C72" s="301">
        <f t="shared" si="6"/>
        <v>31</v>
      </c>
      <c r="D72" s="134" t="s">
        <v>880</v>
      </c>
      <c r="E72" s="134" t="s">
        <v>849</v>
      </c>
      <c r="F72" s="148" t="s">
        <v>125</v>
      </c>
      <c r="G72" s="148" t="s">
        <v>129</v>
      </c>
      <c r="H72" s="148"/>
      <c r="I72" s="416">
        <v>1</v>
      </c>
      <c r="J72" s="416">
        <v>0.3</v>
      </c>
      <c r="K72" s="302">
        <f t="shared" si="2"/>
        <v>0.3</v>
      </c>
      <c r="L72" s="126">
        <v>18700</v>
      </c>
      <c r="M72" s="133"/>
      <c r="N72" s="30"/>
      <c r="O72" s="30"/>
      <c r="P72" s="30"/>
      <c r="Q72" s="303">
        <f t="shared" si="3"/>
        <v>18700</v>
      </c>
      <c r="R72" s="178">
        <f t="shared" si="4"/>
        <v>1</v>
      </c>
      <c r="S72" s="180">
        <f t="shared" si="5"/>
      </c>
      <c r="AL72" s="27"/>
      <c r="AM72" s="27"/>
      <c r="AN72" s="27"/>
    </row>
    <row r="73" spans="2:40" ht="30.75">
      <c r="B73" s="300">
        <v>49</v>
      </c>
      <c r="C73" s="301">
        <f t="shared" si="6"/>
        <v>31</v>
      </c>
      <c r="D73" s="134" t="s">
        <v>850</v>
      </c>
      <c r="E73" s="134"/>
      <c r="F73" s="148" t="s">
        <v>125</v>
      </c>
      <c r="G73" s="148" t="s">
        <v>128</v>
      </c>
      <c r="H73" s="148"/>
      <c r="I73" s="416">
        <v>1</v>
      </c>
      <c r="J73" s="416">
        <v>0.1</v>
      </c>
      <c r="K73" s="302">
        <f t="shared" si="2"/>
        <v>0.1</v>
      </c>
      <c r="L73" s="126">
        <v>14750</v>
      </c>
      <c r="M73" s="133"/>
      <c r="N73" s="30"/>
      <c r="O73" s="30"/>
      <c r="P73" s="30"/>
      <c r="Q73" s="303">
        <f t="shared" si="3"/>
        <v>14750</v>
      </c>
      <c r="R73" s="178">
        <f t="shared" si="4"/>
        <v>1</v>
      </c>
      <c r="S73" s="180">
        <f t="shared" si="5"/>
      </c>
      <c r="AL73" s="27"/>
      <c r="AM73" s="27"/>
      <c r="AN73" s="27"/>
    </row>
    <row r="74" spans="2:40" ht="30.75">
      <c r="B74" s="300">
        <v>50</v>
      </c>
      <c r="C74" s="301">
        <f t="shared" si="6"/>
        <v>31</v>
      </c>
      <c r="D74" s="134" t="s">
        <v>851</v>
      </c>
      <c r="E74" s="134"/>
      <c r="F74" s="148" t="s">
        <v>125</v>
      </c>
      <c r="G74" s="148" t="s">
        <v>128</v>
      </c>
      <c r="H74" s="148"/>
      <c r="I74" s="416">
        <v>1</v>
      </c>
      <c r="J74" s="416">
        <v>0.1</v>
      </c>
      <c r="K74" s="302">
        <f t="shared" si="2"/>
        <v>0.1</v>
      </c>
      <c r="L74" s="126">
        <v>14717.93</v>
      </c>
      <c r="M74" s="133"/>
      <c r="N74" s="30"/>
      <c r="O74" s="30"/>
      <c r="P74" s="30"/>
      <c r="Q74" s="303">
        <f t="shared" si="3"/>
        <v>14717.93</v>
      </c>
      <c r="R74" s="178">
        <f t="shared" si="4"/>
        <v>1</v>
      </c>
      <c r="S74" s="180">
        <f t="shared" si="5"/>
      </c>
      <c r="AL74" s="27"/>
      <c r="AM74" s="27"/>
      <c r="AN74" s="27"/>
    </row>
    <row r="75" spans="2:40" ht="30.75">
      <c r="B75" s="300">
        <v>51</v>
      </c>
      <c r="C75" s="301">
        <f t="shared" si="6"/>
        <v>31</v>
      </c>
      <c r="D75" s="134" t="s">
        <v>852</v>
      </c>
      <c r="E75" s="134"/>
      <c r="F75" s="148" t="s">
        <v>125</v>
      </c>
      <c r="G75" s="148" t="s">
        <v>128</v>
      </c>
      <c r="H75" s="148"/>
      <c r="I75" s="416">
        <v>1</v>
      </c>
      <c r="J75" s="416">
        <v>1</v>
      </c>
      <c r="K75" s="302">
        <f t="shared" si="2"/>
        <v>1</v>
      </c>
      <c r="L75" s="126">
        <v>65864.48999999999</v>
      </c>
      <c r="M75" s="133"/>
      <c r="N75" s="30"/>
      <c r="O75" s="30"/>
      <c r="P75" s="30"/>
      <c r="Q75" s="303">
        <f t="shared" si="3"/>
        <v>65864.48999999999</v>
      </c>
      <c r="R75" s="178">
        <f t="shared" si="4"/>
        <v>1</v>
      </c>
      <c r="S75" s="180">
        <f t="shared" si="5"/>
      </c>
      <c r="AL75" s="27"/>
      <c r="AM75" s="27"/>
      <c r="AN75" s="27"/>
    </row>
    <row r="76" spans="2:40" ht="15.75">
      <c r="B76" s="300">
        <v>52</v>
      </c>
      <c r="C76" s="301">
        <f t="shared" si="6"/>
        <v>31</v>
      </c>
      <c r="D76" s="134" t="s">
        <v>853</v>
      </c>
      <c r="E76" s="134"/>
      <c r="F76" s="148" t="s">
        <v>125</v>
      </c>
      <c r="G76" s="148" t="s">
        <v>128</v>
      </c>
      <c r="H76" s="148"/>
      <c r="I76" s="416">
        <v>1</v>
      </c>
      <c r="J76" s="416">
        <v>1</v>
      </c>
      <c r="K76" s="302">
        <f t="shared" si="2"/>
        <v>1</v>
      </c>
      <c r="L76" s="126">
        <v>13750</v>
      </c>
      <c r="M76" s="133"/>
      <c r="N76" s="30"/>
      <c r="O76" s="30"/>
      <c r="P76" s="30"/>
      <c r="Q76" s="303">
        <f t="shared" si="3"/>
        <v>13750</v>
      </c>
      <c r="R76" s="178">
        <f t="shared" si="4"/>
        <v>1</v>
      </c>
      <c r="S76" s="180">
        <f t="shared" si="5"/>
      </c>
      <c r="AL76" s="27"/>
      <c r="AM76" s="27"/>
      <c r="AN76" s="27"/>
    </row>
    <row r="77" spans="2:40" ht="15.75">
      <c r="B77" s="300">
        <v>53</v>
      </c>
      <c r="C77" s="301">
        <f t="shared" si="6"/>
        <v>31</v>
      </c>
      <c r="D77" s="134" t="s">
        <v>854</v>
      </c>
      <c r="E77" s="134"/>
      <c r="F77" s="148" t="s">
        <v>125</v>
      </c>
      <c r="G77" s="134" t="s">
        <v>118</v>
      </c>
      <c r="H77" s="148"/>
      <c r="I77" s="416">
        <v>1</v>
      </c>
      <c r="J77" s="416">
        <v>0</v>
      </c>
      <c r="K77" s="302">
        <f t="shared" si="2"/>
        <v>0</v>
      </c>
      <c r="L77" s="126">
        <v>24475</v>
      </c>
      <c r="M77" s="133"/>
      <c r="N77" s="30"/>
      <c r="O77" s="30"/>
      <c r="P77" s="30"/>
      <c r="Q77" s="303">
        <f t="shared" si="3"/>
        <v>24475</v>
      </c>
      <c r="R77" s="178">
        <f t="shared" si="4"/>
        <v>1</v>
      </c>
      <c r="S77" s="180">
        <f t="shared" si="5"/>
      </c>
      <c r="AL77" s="27"/>
      <c r="AM77" s="27"/>
      <c r="AN77" s="27"/>
    </row>
    <row r="78" spans="2:40" ht="30.75">
      <c r="B78" s="300">
        <v>54</v>
      </c>
      <c r="C78" s="301">
        <f t="shared" si="6"/>
        <v>31</v>
      </c>
      <c r="D78" s="134" t="s">
        <v>855</v>
      </c>
      <c r="E78" s="134"/>
      <c r="F78" s="148" t="s">
        <v>125</v>
      </c>
      <c r="G78" s="134" t="s">
        <v>118</v>
      </c>
      <c r="H78" s="148"/>
      <c r="I78" s="416">
        <v>1</v>
      </c>
      <c r="J78" s="416">
        <v>0</v>
      </c>
      <c r="K78" s="302">
        <f t="shared" si="2"/>
        <v>0</v>
      </c>
      <c r="L78" s="126">
        <v>91687.63</v>
      </c>
      <c r="M78" s="133"/>
      <c r="N78" s="30"/>
      <c r="O78" s="30"/>
      <c r="P78" s="30"/>
      <c r="Q78" s="303">
        <f t="shared" si="3"/>
        <v>91687.63</v>
      </c>
      <c r="R78" s="178">
        <f t="shared" si="4"/>
        <v>3</v>
      </c>
      <c r="S78" s="180" t="str">
        <f t="shared" si="5"/>
        <v>ERROR</v>
      </c>
      <c r="AL78" s="27"/>
      <c r="AM78" s="27"/>
      <c r="AN78" s="27"/>
    </row>
    <row r="79" spans="2:40" ht="30.75">
      <c r="B79" s="300">
        <v>55</v>
      </c>
      <c r="C79" s="301">
        <f t="shared" si="6"/>
        <v>31</v>
      </c>
      <c r="D79" s="134" t="s">
        <v>855</v>
      </c>
      <c r="E79" s="134"/>
      <c r="F79" s="148" t="s">
        <v>125</v>
      </c>
      <c r="G79" s="148" t="s">
        <v>118</v>
      </c>
      <c r="H79" s="148"/>
      <c r="I79" s="416">
        <v>1</v>
      </c>
      <c r="J79" s="416">
        <v>0</v>
      </c>
      <c r="K79" s="302">
        <f t="shared" si="2"/>
        <v>0</v>
      </c>
      <c r="L79" s="126"/>
      <c r="M79" s="133"/>
      <c r="N79" s="30"/>
      <c r="O79" s="30"/>
      <c r="P79" s="30"/>
      <c r="Q79" s="303">
        <f t="shared" si="3"/>
        <v>0</v>
      </c>
      <c r="R79" s="178">
        <f t="shared" si="4"/>
        <v>3</v>
      </c>
      <c r="S79" s="180" t="str">
        <f t="shared" si="5"/>
        <v>ERROR</v>
      </c>
      <c r="AL79" s="27"/>
      <c r="AM79" s="27"/>
      <c r="AN79" s="27"/>
    </row>
    <row r="80" spans="2:40" ht="30.75">
      <c r="B80" s="300">
        <v>56</v>
      </c>
      <c r="C80" s="301">
        <f t="shared" si="6"/>
        <v>31</v>
      </c>
      <c r="D80" s="134" t="s">
        <v>855</v>
      </c>
      <c r="E80" s="134"/>
      <c r="F80" s="148" t="s">
        <v>125</v>
      </c>
      <c r="G80" s="148" t="s">
        <v>118</v>
      </c>
      <c r="H80" s="148"/>
      <c r="I80" s="416">
        <v>1</v>
      </c>
      <c r="J80" s="416">
        <v>0</v>
      </c>
      <c r="K80" s="302">
        <f t="shared" si="2"/>
        <v>0</v>
      </c>
      <c r="L80" s="126"/>
      <c r="M80" s="133"/>
      <c r="N80" s="30"/>
      <c r="O80" s="30"/>
      <c r="P80" s="30"/>
      <c r="Q80" s="303">
        <f t="shared" si="3"/>
        <v>0</v>
      </c>
      <c r="R80" s="178">
        <f t="shared" si="4"/>
        <v>3</v>
      </c>
      <c r="S80" s="180" t="str">
        <f t="shared" si="5"/>
        <v>ERROR</v>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140625" style="393" hidden="1" customWidth="1"/>
    <col min="4" max="16384" width="9.1406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PlacerFY2019-20RER</dc:title>
  <dc:subject/>
  <dc:creator>Donna Ures</dc:creator>
  <cp:keywords>MHSA, RER</cp:keywords>
  <dc:description/>
  <cp:lastModifiedBy>Saelee, Katie (CSD)@DHCS</cp:lastModifiedBy>
  <cp:lastPrinted>2019-01-14T22:40:46Z</cp:lastPrinted>
  <dcterms:created xsi:type="dcterms:W3CDTF">2017-07-05T19:48:18Z</dcterms:created>
  <dcterms:modified xsi:type="dcterms:W3CDTF">2021-02-24T01:21:44Z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DHCSDOC-1797567310-3477</vt:lpwstr>
  </property>
  <property fmtid="{D5CDD505-2E9C-101B-9397-08002B2CF9AE}" pid="3" name="_dlc_DocIdItemGuid">
    <vt:lpwstr>782bdc14-4a19-42e6-bff4-17e61a289f89</vt:lpwstr>
  </property>
  <property fmtid="{D5CDD505-2E9C-101B-9397-08002B2CF9AE}" pid="4" name="_dlc_DocIdUrl">
    <vt:lpwstr>https://dhcscagovauthoring/_layouts/15/DocIdRedir.aspx?ID=DHCSDOC-1797567310-3477, DHCSDOC-1797567310-3477</vt:lpwstr>
  </property>
  <property fmtid="{D5CDD505-2E9C-101B-9397-08002B2CF9AE}" pid="5" name="TAGender">
    <vt:lpwstr/>
  </property>
  <property fmtid="{D5CDD505-2E9C-101B-9397-08002B2CF9AE}" pid="6" name="TAGEthnicity">
    <vt:lpwstr/>
  </property>
  <property fmtid="{D5CDD505-2E9C-101B-9397-08002B2CF9AE}" pid="7" name="Topics">
    <vt:lpwstr/>
  </property>
  <property fmtid="{D5CDD505-2E9C-101B-9397-08002B2CF9AE}" pid="8" name="Abstract">
    <vt:lpwstr>PlacerFY2019-20RER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Reading Level">
    <vt:lpwstr/>
  </property>
  <property fmtid="{D5CDD505-2E9C-101B-9397-08002B2CF9AE}" pid="13" name="TAGAge">
    <vt:lpwstr/>
  </property>
  <property fmtid="{D5CDD505-2E9C-101B-9397-08002B2CF9AE}" pid="14" name="Organization">
    <vt:lpwstr>103</vt:lpwstr>
  </property>
  <property fmtid="{D5CDD505-2E9C-101B-9397-08002B2CF9AE}" pid="15" name="Division">
    <vt:lpwstr>11;#Community Services|c23dee46-a4de-4c29-8bbc-79830d9e7d7c</vt:lpwstr>
  </property>
  <property fmtid="{D5CDD505-2E9C-101B-9397-08002B2CF9AE}" pid="16" name="o68eaf9243684232b2418c37bbb152dc">
    <vt:lpwstr>Community Services|c23dee46-a4de-4c29-8bbc-79830d9e7d7c</vt:lpwstr>
  </property>
  <property fmtid="{D5CDD505-2E9C-101B-9397-08002B2CF9AE}" pid="17" name="TaxCatchAll">
    <vt:lpwstr>11;#Community Services|c23dee46-a4de-4c29-8bbc-79830d9e7d7c</vt:lpwstr>
  </property>
</Properties>
</file>