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Gerstel\Desktop\"/>
    </mc:Choice>
  </mc:AlternateContent>
  <xr:revisionPtr revIDLastSave="0" documentId="13_ncr:1_{5989A6EC-3876-4B8E-BBC1-ADC40FB4001A}" xr6:coauthVersionLast="47" xr6:coauthVersionMax="47" xr10:uidLastSave="{00000000-0000-0000-0000-000000000000}"/>
  <workbookProtection lockStructure="1"/>
  <bookViews>
    <workbookView xWindow="-108" yWindow="-108" windowWidth="23256" windowHeight="13896" tabRatio="936" firstSheet="2" activeTab="13" xr2:uid="{96DF598B-0DA7-435D-AFE0-BD27742F3F33}"/>
  </bookViews>
  <sheets>
    <sheet name="Disclaimer" sheetId="22" r:id="rId1"/>
    <sheet name="Methodology &amp; Column Desc." sheetId="20" r:id="rId2"/>
    <sheet name="Summary - Rates 2026" sheetId="7" r:id="rId3"/>
    <sheet name="Summary - Rates 2027" sheetId="23" r:id="rId4"/>
    <sheet name="2027 Calcs" sheetId="8" r:id="rId5"/>
    <sheet name="Interim" sheetId="19" r:id="rId6"/>
    <sheet name="Budget Impact" sheetId="21" state="hidden" r:id="rId7"/>
    <sheet name="Data" sheetId="1" r:id="rId8"/>
    <sheet name="Sub Calc" sheetId="13" state="hidden" r:id="rId9"/>
    <sheet name="Closed Facilities" sheetId="5" state="hidden" r:id="rId10"/>
    <sheet name="Inflation Factors 2027" sheetId="3" r:id="rId11"/>
    <sheet name="SWB Ratio" sheetId="12" r:id="rId12"/>
    <sheet name="SB525 Add-Ons" sheetId="11" r:id="rId13"/>
    <sheet name="License Fees" sheetId="10" r:id="rId14"/>
  </sheets>
  <definedNames>
    <definedName name="_1__123Graph_ACHART_2" localSheetId="10" hidden="1">#REF!</definedName>
    <definedName name="_1__123Graph_ACHART_2" hidden="1">#REF!</definedName>
    <definedName name="_2__123Graph_ACHART_3" localSheetId="10" hidden="1">#REF!</definedName>
    <definedName name="_2__123Graph_ACHART_3" hidden="1">#REF!</definedName>
    <definedName name="_3__123Graph_BCHART_2" localSheetId="10" hidden="1">#REF!</definedName>
    <definedName name="_3__123Graph_BCHART_2" hidden="1">#REF!</definedName>
    <definedName name="_4__123Graph_CCHART_2" localSheetId="10" hidden="1">#REF!</definedName>
    <definedName name="_4__123Graph_CCHART_2" hidden="1">#REF!</definedName>
    <definedName name="_Fill" hidden="1">#REF!</definedName>
    <definedName name="_xlnm._FilterDatabase" localSheetId="4" hidden="1">'2027 Calcs'!$A$9:$AE$72</definedName>
    <definedName name="_xlnm._FilterDatabase" localSheetId="7" hidden="1">Data!$A$3:$T$66</definedName>
    <definedName name="_xlnm._FilterDatabase" localSheetId="5" hidden="1">Interim!$A$3:$K$4</definedName>
    <definedName name="_Key1" localSheetId="5" hidden="1">#REF!</definedName>
    <definedName name="_Key1" hidden="1">#REF!</definedName>
    <definedName name="_Order1" hidden="1">255</definedName>
    <definedName name="_Order2" hidden="1">255</definedName>
    <definedName name="_Regression_Out" localSheetId="10" hidden="1">#REF!</definedName>
    <definedName name="_Regression_Out" hidden="1">#REF!</definedName>
    <definedName name="_Sort" localSheetId="10" hidden="1">#REF!</definedName>
    <definedName name="_Sort" hidden="1">#REF!</definedName>
    <definedName name="AllRates">#REF!</definedName>
    <definedName name="AllWeightedRates">#REF!</definedName>
    <definedName name="CAMONTHS">#REF!</definedName>
    <definedName name="CASERIES">#REF!</definedName>
    <definedName name="CAWTMONTHS">#REF!</definedName>
    <definedName name="CAWTSERIES">#REF!</definedName>
    <definedName name="CY_Add_ons">#REF!</definedName>
    <definedName name="DateRange">#REF!</definedName>
    <definedName name="ddh">#REF!</definedName>
    <definedName name="ddn" hidden="1">#REF!</definedName>
    <definedName name="DefaultVentPct">#REF!</definedName>
    <definedName name="Distribution_of_Days">#REF!</definedName>
    <definedName name="DP_Data">#REF!</definedName>
    <definedName name="DP_Median">#REF!</definedName>
    <definedName name="DP_Median_WOaddons">#REF!</definedName>
    <definedName name="ff">#REF!</definedName>
    <definedName name="Fiscal_Period_Parameters">#REF!</definedName>
    <definedName name="FPB">#REF!</definedName>
    <definedName name="FPE">#REF!</definedName>
    <definedName name="k" hidden="1">#REF!</definedName>
    <definedName name="MinWages">#REF!</definedName>
    <definedName name="MONTHS_________" localSheetId="10">#REF!</definedName>
    <definedName name="MONTHS_________">#REF!</definedName>
    <definedName name="_xlnm.Print_Area" localSheetId="10">#REF!</definedName>
    <definedName name="_xlnm.Print_Area" localSheetId="5">#REF!</definedName>
    <definedName name="_xlnm.Print_Area">#REF!</definedName>
    <definedName name="PRINT_AREA_MI" localSheetId="10">#REF!</definedName>
    <definedName name="PRINT_AREA_MI">#REF!</definedName>
    <definedName name="PRINT_TITLES_MI">#REF!</definedName>
    <definedName name="Provider_NPI">#REF!</definedName>
    <definedName name="PY_Median">#REF!</definedName>
    <definedName name="PY_Median_WOaddons">#REF!</definedName>
    <definedName name="Query2" localSheetId="10">#REF!</definedName>
    <definedName name="Query2" localSheetId="5">#REF!</definedName>
    <definedName name="Query2">#REF!</definedName>
    <definedName name="SERIES_________" localSheetId="10">#REF!</definedName>
    <definedName name="SERIES_________" localSheetId="5">#REF!</definedName>
    <definedName name="SERIES_________">#REF!</definedName>
    <definedName name="SWB_Pct">#REF!</definedName>
    <definedName name="tblDDH_DDN_2021">#REF!</definedName>
    <definedName name="tblRateDataHistory">#REF!</definedName>
    <definedName name="TitleRegion1.a4.b15.3">'Methodology &amp; Column Desc.'!$A$7</definedName>
    <definedName name="TitleRegion2.a17.b18.3">'Methodology &amp; Column Desc.'!$A$20</definedName>
    <definedName name="TitleRegion3.a20.b24.3">'Methodology &amp; Column Desc.'!$A$23</definedName>
    <definedName name="TitleRegion4.a26.b31.3">'Methodology &amp; Column Desc.'!$A$28</definedName>
    <definedName name="TitleRegion5.a33.b34.3">'Methodology &amp; Column Desc.'!$A$35</definedName>
    <definedName name="TitleRegion6.a36.b37.3">'Methodology &amp; Column Desc.'!$A$37</definedName>
    <definedName name="TitleRegion7.a39.b40.3">'Methodology &amp; Column Desc.'!#REF!</definedName>
    <definedName name="TitleRegion8.a42.b43.3">'Methodology &amp; Column Desc.'!$A$40</definedName>
    <definedName name="TitleRegion9.a45.b53.3">'Methodology &amp; Column Desc.'!$A$43</definedName>
    <definedName name="TotalMedi_CalDays">#REF!</definedName>
    <definedName name="TYPE">#REF!</definedName>
    <definedName name="USMONTHS">#REF!</definedName>
    <definedName name="USSERIES">#REF!</definedName>
    <definedName name="USWT">#REF!</definedName>
    <definedName name="USWTMONTH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3" l="1"/>
  <c r="F2" i="13" s="1"/>
  <c r="O3" i="13"/>
  <c r="P3" i="13" s="1"/>
  <c r="O6" i="13"/>
  <c r="P6" i="13" s="1"/>
  <c r="O7" i="13"/>
  <c r="P7" i="13" s="1"/>
  <c r="O9" i="13"/>
  <c r="P9" i="13" s="1"/>
  <c r="O10" i="13"/>
  <c r="P10" i="13" s="1"/>
  <c r="O11" i="13"/>
  <c r="P11" i="13" s="1"/>
  <c r="O12" i="13"/>
  <c r="P12" i="13" s="1"/>
  <c r="O13" i="13"/>
  <c r="P13" i="13" s="1"/>
  <c r="O15" i="13"/>
  <c r="P15" i="13" s="1"/>
  <c r="O16" i="13"/>
  <c r="P16" i="13" s="1"/>
  <c r="O18" i="13"/>
  <c r="P18" i="13" s="1"/>
  <c r="O20" i="13"/>
  <c r="P20" i="13" s="1"/>
  <c r="O22" i="13"/>
  <c r="P22" i="13" s="1"/>
  <c r="O23" i="13"/>
  <c r="P23" i="13" s="1"/>
  <c r="O24" i="13"/>
  <c r="P24" i="13" s="1"/>
  <c r="O25" i="13"/>
  <c r="P25" i="13" s="1"/>
  <c r="O26" i="13"/>
  <c r="P26" i="13" s="1"/>
  <c r="O28" i="13"/>
  <c r="P28" i="13" s="1"/>
  <c r="O29" i="13"/>
  <c r="P29" i="13" s="1"/>
  <c r="O31" i="13"/>
  <c r="P31" i="13" s="1"/>
  <c r="O33" i="13"/>
  <c r="P33" i="13" s="1"/>
  <c r="O35" i="13"/>
  <c r="P35" i="13" s="1"/>
  <c r="O37" i="13"/>
  <c r="P37" i="13" s="1"/>
  <c r="O38" i="13"/>
  <c r="P38" i="13" s="1"/>
  <c r="O40" i="13"/>
  <c r="P40" i="13" s="1"/>
  <c r="O41" i="13"/>
  <c r="P41" i="13" s="1"/>
  <c r="O42" i="13"/>
  <c r="P42" i="13" s="1"/>
  <c r="O43" i="13"/>
  <c r="P43" i="13" s="1"/>
  <c r="O44" i="13"/>
  <c r="P44" i="13" s="1"/>
  <c r="O46" i="13"/>
  <c r="P46" i="13" s="1"/>
  <c r="O47" i="13"/>
  <c r="P47" i="13" s="1"/>
  <c r="O48" i="13"/>
  <c r="P48" i="13" s="1"/>
  <c r="O49" i="13"/>
  <c r="P49" i="13" s="1"/>
  <c r="O51" i="13"/>
  <c r="P51" i="13" s="1"/>
  <c r="O52" i="13"/>
  <c r="P52" i="13" s="1"/>
  <c r="O53" i="13"/>
  <c r="P53" i="13" s="1"/>
  <c r="O54" i="13"/>
  <c r="P54" i="13" s="1"/>
  <c r="O55" i="13"/>
  <c r="P55" i="13" s="1"/>
  <c r="O59" i="13"/>
  <c r="P59" i="13" s="1"/>
  <c r="O61" i="13"/>
  <c r="P61" i="13" s="1"/>
  <c r="O62" i="13"/>
  <c r="P62" i="13" s="1"/>
  <c r="O2" i="13"/>
  <c r="P2" i="13" s="1"/>
  <c r="A3" i="13"/>
  <c r="F3" i="13" s="1"/>
  <c r="B3" i="13"/>
  <c r="A4" i="13"/>
  <c r="F4" i="13" s="1"/>
  <c r="B4" i="13"/>
  <c r="A5" i="13"/>
  <c r="F5" i="13" s="1"/>
  <c r="B5" i="13"/>
  <c r="A6" i="13"/>
  <c r="F6" i="13" s="1"/>
  <c r="B6" i="13"/>
  <c r="A7" i="13"/>
  <c r="F7" i="13" s="1"/>
  <c r="B7" i="13"/>
  <c r="A8" i="13"/>
  <c r="F8" i="13" s="1"/>
  <c r="B8" i="13"/>
  <c r="A9" i="13"/>
  <c r="F9" i="13" s="1"/>
  <c r="B9" i="13"/>
  <c r="A10" i="13"/>
  <c r="F10" i="13" s="1"/>
  <c r="B10" i="13"/>
  <c r="A11" i="13"/>
  <c r="F11" i="13" s="1"/>
  <c r="B11" i="13"/>
  <c r="A12" i="13"/>
  <c r="F12" i="13" s="1"/>
  <c r="B12" i="13"/>
  <c r="A13" i="13"/>
  <c r="F13" i="13" s="1"/>
  <c r="B13" i="13"/>
  <c r="A14" i="13"/>
  <c r="F14" i="13" s="1"/>
  <c r="B14" i="13"/>
  <c r="A15" i="13"/>
  <c r="F15" i="13" s="1"/>
  <c r="B15" i="13"/>
  <c r="A16" i="13"/>
  <c r="F16" i="13" s="1"/>
  <c r="B16" i="13"/>
  <c r="A17" i="13"/>
  <c r="F17" i="13" s="1"/>
  <c r="B17" i="13"/>
  <c r="A18" i="13"/>
  <c r="F18" i="13" s="1"/>
  <c r="B18" i="13"/>
  <c r="A19" i="13"/>
  <c r="F19" i="13" s="1"/>
  <c r="B19" i="13"/>
  <c r="A20" i="13"/>
  <c r="F20" i="13" s="1"/>
  <c r="B20" i="13"/>
  <c r="A21" i="13"/>
  <c r="F21" i="13" s="1"/>
  <c r="B21" i="13"/>
  <c r="A22" i="13"/>
  <c r="F22" i="13" s="1"/>
  <c r="B22" i="13"/>
  <c r="A23" i="13"/>
  <c r="F23" i="13" s="1"/>
  <c r="B23" i="13"/>
  <c r="A24" i="13"/>
  <c r="F24" i="13" s="1"/>
  <c r="B24" i="13"/>
  <c r="A25" i="13"/>
  <c r="F25" i="13" s="1"/>
  <c r="B25" i="13"/>
  <c r="A26" i="13"/>
  <c r="F26" i="13" s="1"/>
  <c r="B26" i="13"/>
  <c r="A27" i="13"/>
  <c r="F27" i="13" s="1"/>
  <c r="B27" i="13"/>
  <c r="A28" i="13"/>
  <c r="F28" i="13" s="1"/>
  <c r="B28" i="13"/>
  <c r="A29" i="13"/>
  <c r="F29" i="13" s="1"/>
  <c r="B29" i="13"/>
  <c r="A30" i="13"/>
  <c r="F30" i="13" s="1"/>
  <c r="B30" i="13"/>
  <c r="A31" i="13"/>
  <c r="F31" i="13" s="1"/>
  <c r="B31" i="13"/>
  <c r="A32" i="13"/>
  <c r="F32" i="13" s="1"/>
  <c r="B32" i="13"/>
  <c r="A33" i="13"/>
  <c r="F33" i="13" s="1"/>
  <c r="B33" i="13"/>
  <c r="A34" i="13"/>
  <c r="F34" i="13" s="1"/>
  <c r="B34" i="13"/>
  <c r="A35" i="13"/>
  <c r="F35" i="13" s="1"/>
  <c r="B35" i="13"/>
  <c r="A36" i="13"/>
  <c r="F36" i="13" s="1"/>
  <c r="B36" i="13"/>
  <c r="A37" i="13"/>
  <c r="F37" i="13" s="1"/>
  <c r="B37" i="13"/>
  <c r="A38" i="13"/>
  <c r="F38" i="13" s="1"/>
  <c r="B38" i="13"/>
  <c r="A39" i="13"/>
  <c r="F39" i="13" s="1"/>
  <c r="B39" i="13"/>
  <c r="A40" i="13"/>
  <c r="B40" i="13"/>
  <c r="A41" i="13"/>
  <c r="F41" i="13" s="1"/>
  <c r="B41" i="13"/>
  <c r="A42" i="13"/>
  <c r="F42" i="13" s="1"/>
  <c r="B42" i="13"/>
  <c r="A43" i="13"/>
  <c r="F43" i="13" s="1"/>
  <c r="B43" i="13"/>
  <c r="A44" i="13"/>
  <c r="F44" i="13" s="1"/>
  <c r="B44" i="13"/>
  <c r="A45" i="13"/>
  <c r="F45" i="13" s="1"/>
  <c r="B45" i="13"/>
  <c r="A46" i="13"/>
  <c r="F46" i="13" s="1"/>
  <c r="B46" i="13"/>
  <c r="A47" i="13"/>
  <c r="F47" i="13" s="1"/>
  <c r="B47" i="13"/>
  <c r="A48" i="13"/>
  <c r="F48" i="13" s="1"/>
  <c r="B48" i="13"/>
  <c r="A49" i="13"/>
  <c r="B49" i="13"/>
  <c r="A50" i="13"/>
  <c r="F50" i="13" s="1"/>
  <c r="B50" i="13"/>
  <c r="A51" i="13"/>
  <c r="F51" i="13" s="1"/>
  <c r="B51" i="13"/>
  <c r="A52" i="13"/>
  <c r="F52" i="13" s="1"/>
  <c r="B52" i="13"/>
  <c r="A53" i="13"/>
  <c r="F53" i="13" s="1"/>
  <c r="B53" i="13"/>
  <c r="A54" i="13"/>
  <c r="B54" i="13"/>
  <c r="A55" i="13"/>
  <c r="F55" i="13" s="1"/>
  <c r="B55" i="13"/>
  <c r="A56" i="13"/>
  <c r="F56" i="13" s="1"/>
  <c r="B56" i="13"/>
  <c r="A57" i="13"/>
  <c r="F57" i="13" s="1"/>
  <c r="B57" i="13"/>
  <c r="A58" i="13"/>
  <c r="F58" i="13" s="1"/>
  <c r="B58" i="13"/>
  <c r="A59" i="13"/>
  <c r="F59" i="13" s="1"/>
  <c r="B59" i="13"/>
  <c r="A60" i="13"/>
  <c r="F60" i="13" s="1"/>
  <c r="B60" i="13"/>
  <c r="A61" i="13"/>
  <c r="F61" i="13" s="1"/>
  <c r="B61" i="13"/>
  <c r="A62" i="13"/>
  <c r="F62" i="13" s="1"/>
  <c r="B62" i="13"/>
  <c r="B2" i="13"/>
  <c r="C60" i="13" l="1"/>
  <c r="D60" i="13" s="1"/>
  <c r="C52" i="13"/>
  <c r="D52" i="13" s="1"/>
  <c r="E52" i="13" s="1"/>
  <c r="C48" i="13"/>
  <c r="D48" i="13" s="1"/>
  <c r="C4" i="13"/>
  <c r="D4" i="13" s="1"/>
  <c r="C28" i="13"/>
  <c r="D28" i="13" s="1"/>
  <c r="C24" i="13"/>
  <c r="D24" i="13" s="1"/>
  <c r="C31" i="13"/>
  <c r="D31" i="13" s="1"/>
  <c r="E31" i="13" s="1"/>
  <c r="C59" i="13"/>
  <c r="D59" i="13" s="1"/>
  <c r="C51" i="13"/>
  <c r="D51" i="13" s="1"/>
  <c r="E51" i="13" s="1"/>
  <c r="C3" i="13"/>
  <c r="D3" i="13" s="1"/>
  <c r="C45" i="13"/>
  <c r="D45" i="13" s="1"/>
  <c r="E45" i="13" s="1"/>
  <c r="C37" i="13"/>
  <c r="D37" i="13" s="1"/>
  <c r="E37" i="13" s="1"/>
  <c r="C9" i="13"/>
  <c r="D9" i="13" s="1"/>
  <c r="C5" i="13"/>
  <c r="D5" i="13" s="1"/>
  <c r="C46" i="13"/>
  <c r="D46" i="13" s="1"/>
  <c r="C30" i="13"/>
  <c r="D30" i="13" s="1"/>
  <c r="C22" i="13"/>
  <c r="D22" i="13" s="1"/>
  <c r="C20" i="13"/>
  <c r="D20" i="13" s="1"/>
  <c r="C12" i="13"/>
  <c r="D12" i="13" s="1"/>
  <c r="E12" i="13" s="1"/>
  <c r="C8" i="13"/>
  <c r="D8" i="13" s="1"/>
  <c r="C38" i="13"/>
  <c r="D38" i="13" s="1"/>
  <c r="C19" i="13"/>
  <c r="D19" i="13" s="1"/>
  <c r="E19" i="13" s="1"/>
  <c r="C11" i="13"/>
  <c r="D11" i="13" s="1"/>
  <c r="E11" i="13" s="1"/>
  <c r="C14" i="13"/>
  <c r="D14" i="13" s="1"/>
  <c r="C44" i="13"/>
  <c r="D44" i="13" s="1"/>
  <c r="C36" i="13"/>
  <c r="D36" i="13" s="1"/>
  <c r="C21" i="13"/>
  <c r="D21" i="13" s="1"/>
  <c r="C6" i="13"/>
  <c r="D6" i="13" s="1"/>
  <c r="C61" i="13"/>
  <c r="D61" i="13" s="1"/>
  <c r="E61" i="13" s="1"/>
  <c r="C54" i="13"/>
  <c r="D54" i="13" s="1"/>
  <c r="C57" i="13"/>
  <c r="D57" i="13" s="1"/>
  <c r="C41" i="13"/>
  <c r="D41" i="13" s="1"/>
  <c r="C27" i="13"/>
  <c r="D27" i="13" s="1"/>
  <c r="C23" i="13"/>
  <c r="D23" i="13" s="1"/>
  <c r="C17" i="13"/>
  <c r="D17" i="13" s="1"/>
  <c r="C10" i="13"/>
  <c r="D10" i="13" s="1"/>
  <c r="C13" i="13"/>
  <c r="D13" i="13" s="1"/>
  <c r="C55" i="13"/>
  <c r="D55" i="13" s="1"/>
  <c r="C32" i="13"/>
  <c r="D32" i="13" s="1"/>
  <c r="F40" i="13"/>
  <c r="C40" i="13"/>
  <c r="D40" i="13" s="1"/>
  <c r="C49" i="13"/>
  <c r="D49" i="13" s="1"/>
  <c r="F49" i="13"/>
  <c r="C50" i="13"/>
  <c r="D50" i="13" s="1"/>
  <c r="C43" i="13"/>
  <c r="D43" i="13" s="1"/>
  <c r="C33" i="13"/>
  <c r="D33" i="13" s="1"/>
  <c r="C26" i="13"/>
  <c r="D26" i="13" s="1"/>
  <c r="C15" i="13"/>
  <c r="D15" i="13" s="1"/>
  <c r="C62" i="13"/>
  <c r="D62" i="13" s="1"/>
  <c r="C53" i="13"/>
  <c r="D53" i="13" s="1"/>
  <c r="C42" i="13"/>
  <c r="D42" i="13" s="1"/>
  <c r="C39" i="13"/>
  <c r="D39" i="13" s="1"/>
  <c r="C34" i="13"/>
  <c r="D34" i="13" s="1"/>
  <c r="C29" i="13"/>
  <c r="D29" i="13" s="1"/>
  <c r="C25" i="13"/>
  <c r="D25" i="13" s="1"/>
  <c r="C18" i="13"/>
  <c r="D18" i="13" s="1"/>
  <c r="C7" i="13"/>
  <c r="C58" i="13"/>
  <c r="D58" i="13" s="1"/>
  <c r="C47" i="13"/>
  <c r="F54" i="13"/>
  <c r="C56" i="13"/>
  <c r="D56" i="13" s="1"/>
  <c r="C35" i="13"/>
  <c r="D35" i="13" s="1"/>
  <c r="C16" i="13"/>
  <c r="D16" i="13" s="1"/>
  <c r="C2" i="13"/>
  <c r="D2" i="13" s="1"/>
  <c r="E48" i="13" l="1"/>
  <c r="E24" i="13"/>
  <c r="E4" i="13"/>
  <c r="E60" i="13"/>
  <c r="K35" i="13"/>
  <c r="K4" i="13"/>
  <c r="K12" i="13"/>
  <c r="K20" i="13"/>
  <c r="K28" i="13"/>
  <c r="K36" i="13"/>
  <c r="K44" i="13"/>
  <c r="K52" i="13"/>
  <c r="K60" i="13"/>
  <c r="K32" i="13"/>
  <c r="K48" i="13"/>
  <c r="K19" i="13"/>
  <c r="K5" i="13"/>
  <c r="K13" i="13"/>
  <c r="K21" i="13"/>
  <c r="K29" i="13"/>
  <c r="K37" i="13"/>
  <c r="K45" i="13"/>
  <c r="K53" i="13"/>
  <c r="K61" i="13"/>
  <c r="K24" i="13"/>
  <c r="K3" i="13"/>
  <c r="K43" i="13"/>
  <c r="K6" i="13"/>
  <c r="K14" i="13"/>
  <c r="K22" i="13"/>
  <c r="K30" i="13"/>
  <c r="K38" i="13"/>
  <c r="K46" i="13"/>
  <c r="K54" i="13"/>
  <c r="K62" i="13"/>
  <c r="K16" i="13"/>
  <c r="K56" i="13"/>
  <c r="K27" i="13"/>
  <c r="K7" i="13"/>
  <c r="K15" i="13"/>
  <c r="K23" i="13"/>
  <c r="K31" i="13"/>
  <c r="K39" i="13"/>
  <c r="K47" i="13"/>
  <c r="K55" i="13"/>
  <c r="K2" i="13"/>
  <c r="K8" i="13"/>
  <c r="K40" i="13"/>
  <c r="K11" i="13"/>
  <c r="K51" i="13"/>
  <c r="K9" i="13"/>
  <c r="K17" i="13"/>
  <c r="K25" i="13"/>
  <c r="K33" i="13"/>
  <c r="K41" i="13"/>
  <c r="K49" i="13"/>
  <c r="K57" i="13"/>
  <c r="K10" i="13"/>
  <c r="K26" i="13"/>
  <c r="K34" i="13"/>
  <c r="K42" i="13"/>
  <c r="K50" i="13"/>
  <c r="K58" i="13"/>
  <c r="K59" i="13"/>
  <c r="K18" i="13"/>
  <c r="E28" i="13"/>
  <c r="E6" i="13"/>
  <c r="E21" i="13"/>
  <c r="E5" i="13"/>
  <c r="E38" i="13"/>
  <c r="E46" i="13"/>
  <c r="E9" i="13"/>
  <c r="E13" i="13"/>
  <c r="E22" i="13"/>
  <c r="E36" i="13"/>
  <c r="E30" i="13"/>
  <c r="E14" i="13"/>
  <c r="E20" i="13"/>
  <c r="E44" i="13"/>
  <c r="E55" i="13"/>
  <c r="E42" i="13"/>
  <c r="E27" i="13"/>
  <c r="D7" i="13"/>
  <c r="E7" i="13" s="1"/>
  <c r="D47" i="13"/>
  <c r="E47" i="13" s="1"/>
  <c r="E32" i="13"/>
  <c r="E40" i="13"/>
  <c r="E23" i="13"/>
  <c r="E62" i="13"/>
  <c r="E58" i="13"/>
  <c r="E3" i="13"/>
  <c r="E26" i="13"/>
  <c r="E53" i="13"/>
  <c r="E59" i="13"/>
  <c r="E18" i="13"/>
  <c r="E34" i="13"/>
  <c r="E29" i="13"/>
  <c r="E8" i="13"/>
  <c r="E50" i="13"/>
  <c r="E54" i="13"/>
  <c r="E25" i="13"/>
  <c r="E56" i="13"/>
  <c r="E10" i="13"/>
  <c r="E41" i="13"/>
  <c r="E49" i="13"/>
  <c r="E17" i="13"/>
  <c r="E43" i="13"/>
  <c r="E57" i="13"/>
  <c r="E33" i="13"/>
  <c r="E15" i="13" l="1"/>
  <c r="E39" i="13"/>
  <c r="E35" i="13"/>
  <c r="E16" i="13"/>
  <c r="E2" i="13"/>
  <c r="AQ2" i="5" l="1"/>
  <c r="AL2" i="5"/>
  <c r="AH2" i="5"/>
  <c r="AI2" i="5" s="1"/>
  <c r="AG2" i="5"/>
  <c r="AA2" i="5"/>
  <c r="S2" i="5"/>
  <c r="N2" i="5"/>
  <c r="AS2" i="5" s="1"/>
  <c r="H2" i="5"/>
  <c r="AJ2" i="5" l="1"/>
  <c r="AK2" i="5" s="1"/>
  <c r="AC2" i="5"/>
  <c r="AB2" i="5" s="1"/>
  <c r="AD2" i="5" s="1"/>
  <c r="AF2" i="5" l="1"/>
  <c r="AE2" i="5"/>
  <c r="AM2" i="5" s="1"/>
  <c r="B4" i="21" l="1"/>
  <c r="M49" i="13"/>
  <c r="N49" i="13" s="1"/>
  <c r="M15" i="13"/>
  <c r="N15" i="13" s="1"/>
  <c r="M47" i="13"/>
  <c r="N47" i="13" s="1"/>
  <c r="M12" i="13"/>
  <c r="N12" i="13" s="1"/>
  <c r="M43" i="13"/>
  <c r="N43" i="13" s="1"/>
  <c r="M10" i="13"/>
  <c r="N10" i="13" s="1"/>
  <c r="M40" i="13"/>
  <c r="N40" i="13" s="1"/>
  <c r="M9" i="13"/>
  <c r="N9" i="13" s="1"/>
  <c r="M33" i="13"/>
  <c r="N33" i="13" s="1"/>
  <c r="M61" i="13"/>
  <c r="N61" i="13" s="1"/>
  <c r="M23" i="13"/>
  <c r="N23" i="13" s="1"/>
  <c r="M54" i="13"/>
  <c r="N54" i="13" s="1"/>
  <c r="M22" i="13"/>
  <c r="N22" i="13" s="1"/>
  <c r="M53" i="13"/>
  <c r="N53" i="13" s="1"/>
  <c r="M16" i="13"/>
  <c r="N16" i="13" s="1"/>
  <c r="G59" i="13"/>
  <c r="G51" i="13"/>
  <c r="G43" i="13"/>
  <c r="G27" i="13"/>
  <c r="G19" i="13"/>
  <c r="G31" i="13"/>
  <c r="G23" i="13"/>
  <c r="G7" i="13"/>
  <c r="B3" i="21" l="1"/>
  <c r="F4" i="21"/>
  <c r="M62" i="13"/>
  <c r="M32" i="13"/>
  <c r="M5" i="13"/>
  <c r="M3" i="13"/>
  <c r="M35" i="13"/>
  <c r="M28" i="13"/>
  <c r="M14" i="13"/>
  <c r="M60" i="13"/>
  <c r="M38" i="13"/>
  <c r="M55" i="13"/>
  <c r="M18" i="13"/>
  <c r="M58" i="13"/>
  <c r="M29" i="13"/>
  <c r="M56" i="13"/>
  <c r="M48" i="13"/>
  <c r="M21" i="13"/>
  <c r="M11" i="13"/>
  <c r="M51" i="13"/>
  <c r="M36" i="13"/>
  <c r="M57" i="13"/>
  <c r="M42" i="13"/>
  <c r="N42" i="13" s="1"/>
  <c r="M6" i="13"/>
  <c r="M46" i="13"/>
  <c r="M41" i="13"/>
  <c r="M26" i="13"/>
  <c r="M45" i="13"/>
  <c r="M8" i="13"/>
  <c r="M25" i="13"/>
  <c r="M4" i="13"/>
  <c r="M37" i="13"/>
  <c r="N37" i="13" s="1"/>
  <c r="M19" i="13"/>
  <c r="M59" i="13"/>
  <c r="N59" i="13" s="1"/>
  <c r="M52" i="13"/>
  <c r="M7" i="13"/>
  <c r="M34" i="13"/>
  <c r="M24" i="13"/>
  <c r="M44" i="13"/>
  <c r="M27" i="13"/>
  <c r="M20" i="13"/>
  <c r="N20" i="13" s="1"/>
  <c r="M17" i="13"/>
  <c r="M30" i="13"/>
  <c r="M31" i="13"/>
  <c r="M50" i="13"/>
  <c r="M13" i="13"/>
  <c r="N13" i="13" s="1"/>
  <c r="M39" i="13"/>
  <c r="H44" i="13"/>
  <c r="I44" i="13" s="1"/>
  <c r="H31" i="13"/>
  <c r="I31" i="13" s="1"/>
  <c r="J31" i="13" s="1"/>
  <c r="L31" i="13" s="1"/>
  <c r="G44" i="13"/>
  <c r="G8" i="13"/>
  <c r="G52" i="13"/>
  <c r="G40" i="13"/>
  <c r="G36" i="13"/>
  <c r="H52" i="13"/>
  <c r="I52" i="13" s="1"/>
  <c r="H24" i="13"/>
  <c r="I24" i="13" s="1"/>
  <c r="H51" i="13"/>
  <c r="I51" i="13" s="1"/>
  <c r="J51" i="13" s="1"/>
  <c r="L51" i="13" s="1"/>
  <c r="G4" i="13"/>
  <c r="G47" i="13"/>
  <c r="H15" i="13"/>
  <c r="I15" i="13" s="1"/>
  <c r="G15" i="13"/>
  <c r="H59" i="13"/>
  <c r="I59" i="13" s="1"/>
  <c r="J59" i="13" s="1"/>
  <c r="L59" i="13" s="1"/>
  <c r="H11" i="13"/>
  <c r="I11" i="13" s="1"/>
  <c r="H35" i="13"/>
  <c r="I35" i="13" s="1"/>
  <c r="H20" i="13"/>
  <c r="I20" i="13" s="1"/>
  <c r="H16" i="13"/>
  <c r="I16" i="13" s="1"/>
  <c r="G39" i="13"/>
  <c r="H8" i="13"/>
  <c r="I8" i="13" s="1"/>
  <c r="H43" i="13"/>
  <c r="I43" i="13" s="1"/>
  <c r="J43" i="13" s="1"/>
  <c r="L43" i="13" s="1"/>
  <c r="G55" i="13"/>
  <c r="G11" i="13"/>
  <c r="G20" i="13"/>
  <c r="G16" i="13"/>
  <c r="H23" i="13"/>
  <c r="I23" i="13" s="1"/>
  <c r="J23" i="13" s="1"/>
  <c r="L23" i="13" s="1"/>
  <c r="H27" i="13"/>
  <c r="I27" i="13" s="1"/>
  <c r="J27" i="13" s="1"/>
  <c r="L27" i="13" s="1"/>
  <c r="H55" i="13"/>
  <c r="I55" i="13" s="1"/>
  <c r="H4" i="13"/>
  <c r="I4" i="13" s="1"/>
  <c r="G24" i="13"/>
  <c r="H7" i="13"/>
  <c r="I7" i="13" s="1"/>
  <c r="J7" i="13" s="1"/>
  <c r="L7" i="13" s="1"/>
  <c r="G35" i="13"/>
  <c r="H19" i="13"/>
  <c r="I19" i="13" s="1"/>
  <c r="J19" i="13" s="1"/>
  <c r="L19" i="13" s="1"/>
  <c r="H39" i="13"/>
  <c r="I39" i="13" s="1"/>
  <c r="H47" i="13"/>
  <c r="I47" i="13" s="1"/>
  <c r="H36" i="13"/>
  <c r="I36" i="13" s="1"/>
  <c r="H48" i="13"/>
  <c r="I48" i="13" s="1"/>
  <c r="G48" i="13"/>
  <c r="G32" i="13"/>
  <c r="G30" i="13"/>
  <c r="G62" i="13"/>
  <c r="G14" i="13"/>
  <c r="G53" i="13"/>
  <c r="G6" i="13"/>
  <c r="G46" i="13"/>
  <c r="G22" i="13"/>
  <c r="G28" i="13"/>
  <c r="G45" i="13"/>
  <c r="G5" i="13"/>
  <c r="G57" i="13"/>
  <c r="G3" i="13"/>
  <c r="G18" i="13"/>
  <c r="G54" i="13"/>
  <c r="G25" i="13"/>
  <c r="G56" i="13"/>
  <c r="G58" i="13"/>
  <c r="G41" i="13"/>
  <c r="G49" i="13"/>
  <c r="G61" i="13"/>
  <c r="H61" i="13"/>
  <c r="I61" i="13" s="1"/>
  <c r="G21" i="13"/>
  <c r="G42" i="13"/>
  <c r="G26" i="13"/>
  <c r="G29" i="13"/>
  <c r="G13" i="13"/>
  <c r="H10" i="13"/>
  <c r="I10" i="13" s="1"/>
  <c r="G10" i="13"/>
  <c r="G38" i="13"/>
  <c r="G33" i="13"/>
  <c r="G17" i="13"/>
  <c r="G37" i="13"/>
  <c r="G34" i="13"/>
  <c r="H34" i="13"/>
  <c r="I34" i="13" s="1"/>
  <c r="G50" i="13"/>
  <c r="H50" i="13"/>
  <c r="I50" i="13" s="1"/>
  <c r="G12" i="13"/>
  <c r="I4" i="21" l="1"/>
  <c r="N31" i="13"/>
  <c r="J8" i="13"/>
  <c r="L8" i="13" s="1"/>
  <c r="N8" i="13" s="1"/>
  <c r="M2" i="13"/>
  <c r="J39" i="13"/>
  <c r="L39" i="13" s="1"/>
  <c r="N39" i="13" s="1"/>
  <c r="J20" i="13"/>
  <c r="L20" i="13" s="1"/>
  <c r="J44" i="13"/>
  <c r="L44" i="13" s="1"/>
  <c r="N44" i="13" s="1"/>
  <c r="J35" i="13"/>
  <c r="L35" i="13" s="1"/>
  <c r="N35" i="13" s="1"/>
  <c r="J11" i="13"/>
  <c r="L11" i="13" s="1"/>
  <c r="N11" i="13" s="1"/>
  <c r="J48" i="13"/>
  <c r="L48" i="13" s="1"/>
  <c r="N48" i="13" s="1"/>
  <c r="J16" i="13"/>
  <c r="L16" i="13" s="1"/>
  <c r="J15" i="13"/>
  <c r="L15" i="13" s="1"/>
  <c r="J4" i="13"/>
  <c r="L4" i="13" s="1"/>
  <c r="N4" i="13" s="1"/>
  <c r="N27" i="13"/>
  <c r="N7" i="13"/>
  <c r="N19" i="13"/>
  <c r="H21" i="13"/>
  <c r="I21" i="13" s="1"/>
  <c r="J21" i="13" s="1"/>
  <c r="L21" i="13" s="1"/>
  <c r="H53" i="13"/>
  <c r="I53" i="13" s="1"/>
  <c r="J53" i="13" s="1"/>
  <c r="L53" i="13" s="1"/>
  <c r="J50" i="13"/>
  <c r="L50" i="13" s="1"/>
  <c r="H25" i="13"/>
  <c r="I25" i="13" s="1"/>
  <c r="J25" i="13" s="1"/>
  <c r="L25" i="13" s="1"/>
  <c r="H3" i="13"/>
  <c r="I3" i="13" s="1"/>
  <c r="J3" i="13" s="1"/>
  <c r="L3" i="13" s="1"/>
  <c r="H56" i="13"/>
  <c r="I56" i="13" s="1"/>
  <c r="J56" i="13" s="1"/>
  <c r="L56" i="13" s="1"/>
  <c r="H17" i="13"/>
  <c r="I17" i="13" s="1"/>
  <c r="J17" i="13" s="1"/>
  <c r="L17" i="13" s="1"/>
  <c r="H32" i="13"/>
  <c r="I32" i="13" s="1"/>
  <c r="J32" i="13" s="1"/>
  <c r="L32" i="13" s="1"/>
  <c r="G9" i="13"/>
  <c r="H60" i="13"/>
  <c r="I60" i="13" s="1"/>
  <c r="H22" i="13"/>
  <c r="I22" i="13" s="1"/>
  <c r="J22" i="13" s="1"/>
  <c r="L22" i="13" s="1"/>
  <c r="N51" i="13"/>
  <c r="H30" i="13"/>
  <c r="I30" i="13" s="1"/>
  <c r="J30" i="13" s="1"/>
  <c r="L30" i="13" s="1"/>
  <c r="H13" i="13"/>
  <c r="I13" i="13" s="1"/>
  <c r="J13" i="13" s="1"/>
  <c r="L13" i="13" s="1"/>
  <c r="H28" i="13"/>
  <c r="I28" i="13" s="1"/>
  <c r="J28" i="13" s="1"/>
  <c r="L28" i="13" s="1"/>
  <c r="H29" i="13"/>
  <c r="I29" i="13" s="1"/>
  <c r="J29" i="13" s="1"/>
  <c r="L29" i="13" s="1"/>
  <c r="H14" i="13"/>
  <c r="I14" i="13" s="1"/>
  <c r="J14" i="13" s="1"/>
  <c r="L14" i="13" s="1"/>
  <c r="G2" i="13"/>
  <c r="G60" i="13"/>
  <c r="H54" i="13"/>
  <c r="I54" i="13" s="1"/>
  <c r="J54" i="13" s="1"/>
  <c r="L54" i="13" s="1"/>
  <c r="H5" i="13"/>
  <c r="I5" i="13" s="1"/>
  <c r="J5" i="13" s="1"/>
  <c r="L5" i="13" s="1"/>
  <c r="J24" i="13"/>
  <c r="L24" i="13" s="1"/>
  <c r="H40" i="13"/>
  <c r="I40" i="13" s="1"/>
  <c r="J40" i="13" s="1"/>
  <c r="L40" i="13" s="1"/>
  <c r="H9" i="13"/>
  <c r="I9" i="13" s="1"/>
  <c r="J34" i="13"/>
  <c r="L34" i="13" s="1"/>
  <c r="H38" i="13"/>
  <c r="I38" i="13" s="1"/>
  <c r="J38" i="13" s="1"/>
  <c r="L38" i="13" s="1"/>
  <c r="H26" i="13"/>
  <c r="I26" i="13" s="1"/>
  <c r="J26" i="13" s="1"/>
  <c r="L26" i="13" s="1"/>
  <c r="J61" i="13"/>
  <c r="L61" i="13" s="1"/>
  <c r="H46" i="13"/>
  <c r="I46" i="13" s="1"/>
  <c r="J46" i="13" s="1"/>
  <c r="L46" i="13" s="1"/>
  <c r="H62" i="13"/>
  <c r="I62" i="13" s="1"/>
  <c r="J62" i="13" s="1"/>
  <c r="L62" i="13" s="1"/>
  <c r="N62" i="13" s="1"/>
  <c r="J36" i="13"/>
  <c r="L36" i="13" s="1"/>
  <c r="J52" i="13"/>
  <c r="L52" i="13" s="1"/>
  <c r="H6" i="13"/>
  <c r="I6" i="13" s="1"/>
  <c r="J6" i="13" s="1"/>
  <c r="L6" i="13" s="1"/>
  <c r="H41" i="13"/>
  <c r="I41" i="13" s="1"/>
  <c r="J41" i="13" s="1"/>
  <c r="L41" i="13" s="1"/>
  <c r="N41" i="13" s="1"/>
  <c r="H33" i="13"/>
  <c r="I33" i="13" s="1"/>
  <c r="J33" i="13" s="1"/>
  <c r="L33" i="13" s="1"/>
  <c r="H57" i="13"/>
  <c r="I57" i="13" s="1"/>
  <c r="J57" i="13" s="1"/>
  <c r="L57" i="13" s="1"/>
  <c r="H12" i="13"/>
  <c r="I12" i="13" s="1"/>
  <c r="J12" i="13" s="1"/>
  <c r="L12" i="13" s="1"/>
  <c r="H37" i="13"/>
  <c r="I37" i="13" s="1"/>
  <c r="J37" i="13" s="1"/>
  <c r="L37" i="13" s="1"/>
  <c r="J10" i="13"/>
  <c r="L10" i="13" s="1"/>
  <c r="H49" i="13"/>
  <c r="I49" i="13" s="1"/>
  <c r="J49" i="13" s="1"/>
  <c r="L49" i="13" s="1"/>
  <c r="H58" i="13"/>
  <c r="I58" i="13" s="1"/>
  <c r="J58" i="13" s="1"/>
  <c r="L58" i="13" s="1"/>
  <c r="N58" i="13" s="1"/>
  <c r="H18" i="13"/>
  <c r="I18" i="13" s="1"/>
  <c r="J18" i="13" s="1"/>
  <c r="L18" i="13" s="1"/>
  <c r="N18" i="13" s="1"/>
  <c r="H45" i="13"/>
  <c r="I45" i="13" s="1"/>
  <c r="J45" i="13" s="1"/>
  <c r="L45" i="13" s="1"/>
  <c r="J55" i="13"/>
  <c r="L55" i="13" s="1"/>
  <c r="J47" i="13"/>
  <c r="L47" i="13" s="1"/>
  <c r="H42" i="13"/>
  <c r="I42" i="13" s="1"/>
  <c r="J42" i="13" s="1"/>
  <c r="L42" i="13" s="1"/>
  <c r="H2" i="13"/>
  <c r="I2" i="13" s="1"/>
  <c r="J2" i="13" l="1"/>
  <c r="L2" i="13" s="1"/>
  <c r="N2" i="13" s="1"/>
  <c r="N32" i="13"/>
  <c r="N6" i="13"/>
  <c r="N28" i="13"/>
  <c r="N38" i="13"/>
  <c r="N46" i="13"/>
  <c r="N17" i="13"/>
  <c r="N26" i="13"/>
  <c r="N14" i="13"/>
  <c r="N29" i="13"/>
  <c r="N45" i="13"/>
  <c r="N36" i="13"/>
  <c r="N21" i="13"/>
  <c r="N55" i="13"/>
  <c r="N56" i="13"/>
  <c r="N25" i="13"/>
  <c r="N3" i="13"/>
  <c r="J9" i="13"/>
  <c r="L9" i="13" s="1"/>
  <c r="N50" i="13"/>
  <c r="N30" i="13"/>
  <c r="N57" i="13"/>
  <c r="N5" i="13"/>
  <c r="N34" i="13"/>
  <c r="N24" i="13"/>
  <c r="N52" i="13"/>
  <c r="J60" i="13"/>
  <c r="L60" i="13" s="1"/>
  <c r="AN2" i="5"/>
  <c r="AO2" i="5" s="1"/>
  <c r="AP2" i="5" s="1"/>
  <c r="AR2" i="5" s="1"/>
  <c r="AU2" i="5" s="1"/>
  <c r="AV2" i="5" s="1"/>
  <c r="AW2" i="5" s="1"/>
  <c r="N60" i="13" l="1"/>
  <c r="Q66" i="13" s="1"/>
  <c r="Q65" i="13"/>
  <c r="AT2" i="5"/>
  <c r="Q27" i="13" l="1"/>
  <c r="O19" i="13"/>
  <c r="O39" i="13"/>
  <c r="Q35" i="13"/>
  <c r="O4" i="13"/>
  <c r="Q19" i="13"/>
  <c r="O27" i="13"/>
  <c r="Q51" i="13"/>
  <c r="Q15" i="13"/>
  <c r="Q7" i="13"/>
  <c r="Q8" i="13"/>
  <c r="Q48" i="13"/>
  <c r="O8" i="13"/>
  <c r="Q59" i="13"/>
  <c r="Q16" i="13"/>
  <c r="Q23" i="13"/>
  <c r="Q31" i="13"/>
  <c r="Q39" i="13"/>
  <c r="Q4" i="13"/>
  <c r="Q43" i="13"/>
  <c r="Q11" i="13"/>
  <c r="Q20" i="13"/>
  <c r="Q44" i="13"/>
  <c r="Q18" i="13"/>
  <c r="Q38" i="13"/>
  <c r="Q17" i="13"/>
  <c r="O14" i="13"/>
  <c r="Q62" i="13"/>
  <c r="Q54" i="13"/>
  <c r="Q56" i="13"/>
  <c r="O30" i="13"/>
  <c r="Q34" i="13"/>
  <c r="Q52" i="13"/>
  <c r="Q61" i="13"/>
  <c r="O17" i="13"/>
  <c r="Q21" i="13"/>
  <c r="O56" i="13"/>
  <c r="Q41" i="13"/>
  <c r="Q10" i="13"/>
  <c r="O34" i="13"/>
  <c r="Q32" i="13"/>
  <c r="Q42" i="13"/>
  <c r="Q29" i="13"/>
  <c r="Q2" i="13"/>
  <c r="O21" i="13"/>
  <c r="Q57" i="13"/>
  <c r="Q3" i="13"/>
  <c r="O32" i="13"/>
  <c r="Q46" i="13"/>
  <c r="Q37" i="13"/>
  <c r="Q47" i="13"/>
  <c r="Q25" i="13"/>
  <c r="Q50" i="13"/>
  <c r="O57" i="13"/>
  <c r="Q24" i="13"/>
  <c r="Q49" i="13"/>
  <c r="Q6" i="13"/>
  <c r="Q33" i="13"/>
  <c r="Q12" i="13"/>
  <c r="Q36" i="13"/>
  <c r="Q58" i="13"/>
  <c r="O50" i="13"/>
  <c r="Q14" i="13"/>
  <c r="Q13" i="13"/>
  <c r="Q26" i="13"/>
  <c r="Q45" i="13"/>
  <c r="O36" i="13"/>
  <c r="O58" i="13"/>
  <c r="Q53" i="13"/>
  <c r="Q5" i="13"/>
  <c r="Q30" i="13"/>
  <c r="Q28" i="13"/>
  <c r="Q40" i="13"/>
  <c r="O45" i="13"/>
  <c r="Q55" i="13"/>
  <c r="Q22" i="13"/>
  <c r="O5" i="13"/>
  <c r="O60" i="13"/>
  <c r="Q9" i="13"/>
  <c r="Q60" i="13"/>
  <c r="Q69" i="13" l="1"/>
  <c r="Q68" i="13"/>
  <c r="P50" i="13" l="1"/>
  <c r="P17" i="13"/>
  <c r="P27" i="13"/>
  <c r="P58" i="13"/>
  <c r="P14" i="13"/>
  <c r="P21" i="13"/>
  <c r="P19" i="13"/>
  <c r="P8" i="13"/>
  <c r="P36" i="13"/>
  <c r="P4" i="13"/>
  <c r="P34" i="13"/>
  <c r="P45" i="13"/>
  <c r="P5" i="13"/>
  <c r="P57" i="13"/>
  <c r="P32" i="13"/>
  <c r="P56" i="13"/>
  <c r="P30" i="13"/>
  <c r="P60" i="13"/>
  <c r="P39" i="13"/>
  <c r="E3" i="21" l="1"/>
  <c r="I3" i="21" l="1"/>
  <c r="H3" i="21" l="1"/>
  <c r="J3" i="21" s="1"/>
  <c r="E4" i="21" l="1"/>
  <c r="H4" i="21" s="1"/>
  <c r="J4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Chen, Brandon@DHCS</author>
  </authors>
  <commentList>
    <comment ref="AG1" authorId="0" shapeId="0" xr:uid="{00A278D9-BC9D-4D69-9E9A-737B1F603525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ADJUSTED CAPITAL COSTS</t>
        </r>
      </text>
    </comment>
    <comment ref="AH1" authorId="0" shapeId="0" xr:uid="{26225626-78D9-4C99-88DB-DC7D68FDC468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ADJUSTED TOTAL COSTS
</t>
        </r>
      </text>
    </comment>
    <comment ref="AI1" authorId="0" shapeId="0" xr:uid="{638C3B31-DE8D-42DD-BCD3-42290231840D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ADJUSTED NON-CAPITAL COSTS=ADJUSTED TOTAL COSTS minus ADJUSTED CAPITAL COSTS</t>
        </r>
      </text>
    </comment>
    <comment ref="AJ1" authorId="0" shapeId="0" xr:uid="{15FA5F29-F0CB-42C7-9149-361BD17AD364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ADJUSTED SWB COSTS=ADJUSTED NON-CAPITAL COSTS times SWB PERCENT OF ADJUSTED NON-CAPITAL COSTS</t>
        </r>
      </text>
    </comment>
    <comment ref="AK1" authorId="0" shapeId="0" xr:uid="{0BEDD96B-BB82-4659-A53B-6D8150094696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ADJUSTED ALL OTHER (AO) COSTS=ADJUSTED NON-CAPITAL COSTS minus ADJUSTED SWB COSTS</t>
        </r>
      </text>
    </comment>
    <comment ref="AL1" authorId="0" shapeId="0" xr:uid="{421E0BFD-7BBF-4CC2-911F-A122E7192B57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PROJECTED CAPITAL COSTS=ADJUSTED CAPITAL COSTS times the CAPITAL COST UPDATE</t>
        </r>
      </text>
    </comment>
    <comment ref="AM1" authorId="0" shapeId="0" xr:uid="{DD3E32DF-FA30-47C8-BB8F-92057A65BF5E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PROJECTED SWB COSTS=ADJUSTED SWB COSTS times the SWB UPDATE</t>
        </r>
      </text>
    </comment>
    <comment ref="AN1" authorId="0" shapeId="0" xr:uid="{EC8D725B-C1B6-4BE8-AC98-F5D37D2FB01D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UPDATED AO COST without PRIOR LICENSE FEES=ADJUSTED AO COSTS less PRIOR LICENSE FEES, times the AO UPDATE</t>
        </r>
      </text>
    </comment>
    <comment ref="AO1" authorId="0" shapeId="0" xr:uid="{50D00959-1A73-492A-A231-1F1DF132CE4F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PROJECTED ALL OTHER COSTS=ITEM 17 plus REVISED LICENSE FEES</t>
        </r>
      </text>
    </comment>
    <comment ref="AP1" authorId="0" shapeId="0" xr:uid="{8729D132-C52B-4C2F-9B74-EF6717E7A9B7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PROJECTED COMBINED DAILY COST=COMBINED PROJECTED COSTS divided by TOTAL PATIENT DAYS</t>
        </r>
      </text>
    </comment>
    <comment ref="AQ1" authorId="0" shapeId="0" xr:uid="{640C7EA6-DC22-40AD-9E53-3FE93388A732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SUM OF PER DIEM ADD-ONs</t>
        </r>
      </text>
    </comment>
    <comment ref="AR1" authorId="0" shapeId="0" xr:uid="{7A6F927F-957D-42C1-BDB2-68E2343C36D0}">
      <text>
        <r>
          <rPr>
            <b/>
            <sz val="9"/>
            <color indexed="81"/>
            <rFont val="Tahoma"/>
            <family val="2"/>
          </rPr>
          <t>Chen, Brandon@DHCS:</t>
        </r>
        <r>
          <rPr>
            <sz val="9"/>
            <color indexed="81"/>
            <rFont val="Tahoma"/>
            <family val="2"/>
          </rPr>
          <t xml:space="preserve">
PROJECTED TOTAL DAILY COSTS=ITEM 19+ITEM 20</t>
        </r>
      </text>
    </comment>
  </commentList>
</comments>
</file>

<file path=xl/sharedStrings.xml><?xml version="1.0" encoding="utf-8"?>
<sst xmlns="http://schemas.openxmlformats.org/spreadsheetml/2006/main" count="1023" uniqueCount="461">
  <si>
    <t>Press TAB to advance to the next cell. Press UP, DOWN, LEFT, or RIGHT ARROW to move cell by cell through the document.</t>
  </si>
  <si>
    <t>DP/NF-B Rate Study 2027 PUBLIC REVIEW  - Disclaimer</t>
  </si>
  <si>
    <t>This document contains draft guidance for public review for Distinct Part Nursing Facility Level-B (DP/NF-B) in accordance with the Medi-Cal Long-Term Care Reimbursement Act (Welfare &amp; Institutions Code Section 14105), the California Medicaid State Plan (Attachment 4.19-D), and CCR, Title 22, Section 51511. This information has been prepared for public review purposes only and should not be relied upon for any other purpose.</t>
  </si>
  <si>
    <t>PUBLIC REVIEW DRAFT - SEE DISCLAIMER</t>
  </si>
  <si>
    <t>CY 2027 DP/NF-B Ratesetting Data Sources &amp; Calculations</t>
  </si>
  <si>
    <t>The DP/NF-B rate is the lower of a facility's calculated cost per day or the current hold harmless median of the calculated cost per day of all facilities that have at least 20 percent Medi-Cal days.  This page describes the data sources and calculation steps used to develop facility rates in accordance with the Medi-Cal Long-Term Care Reimbursement Act (Welfare &amp; Institutions Code Section 14105), the California Medicaid State Plan (Attachment 4.19-D), and CCR, Title 22, Section 51511.</t>
  </si>
  <si>
    <t>Section 1. Facility Data</t>
  </si>
  <si>
    <t>Column</t>
  </si>
  <si>
    <t>Description</t>
  </si>
  <si>
    <t>A</t>
  </si>
  <si>
    <t>Facility Name.</t>
  </si>
  <si>
    <t>B</t>
  </si>
  <si>
    <t>National Provider Identifier (NPI).</t>
  </si>
  <si>
    <t>C</t>
  </si>
  <si>
    <t>Rural Swing Bed Indicator.</t>
  </si>
  <si>
    <t>D</t>
  </si>
  <si>
    <t>Fiscal Year Beginning.</t>
  </si>
  <si>
    <t>E</t>
  </si>
  <si>
    <t>Fiscal Year End (FYE).</t>
  </si>
  <si>
    <t>F</t>
  </si>
  <si>
    <t>Months Update – months to update from midpoint of Audit/Cost report to midpoint of rate period.</t>
  </si>
  <si>
    <t>G</t>
  </si>
  <si>
    <t>Total Days from Audit/Cost Report (DPNF Sch 1 – Line 4).</t>
  </si>
  <si>
    <t>H</t>
  </si>
  <si>
    <t>Medi-Cal Days Fee For Service Days (DPNF Sch 1 – Line 15).</t>
  </si>
  <si>
    <t>I</t>
  </si>
  <si>
    <t>Medi-Cal Managed Care Days (DPNF Sch 1 – Line 16).</t>
  </si>
  <si>
    <t>J</t>
  </si>
  <si>
    <t>Other Days (Total Days – FFS Days – Managed Care Days).</t>
  </si>
  <si>
    <t>K</t>
  </si>
  <si>
    <t>Licensed Beds.</t>
  </si>
  <si>
    <t>Section 2. Capital Costs</t>
  </si>
  <si>
    <t>L</t>
  </si>
  <si>
    <t>Sum of Capital Costs consists of Direct Capital Related Costs (DPNF Sch 1 Line 17), and Indirect Capital Related Cost (DPNF Sch 1 Line 18).</t>
  </si>
  <si>
    <t>Section 3. Salaries, Wages, Benefits (SWB)</t>
  </si>
  <si>
    <t>M</t>
  </si>
  <si>
    <t>Sum of SWB Costs consists of Facility Cost x SWB Ratio (SWB as a % of the Total Cost). Capital Cost excluded.</t>
  </si>
  <si>
    <t>N</t>
  </si>
  <si>
    <t>SWB Inflation Factor from DOF Economic Forecast for Labor.</t>
  </si>
  <si>
    <t>O</t>
  </si>
  <si>
    <t>SWB Inflated Cost - Multiply SWB by the SWB Inflation Factor.</t>
  </si>
  <si>
    <t>Section 4. All Other Costs</t>
  </si>
  <si>
    <t>P</t>
  </si>
  <si>
    <t xml:space="preserve">All Other Costs (Facility Cost less SWB, less Capital Cost). </t>
  </si>
  <si>
    <t>Q</t>
  </si>
  <si>
    <t>All Other Cost Inflation factor based on the California Consumer Price Index (CCPI).</t>
  </si>
  <si>
    <t>R</t>
  </si>
  <si>
    <t>Prior Year License Fee.</t>
  </si>
  <si>
    <t>S</t>
  </si>
  <si>
    <t>Revised License Fee.</t>
  </si>
  <si>
    <t>T</t>
  </si>
  <si>
    <t>All Other Cost inflated.  All other Cost less prior year license fee, plus current license fee times inflation factor.</t>
  </si>
  <si>
    <t>Section 5. Total Projected Costs</t>
  </si>
  <si>
    <t>U</t>
  </si>
  <si>
    <t>Sum of Capital Costs (Not Inflated), SWB Inflated &amp; All Other Cost inflated.</t>
  </si>
  <si>
    <t>Section 6. SB 525 Adjustment</t>
  </si>
  <si>
    <t>V</t>
  </si>
  <si>
    <t>SB 525 (SB159) Add-Ons</t>
  </si>
  <si>
    <t>Section 7. Projected Cost per Day</t>
  </si>
  <si>
    <t>W</t>
  </si>
  <si>
    <t>Total projected cost divided by total days,</t>
  </si>
  <si>
    <t>Section 8. Class Median Calculation</t>
  </si>
  <si>
    <t>X</t>
  </si>
  <si>
    <t>Medi-Cal Days Percentage (Medi-Cal Days divided by Total Days).</t>
  </si>
  <si>
    <t>Y</t>
  </si>
  <si>
    <t>20% or above Medi-Cal Days facilities are included in the median calculation.</t>
  </si>
  <si>
    <t>Z</t>
  </si>
  <si>
    <t>Compare the projected rate with the median to get the lesser of.</t>
  </si>
  <si>
    <t>AA</t>
  </si>
  <si>
    <t>Apply projected rate if the facility has Rural Swing Beds.</t>
  </si>
  <si>
    <t>AB</t>
  </si>
  <si>
    <t>Final Swing Bed Rate (the median of all RSB rates).</t>
  </si>
  <si>
    <t>AC</t>
  </si>
  <si>
    <t>Hold Harmless Rates (the highest historic rate for a facility).</t>
  </si>
  <si>
    <t>AD</t>
  </si>
  <si>
    <t>Final DP/NF-B Per Diem Rate.</t>
  </si>
  <si>
    <t>AE</t>
  </si>
  <si>
    <t>Final DP/NF-B Bedhold Per Diem Rate.</t>
  </si>
  <si>
    <t>CY 2026 Median</t>
  </si>
  <si>
    <t>2026 Hold Harmless Median</t>
  </si>
  <si>
    <t>2026 RSB Median</t>
  </si>
  <si>
    <t>2026 RSB Hold Harmless Median</t>
  </si>
  <si>
    <t>2026 DPNF-B Rates</t>
  </si>
  <si>
    <t xml:space="preserve">FACILITY NAME </t>
  </si>
  <si>
    <t>NPI</t>
  </si>
  <si>
    <t>Rev CD/Value CD Amt (0101-01)</t>
  </si>
  <si>
    <t>Rev CD/Value CD Amt (0180-02)</t>
  </si>
  <si>
    <t>Rev CD/Value CD Amt (0180-03)</t>
  </si>
  <si>
    <t>ALAMEDA CO MEDICAL CENTER</t>
  </si>
  <si>
    <t>ALAMEDA HOSPITAL</t>
  </si>
  <si>
    <t>BARTON MEMORIAL HOSPITAL</t>
  </si>
  <si>
    <t>BEAR VALLEY COMM HOSP</t>
  </si>
  <si>
    <t>BRUCEVILLE TERRACE of METHODIST HOSPITAL</t>
  </si>
  <si>
    <t>CALIFORNIA PACIFIC M C-DAVIES CAMPUS</t>
  </si>
  <si>
    <t>CATALINA ISLAND MEDICAL CENTER</t>
  </si>
  <si>
    <t xml:space="preserve">CHAPMAN MEDICAL CENTER </t>
  </si>
  <si>
    <t>COLUSA MEDICAL CENTER</t>
  </si>
  <si>
    <t>COMMUNITY HOSPITAL SAN BERNARDINO</t>
  </si>
  <si>
    <t>COMMUNITY SUBACUTE AND TRANSITIONAL CARE</t>
  </si>
  <si>
    <t>DELANO COMMUNITY HOSPITAL</t>
  </si>
  <si>
    <t>DESERT REGIONAL MED CNTR</t>
  </si>
  <si>
    <t>EASTERN PLUMAS DISTRICT</t>
  </si>
  <si>
    <t>EDGEMOOR GERIATRIC HOSP</t>
  </si>
  <si>
    <t xml:space="preserve">ENCINO-TARZANA REG M C  </t>
  </si>
  <si>
    <t>GEORGE L. MEE HOSPITAL</t>
  </si>
  <si>
    <t>GROSSMONT HOSPITAL</t>
  </si>
  <si>
    <t>HAZEL HAWKINS CONVALESCENT HOSP</t>
  </si>
  <si>
    <t>HI-DESERT MED CTR-JOSHUA</t>
  </si>
  <si>
    <t>HOLLYWOOD PRESBYTERIAN</t>
  </si>
  <si>
    <t>HOLY CROSS HOSPITAL (Providence)</t>
  </si>
  <si>
    <t>JEWISH HOME FOR THE AGED</t>
  </si>
  <si>
    <t>JOHN C. FREMONT HEALTHCARE DIST</t>
  </si>
  <si>
    <t>JOYCE EISENBERG KEEFER MEDICAL CTR</t>
  </si>
  <si>
    <t>KAWEAH DELTA DIST HOSP</t>
  </si>
  <si>
    <t>KERN VALLEY HOSP DISTRICT</t>
  </si>
  <si>
    <t>KINDRED HOSPITAL BREA</t>
  </si>
  <si>
    <t>LAGUNA HONDA HOSPITAL</t>
  </si>
  <si>
    <t>LOMPOC VALLEY MEDICAL CENTER</t>
  </si>
  <si>
    <t>MARIAN MEDICAL CENTER</t>
  </si>
  <si>
    <t>MAYERS MEMORIAL HOSPITAL</t>
  </si>
  <si>
    <t>MEMORIAL HOSPITAL OF GARDENA</t>
  </si>
  <si>
    <t>MODOC MEDICAL CENTER</t>
  </si>
  <si>
    <t>MOTION PICTURE &amp; TV HOSP</t>
  </si>
  <si>
    <t>MOUNTAINS COMMUNITY HOSP</t>
  </si>
  <si>
    <t>NORTHERN CALIFORNIA REHAB HOSPITAL</t>
  </si>
  <si>
    <t>OAKDALE NURSING AND REHABILITATION CENTER</t>
  </si>
  <si>
    <t>OJAI VALLEY COMM HOSPITAL</t>
  </si>
  <si>
    <t>OROVILLE HOSPITAL</t>
  </si>
  <si>
    <t xml:space="preserve">PACIFICA HOSPITAL-VALLEY </t>
  </si>
  <si>
    <t>PALOMAR POMERADO HEALTH VILLA POMERADO</t>
  </si>
  <si>
    <t>PROVIDENCE LITTLE CO. OF MARY HOSP TRANS CARE CTR</t>
  </si>
  <si>
    <t>PROVIDENCE LITTLE CO. OF MARY S/A CARE CTR</t>
  </si>
  <si>
    <t xml:space="preserve">RADY CHILDREN'S HOSPITAL </t>
  </si>
  <si>
    <t>RIDGECREST REGIONAL TRANSITIONAL CARE</t>
  </si>
  <si>
    <t>SAN FRANCISCO GENERAL HOSP (Zuckerberg)</t>
  </si>
  <si>
    <t>SAN GABRIEL VALLEY MED</t>
  </si>
  <si>
    <t>SAN MATEO MEDICAL CENTER</t>
  </si>
  <si>
    <t>SANTA CLARA VALLEY MEDICAL CENTER</t>
  </si>
  <si>
    <t>SENECA DISTRICT HOSPITAL</t>
  </si>
  <si>
    <t>SETON MEDICAL CENTER</t>
  </si>
  <si>
    <t>SHARP CHULA VISTA MEDICAL CENTER</t>
  </si>
  <si>
    <t>SHARP CORONADO HOSPITAL</t>
  </si>
  <si>
    <t xml:space="preserve">SHERMAN OAKS HOSPITAL </t>
  </si>
  <si>
    <t>SIERRA VIEW MEDICAL CENTER</t>
  </si>
  <si>
    <t>SONOMA VALLEY HOSP DIST</t>
  </si>
  <si>
    <t>SONORA REGIONAL MEDICAL CENTER</t>
  </si>
  <si>
    <t>SOUTHERN INYO HOSPITAL</t>
  </si>
  <si>
    <t>SURPRISE VALLEY HOSPITAL</t>
  </si>
  <si>
    <t>TAHOE FOREST HOSPITAL</t>
  </si>
  <si>
    <t>TORRANCE MEM MED CNTR</t>
  </si>
  <si>
    <t>TRINITY HOSPITAL SKILLED NURSING FACILITY</t>
  </si>
  <si>
    <t>WHITE MEMORIAL HOSPITAL</t>
  </si>
  <si>
    <t>JEROLD PHELPS COMMUNITY HOSPITAL</t>
  </si>
  <si>
    <t>PIONEERS MEMORIAL HEALTH</t>
  </si>
  <si>
    <t>HEMET VALLEY MED CNTR</t>
  </si>
  <si>
    <t>LA DOWNTOWN MEDICAL CENTER</t>
  </si>
  <si>
    <t>PIH HEALTH GOOD SAMARITAN</t>
  </si>
  <si>
    <t>CHINESE HOSP</t>
  </si>
  <si>
    <t>COALINGA REGIONAL MEDICAL CENTER</t>
  </si>
  <si>
    <t>SOUTHERN CALIFORNIA HOSPITAL</t>
  </si>
  <si>
    <t>CY 2027 Median</t>
  </si>
  <si>
    <t>2027 Hold Harmless Median</t>
  </si>
  <si>
    <t>2027 RSB Median</t>
  </si>
  <si>
    <t>2027 RSB Hold Harmless Median</t>
  </si>
  <si>
    <t>2027 DPNF-B Rates</t>
  </si>
  <si>
    <t>IMPERIAL VALLEY HEALTHCARE</t>
  </si>
  <si>
    <t>Interim</t>
  </si>
  <si>
    <t>Late</t>
  </si>
  <si>
    <t>Prior Year 2026 Hold Harmless Median</t>
  </si>
  <si>
    <t>2027 Median</t>
  </si>
  <si>
    <t>Count</t>
  </si>
  <si>
    <t>Bedhold</t>
  </si>
  <si>
    <t>Rate % Change</t>
  </si>
  <si>
    <t>DPNF-B Class Median</t>
  </si>
  <si>
    <t>RSB Median</t>
  </si>
  <si>
    <t>Median</t>
  </si>
  <si>
    <t>Rural Swing Bed Median</t>
  </si>
  <si>
    <t>DPNF-B Per Diem Rate Calculations for CY 2026</t>
  </si>
  <si>
    <t>Rate Period Midpoint</t>
  </si>
  <si>
    <t>Capital Costs (Not Inflated)</t>
  </si>
  <si>
    <t>Salaries, Wages and Benefits (Inflated: Labor Study Factor)</t>
  </si>
  <si>
    <t>All Other Costs (Inflated: CCPI)</t>
  </si>
  <si>
    <t>Total Projected Costs</t>
  </si>
  <si>
    <t>Projected Cost</t>
  </si>
  <si>
    <t>Class Median Calculation</t>
  </si>
  <si>
    <t>Hold Harmless</t>
  </si>
  <si>
    <t>Final DPNF-B Per Diem Rate</t>
  </si>
  <si>
    <t>Final DPNF-B Bedhold Per Diem Rate</t>
  </si>
  <si>
    <t>Rural Swing Bed</t>
  </si>
  <si>
    <t>Fiscal Year Beginning</t>
  </si>
  <si>
    <t>Fiscal Year Ending</t>
  </si>
  <si>
    <t>Months Update</t>
  </si>
  <si>
    <t xml:space="preserve">Total Days
</t>
  </si>
  <si>
    <t xml:space="preserve">Medi-Cal Fee For Service Days
</t>
  </si>
  <si>
    <t xml:space="preserve">Medi-Cal Managed Care Days
</t>
  </si>
  <si>
    <t xml:space="preserve">Other Days 
</t>
  </si>
  <si>
    <t>License Beds</t>
  </si>
  <si>
    <t>Labor Costs</t>
  </si>
  <si>
    <t>Labor Inflation Factor</t>
  </si>
  <si>
    <t>Inflated Labor Cost</t>
  </si>
  <si>
    <t>ALL OTHER COSTS</t>
  </si>
  <si>
    <t>All Other Costs Inflation Factor (CCPI)</t>
  </si>
  <si>
    <t>License Fee - Prior</t>
  </si>
  <si>
    <t>License Fee - Revised</t>
  </si>
  <si>
    <t>All Other Costs Inflated with License Fee</t>
  </si>
  <si>
    <t>Sum of Inflated Costs</t>
  </si>
  <si>
    <t>SB 525 Add-On</t>
  </si>
  <si>
    <t>Calculated Cost Per Day</t>
  </si>
  <si>
    <t>Medi-Cal Days %</t>
  </si>
  <si>
    <t>20% Medi-Cal Days</t>
  </si>
  <si>
    <t>Projected DPNF-B Rate</t>
  </si>
  <si>
    <t>Swing Bed Projected Rate</t>
  </si>
  <si>
    <t>Final Swing Bed Rate</t>
  </si>
  <si>
    <t>Hold Harmless Rate
 (2026)</t>
  </si>
  <si>
    <t>Final DPNF-B Rate</t>
  </si>
  <si>
    <t>Final DPNF-B Bedhold Rate</t>
  </si>
  <si>
    <t>J=G-H-I</t>
  </si>
  <si>
    <t>M - Refer to Methodology Section 3</t>
  </si>
  <si>
    <t>O=M*N</t>
  </si>
  <si>
    <t>P - Refer to Methodology Section 4, All Other Cost</t>
  </si>
  <si>
    <t>T=((P-(R*K))*Q)+(S*K)</t>
  </si>
  <si>
    <t>U=L+O+T</t>
  </si>
  <si>
    <t>W=(U/G)+V</t>
  </si>
  <si>
    <t>Y=IF(Z&gt;=20%,Y,0)</t>
  </si>
  <si>
    <t>Z=IF(Y&gt;Median,Median,Y)</t>
  </si>
  <si>
    <t>AA=IF(C="Y" and  X&gt;0%,Z,0)</t>
  </si>
  <si>
    <t>AB=IF(AC&lt;&gt;0 or C="Y",RSB Median,0)</t>
  </si>
  <si>
    <t/>
  </si>
  <si>
    <t>0</t>
  </si>
  <si>
    <t>CITY</t>
  </si>
  <si>
    <t xml:space="preserve">COUNTY CODE </t>
  </si>
  <si>
    <t>Admin Day NPI</t>
  </si>
  <si>
    <t>FYBEG</t>
  </si>
  <si>
    <t>FYEND</t>
  </si>
  <si>
    <t xml:space="preserve">Rural
(Y/N) </t>
  </si>
  <si>
    <t>Prior Year Rate (1-1-2026)</t>
  </si>
  <si>
    <t>Final DPNF-B Rate 2027</t>
  </si>
  <si>
    <t>Final Swing Bed Rate 2027</t>
  </si>
  <si>
    <t>External Comment</t>
  </si>
  <si>
    <t>GARBERVILLE</t>
  </si>
  <si>
    <t>HEMET</t>
  </si>
  <si>
    <t>LOS ANGELES</t>
  </si>
  <si>
    <t>SAN FRANCISCO</t>
  </si>
  <si>
    <t>COALINGA</t>
  </si>
  <si>
    <t>CULVER CITY</t>
  </si>
  <si>
    <t>LATE REPORTS</t>
  </si>
  <si>
    <t>COLUSA</t>
  </si>
  <si>
    <t>REDDING</t>
  </si>
  <si>
    <t>OROVILLE</t>
  </si>
  <si>
    <t xml:space="preserve">SUN VALLEY </t>
  </si>
  <si>
    <t>2027 DPNF-B Budget Values for PC Estimate</t>
  </si>
  <si>
    <t>Per Diem</t>
  </si>
  <si>
    <t>Annual $</t>
  </si>
  <si>
    <t>SFY Accrual $ GF</t>
  </si>
  <si>
    <t>Annual Days</t>
  </si>
  <si>
    <t>CY 2025</t>
  </si>
  <si>
    <t>CY 2026</t>
  </si>
  <si>
    <t>CY 2027</t>
  </si>
  <si>
    <t>2025-26</t>
  </si>
  <si>
    <t>2027-28</t>
  </si>
  <si>
    <t>DPNF-B</t>
  </si>
  <si>
    <t>DPADJ</t>
  </si>
  <si>
    <t>DP Code</t>
  </si>
  <si>
    <t>Other DP Codes</t>
  </si>
  <si>
    <t>Cert Date</t>
  </si>
  <si>
    <t>Prior Year Rate (2026 1/1)</t>
  </si>
  <si>
    <t>OAKLAND</t>
  </si>
  <si>
    <t>01/01/79</t>
  </si>
  <si>
    <t>ALAMEDA</t>
  </si>
  <si>
    <t>SO. LAKE TAHOE</t>
  </si>
  <si>
    <t>BIG BEAR LAKE</t>
  </si>
  <si>
    <t>06/26/91</t>
  </si>
  <si>
    <t xml:space="preserve">SACRAMENTO </t>
  </si>
  <si>
    <t>03/10/89</t>
  </si>
  <si>
    <t xml:space="preserve">SAN FRANCISCO </t>
  </si>
  <si>
    <t>11/01/78</t>
  </si>
  <si>
    <t xml:space="preserve">AVALON </t>
  </si>
  <si>
    <t>ORANGE</t>
  </si>
  <si>
    <t>08/01/97</t>
  </si>
  <si>
    <t>SAN BERNARDINO</t>
  </si>
  <si>
    <t xml:space="preserve">FRESNO </t>
  </si>
  <si>
    <t>11/01/79</t>
  </si>
  <si>
    <t xml:space="preserve">DELANO </t>
  </si>
  <si>
    <t>05/01/79</t>
  </si>
  <si>
    <t>PALM SPRINGS</t>
  </si>
  <si>
    <t>PORTOLA</t>
  </si>
  <si>
    <t>09/11/90</t>
  </si>
  <si>
    <t xml:space="preserve">SANTEE </t>
  </si>
  <si>
    <t>04/30/88</t>
  </si>
  <si>
    <t>ENCINO</t>
  </si>
  <si>
    <t>01/16/98</t>
  </si>
  <si>
    <t xml:space="preserve">KING CITY </t>
  </si>
  <si>
    <t>09/30/85</t>
  </si>
  <si>
    <t>LA MESA</t>
  </si>
  <si>
    <t>11/19/93</t>
  </si>
  <si>
    <t xml:space="preserve">HOLLISTER </t>
  </si>
  <si>
    <t>02/13/86</t>
  </si>
  <si>
    <t>JOSHUA TREE</t>
  </si>
  <si>
    <t xml:space="preserve"> </t>
  </si>
  <si>
    <t>01/11/91</t>
  </si>
  <si>
    <t xml:space="preserve">LOS ANGELES </t>
  </si>
  <si>
    <t xml:space="preserve">SAN FERNANDO </t>
  </si>
  <si>
    <t>10/01/79</t>
  </si>
  <si>
    <t>09/16/87</t>
  </si>
  <si>
    <t xml:space="preserve">MARIPOSA </t>
  </si>
  <si>
    <t>RESEDA</t>
  </si>
  <si>
    <t>VISALIA</t>
  </si>
  <si>
    <t>LAKE ISABELLA</t>
  </si>
  <si>
    <t>07/30/92</t>
  </si>
  <si>
    <t>BREA</t>
  </si>
  <si>
    <t>08/01/79</t>
  </si>
  <si>
    <t xml:space="preserve">LOMPOC </t>
  </si>
  <si>
    <t>SANTA MARIA</t>
  </si>
  <si>
    <t xml:space="preserve">FALL RIVER MILLS </t>
  </si>
  <si>
    <t>06/01/79</t>
  </si>
  <si>
    <t>GARDENA</t>
  </si>
  <si>
    <t>11/29/90</t>
  </si>
  <si>
    <t>MODOC</t>
  </si>
  <si>
    <t>05/04/90</t>
  </si>
  <si>
    <t xml:space="preserve">WOODLAND HILLS </t>
  </si>
  <si>
    <t>09/01/79</t>
  </si>
  <si>
    <t>LAKE ARROWHEAD</t>
  </si>
  <si>
    <t>05/03/91</t>
  </si>
  <si>
    <t xml:space="preserve">OAKDALE </t>
  </si>
  <si>
    <t>07/31/87</t>
  </si>
  <si>
    <t xml:space="preserve">OJAI </t>
  </si>
  <si>
    <t xml:space="preserve">POWAY </t>
  </si>
  <si>
    <t>05/05/88</t>
  </si>
  <si>
    <t>BRAWLEY</t>
  </si>
  <si>
    <t xml:space="preserve">TORRANCE </t>
  </si>
  <si>
    <t>03/17/87</t>
  </si>
  <si>
    <t>SAN PEDRO</t>
  </si>
  <si>
    <t>SAN DIEGO</t>
  </si>
  <si>
    <t>12/01/86</t>
  </si>
  <si>
    <t>RIDGECREST</t>
  </si>
  <si>
    <t xml:space="preserve">SAN GABRIEL </t>
  </si>
  <si>
    <t>10/10/86</t>
  </si>
  <si>
    <t>SAN MATEO</t>
  </si>
  <si>
    <t>07/01/79</t>
  </si>
  <si>
    <t>SAN JOSE</t>
  </si>
  <si>
    <t xml:space="preserve">CHESTER </t>
  </si>
  <si>
    <t>10/01/78</t>
  </si>
  <si>
    <t>DALY CITY</t>
  </si>
  <si>
    <t xml:space="preserve">CHULA VISTA </t>
  </si>
  <si>
    <t>01/02/86</t>
  </si>
  <si>
    <t xml:space="preserve">CORONADO </t>
  </si>
  <si>
    <t>04/01/78</t>
  </si>
  <si>
    <t>SHERMAN OAKS</t>
  </si>
  <si>
    <t>PORTERVILLE</t>
  </si>
  <si>
    <t xml:space="preserve">SONOMA </t>
  </si>
  <si>
    <t>12/19/86</t>
  </si>
  <si>
    <t xml:space="preserve">SONORA </t>
  </si>
  <si>
    <t>10/07/85</t>
  </si>
  <si>
    <t>LONE PINE</t>
  </si>
  <si>
    <t xml:space="preserve">CEDARVILLE </t>
  </si>
  <si>
    <t xml:space="preserve">TRUCKEE </t>
  </si>
  <si>
    <t>06/05/86</t>
  </si>
  <si>
    <t>TORRANCE</t>
  </si>
  <si>
    <t>03/23/94</t>
  </si>
  <si>
    <t>WEAVERVILLE</t>
  </si>
  <si>
    <t>08/19/88</t>
  </si>
  <si>
    <t>ADJUSTED CAPITAL COSTS (Item 1)</t>
  </si>
  <si>
    <t>ADJUSTED TOTAL COSTS (Item 2)</t>
  </si>
  <si>
    <t>ADJUSTED NON-CAPITAL COSTS (Item 3)</t>
  </si>
  <si>
    <t>ADJUSTED SWB COSTS (Item 4)</t>
  </si>
  <si>
    <t>ADJUSTED ALL OTHER (AO) COSTS (Item 5)</t>
  </si>
  <si>
    <t>PROJECTED CAPITAL COSTS (Item 6)</t>
  </si>
  <si>
    <t>PROJECTED SWB COSTS (Item 9)</t>
  </si>
  <si>
    <t>UPDATED AO COST without PRIOR LICENSE FEES (Item 17)</t>
  </si>
  <si>
    <t>PROJECTED ALL OTHER COST (Item 18)</t>
  </si>
  <si>
    <t>PROJECTED COMBINED DAILY COST (Item 19)</t>
  </si>
  <si>
    <t>SUM OF PER DIEM ADD-Ons (Item 20)</t>
  </si>
  <si>
    <t>PROJECTED TOTAL DAILY COSTS (Item 21)</t>
  </si>
  <si>
    <t>M-Cal %</t>
  </si>
  <si>
    <t>20% M-Cal Days</t>
  </si>
  <si>
    <t>SwingBeds</t>
  </si>
  <si>
    <t>SwingBed Rate</t>
  </si>
  <si>
    <t>DPNF-B Class Median =</t>
  </si>
  <si>
    <t>Count =</t>
  </si>
  <si>
    <t xml:space="preserve">Count = </t>
  </si>
  <si>
    <t>DP PATIENT DAYS</t>
  </si>
  <si>
    <t>Medi-Cal Days</t>
  </si>
  <si>
    <t>Lic Beds</t>
  </si>
  <si>
    <t>CAPITAL COST</t>
  </si>
  <si>
    <t>SNFCOST</t>
  </si>
  <si>
    <t>SALARY</t>
  </si>
  <si>
    <t>Total Medi-Cal Fee-For-Service SA Patient Days</t>
  </si>
  <si>
    <t>Total Medi-Cal Managed Care SA Patient Days</t>
  </si>
  <si>
    <t>Prior Year Rate</t>
  </si>
  <si>
    <t>Notes</t>
  </si>
  <si>
    <t>New SA Facility</t>
  </si>
  <si>
    <t>Ancillaries</t>
  </si>
  <si>
    <t>8-1-99 WPT (inc $.14 on 1-1-00)</t>
  </si>
  <si>
    <t>8-1-00
WPT</t>
  </si>
  <si>
    <t>8-1-23
PROJ.
COST</t>
  </si>
  <si>
    <t>Midpoint to 10/15/2023</t>
  </si>
  <si>
    <t>Account for Decimals</t>
  </si>
  <si>
    <t>Truncate Midpoint</t>
  </si>
  <si>
    <t>Midpoint to the Nearest Half Month</t>
  </si>
  <si>
    <t>SWB Update</t>
  </si>
  <si>
    <t>All Other (AO) Costs Update</t>
  </si>
  <si>
    <t>ITEM 1</t>
  </si>
  <si>
    <t>ITEM 2</t>
  </si>
  <si>
    <t>ITEM 3</t>
  </si>
  <si>
    <t>ITEM 4</t>
  </si>
  <si>
    <t>ITEM 5</t>
  </si>
  <si>
    <t>ITEM 6</t>
  </si>
  <si>
    <t>ITEM 9</t>
  </si>
  <si>
    <t>ITEM 17</t>
  </si>
  <si>
    <t>ITEM 18</t>
  </si>
  <si>
    <t>ITEM 19</t>
  </si>
  <si>
    <t>ITEM 20</t>
  </si>
  <si>
    <t>ITEM 21</t>
  </si>
  <si>
    <t>Final Rate</t>
  </si>
  <si>
    <t>BIGGS GRIDLEY MEM HOSP</t>
  </si>
  <si>
    <t>GRIDLEY</t>
  </si>
  <si>
    <t>2026 Labor &amp; Non-Labor Inflation Factors</t>
  </si>
  <si>
    <t>Months To Update</t>
  </si>
  <si>
    <t>Property Tax</t>
  </si>
  <si>
    <t>DOF (Labor) Economic Forecast</t>
  </si>
  <si>
    <t>All Other
(CCPI)</t>
  </si>
  <si>
    <t>Updated 7/6/2026</t>
  </si>
  <si>
    <t>Notes:</t>
  </si>
  <si>
    <t>Property Tax same as previous years. Does not change year to year.</t>
  </si>
  <si>
    <t>Labor factor from Table 4 in annual labor study.</t>
  </si>
  <si>
    <t>All Other from CCPI from the non-labor inflation table.</t>
  </si>
  <si>
    <t>Salaries and Wages</t>
  </si>
  <si>
    <t>Employee Benefits</t>
  </si>
  <si>
    <t>Total Health Care Expenses</t>
  </si>
  <si>
    <t>Salary %</t>
  </si>
  <si>
    <t>Benefit %</t>
  </si>
  <si>
    <t>SWB Ratio</t>
  </si>
  <si>
    <t>Note: Data from HCAI</t>
  </si>
  <si>
    <t>Updated 7/1/2026</t>
  </si>
  <si>
    <t>CY2027 SB525 Add-On</t>
  </si>
  <si>
    <t>1/1/2027-12/31/2027</t>
  </si>
  <si>
    <t>Mayers Memorial Hospital District</t>
  </si>
  <si>
    <t>Eastern Plumas Health Care</t>
  </si>
  <si>
    <t>Oak Valley Hospital District - Oak Valley Nursing &amp; Rehab Center</t>
  </si>
  <si>
    <t>Kern Valley Healthcare District</t>
  </si>
  <si>
    <t>Burlingame Skilled Nursing</t>
  </si>
  <si>
    <t>LAST FRONTIER HEALTHCARE DISTRICT</t>
  </si>
  <si>
    <t>John C Fremont Healthcare District</t>
  </si>
  <si>
    <t>Palomar Health dba The Villas at Poway</t>
  </si>
  <si>
    <t>Sierra View Medical Center</t>
  </si>
  <si>
    <t>Surprise Valley Health Care District</t>
  </si>
  <si>
    <t>License Fees</t>
  </si>
  <si>
    <t>Prior Year</t>
  </si>
  <si>
    <t>Current Year</t>
  </si>
  <si>
    <t>LA County Prior Year</t>
  </si>
  <si>
    <t>LA County Current Year</t>
  </si>
  <si>
    <r>
      <t xml:space="preserve">Capital Cost </t>
    </r>
    <r>
      <rPr>
        <sz val="12"/>
        <rFont val="Segoe UI"/>
        <family val="2"/>
      </rPr>
      <t>(DPNF Sch 1, Line 19)</t>
    </r>
  </si>
  <si>
    <r>
      <t xml:space="preserve">DP PATIENT DAYS </t>
    </r>
    <r>
      <rPr>
        <sz val="12"/>
        <color theme="1"/>
        <rFont val="Segoe UI"/>
        <family val="2"/>
      </rPr>
      <t>(DPNF Sch 1, Line 4)</t>
    </r>
  </si>
  <si>
    <r>
      <t xml:space="preserve">Medi-Cal Days </t>
    </r>
    <r>
      <rPr>
        <sz val="12"/>
        <color theme="1"/>
        <rFont val="Segoe UI"/>
        <family val="2"/>
      </rPr>
      <t>(DPNF Sch 1, Line 15, 16)</t>
    </r>
  </si>
  <si>
    <r>
      <t xml:space="preserve">Lic Beds </t>
    </r>
    <r>
      <rPr>
        <sz val="12"/>
        <color theme="1"/>
        <rFont val="Segoe UI"/>
        <family val="2"/>
      </rPr>
      <t>(DPNF Sch 1, Line 13)</t>
    </r>
  </si>
  <si>
    <r>
      <t xml:space="preserve">CAPITAL COST </t>
    </r>
    <r>
      <rPr>
        <sz val="12"/>
        <color theme="1"/>
        <rFont val="Segoe UI"/>
        <family val="2"/>
      </rPr>
      <t>(DPNF Sch 1, Line 19)</t>
    </r>
  </si>
  <si>
    <r>
      <t xml:space="preserve">SNFCOST </t>
    </r>
    <r>
      <rPr>
        <sz val="12"/>
        <color theme="1"/>
        <rFont val="Segoe UI"/>
        <family val="2"/>
      </rPr>
      <t>(DPNF Sch 1, Line 3)</t>
    </r>
  </si>
  <si>
    <r>
      <t xml:space="preserve">SALARY </t>
    </r>
    <r>
      <rPr>
        <sz val="12"/>
        <color theme="1"/>
        <rFont val="Segoe UI"/>
        <family val="2"/>
      </rPr>
      <t>(DPNF Sch 1, Line 22)</t>
    </r>
  </si>
  <si>
    <r>
      <t xml:space="preserve">Total Medi-Cal Fee-For-Service Patient Days </t>
    </r>
    <r>
      <rPr>
        <sz val="12"/>
        <rFont val="Segoe UI"/>
        <family val="2"/>
      </rPr>
      <t>(DPNF Sch 1, Line 15)</t>
    </r>
  </si>
  <si>
    <r>
      <t xml:space="preserve">Total Medi-Cal Managed Care Patient Days </t>
    </r>
    <r>
      <rPr>
        <sz val="12"/>
        <rFont val="Segoe UI"/>
        <family val="2"/>
      </rPr>
      <t>(DPNF Sch 1, Line 16)</t>
    </r>
  </si>
  <si>
    <t>SWB Ratio (2024-as-submitted-pivot-final2.xlsx)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</si>
</sst>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.00000"/>
    <numFmt numFmtId="166" formatCode="0.000"/>
    <numFmt numFmtId="167" formatCode="&quot;$&quot;#,##0.00"/>
    <numFmt numFmtId="168" formatCode="&quot;$&quot;\ #,###.00"/>
    <numFmt numFmtId="169" formatCode="_(* #,##0_);_(* \(#,##0\);_(* &quot;-&quot;??_);_(@_)"/>
    <numFmt numFmtId="170" formatCode="#,###.00"/>
    <numFmt numFmtId="171" formatCode="&quot;$&quot;#,##0"/>
    <numFmt numFmtId="172" formatCode="_(* #,##0.000000_);_(* \(#,##0.000000\);_(* &quot;-&quot;??_);_(@_)"/>
    <numFmt numFmtId="173" formatCode="0.0000"/>
    <numFmt numFmtId="174" formatCode="m/d/yy;@"/>
    <numFmt numFmtId="175" formatCode="_(* #,##0.00000_);_(* \(#,##0.00000\);_(* &quot;-&quot;??_);_(@_)"/>
    <numFmt numFmtId="176" formatCode="mm/dd/yy"/>
    <numFmt numFmtId="177" formatCode="&quot;$&quot;\ \ #,##0_);[Red]\(&quot;$&quot;#,##0\)"/>
    <numFmt numFmtId="178" formatCode="_(&quot;$&quot;* #,##0_);_(&quot;$&quot;* \(#,##0\);_(&quot;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egoe UI"/>
      <family val="2"/>
    </font>
    <font>
      <sz val="10"/>
      <name val="Arial"/>
      <family val="2"/>
    </font>
    <font>
      <sz val="12"/>
      <name val="Times New Roman"/>
      <family val="1"/>
    </font>
    <font>
      <b/>
      <sz val="10"/>
      <color indexed="8"/>
      <name val="Segoe UI"/>
      <family val="2"/>
    </font>
    <font>
      <sz val="10"/>
      <name val="Segoe UI"/>
      <family val="2"/>
    </font>
    <font>
      <sz val="10"/>
      <color indexed="8"/>
      <name val="Arial"/>
      <family val="2"/>
    </font>
    <font>
      <sz val="9"/>
      <color theme="1"/>
      <name val="Segoe UI"/>
      <family val="2"/>
    </font>
    <font>
      <sz val="10"/>
      <color theme="1"/>
      <name val="Segoe UI"/>
      <family val="2"/>
    </font>
    <font>
      <b/>
      <sz val="10"/>
      <color rgb="FF0070C0"/>
      <name val="Segoe UI"/>
      <family val="2"/>
    </font>
    <font>
      <b/>
      <sz val="10"/>
      <color theme="1"/>
      <name val="Segoe U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name val="Segoe UI"/>
      <family val="2"/>
    </font>
    <font>
      <sz val="12"/>
      <color rgb="FFFFFFFF"/>
      <name val="Segoe UI"/>
      <family val="2"/>
    </font>
    <font>
      <sz val="12"/>
      <name val="Calibri"/>
      <family val="2"/>
      <scheme val="minor"/>
    </font>
    <font>
      <b/>
      <sz val="12"/>
      <name val="Segoe UI"/>
      <family val="2"/>
    </font>
    <font>
      <sz val="12"/>
      <color theme="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Segoe UI"/>
      <family val="2"/>
    </font>
    <font>
      <b/>
      <sz val="12"/>
      <color theme="0"/>
      <name val="Segoe UI"/>
      <family val="2"/>
    </font>
    <font>
      <sz val="12"/>
      <color rgb="FFFF0000"/>
      <name val="Segoe UI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1" applyNumberFormat="0" applyFont="0" applyAlignment="0"/>
    <xf numFmtId="0" fontId="3" fillId="0" borderId="0"/>
  </cellStyleXfs>
  <cellXfs count="257">
    <xf numFmtId="0" fontId="0" fillId="0" borderId="0" xfId="0"/>
    <xf numFmtId="0" fontId="11" fillId="0" borderId="0" xfId="0" applyFont="1" applyAlignment="1">
      <alignment horizontal="center" vertical="center" wrapText="1"/>
    </xf>
    <xf numFmtId="0" fontId="9" fillId="0" borderId="0" xfId="0" applyFont="1"/>
    <xf numFmtId="167" fontId="9" fillId="0" borderId="0" xfId="0" applyNumberFormat="1" applyFont="1"/>
    <xf numFmtId="0" fontId="9" fillId="0" borderId="2" xfId="0" applyFont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3" fontId="6" fillId="4" borderId="2" xfId="0" applyNumberFormat="1" applyFont="1" applyFill="1" applyBorder="1"/>
    <xf numFmtId="0" fontId="15" fillId="0" borderId="0" xfId="0" applyFont="1" applyProtection="1">
      <protection locked="0"/>
    </xf>
    <xf numFmtId="0" fontId="15" fillId="0" borderId="4" xfId="0" applyFont="1" applyBorder="1" applyProtection="1"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2" xfId="0" applyFont="1" applyBorder="1" applyAlignment="1" applyProtection="1">
      <alignment vertical="center"/>
      <protection locked="0"/>
    </xf>
    <xf numFmtId="0" fontId="16" fillId="0" borderId="2" xfId="0" applyFont="1" applyBorder="1" applyAlignment="1" applyProtection="1">
      <alignment vertical="center" wrapText="1"/>
      <protection locked="0"/>
    </xf>
    <xf numFmtId="0" fontId="16" fillId="0" borderId="6" xfId="0" applyFont="1" applyBorder="1" applyAlignment="1" applyProtection="1">
      <alignment vertical="center"/>
      <protection locked="0"/>
    </xf>
    <xf numFmtId="0" fontId="15" fillId="0" borderId="2" xfId="0" applyFont="1" applyBorder="1" applyProtection="1">
      <protection locked="0"/>
    </xf>
    <xf numFmtId="0" fontId="15" fillId="0" borderId="2" xfId="0" applyFont="1" applyBorder="1" applyAlignment="1" applyProtection="1">
      <alignment wrapText="1"/>
      <protection locked="0"/>
    </xf>
    <xf numFmtId="14" fontId="9" fillId="0" borderId="2" xfId="0" applyNumberFormat="1" applyFont="1" applyBorder="1"/>
    <xf numFmtId="0" fontId="15" fillId="0" borderId="7" xfId="0" applyFont="1" applyBorder="1" applyAlignment="1" applyProtection="1">
      <alignment wrapText="1"/>
      <protection locked="0"/>
    </xf>
    <xf numFmtId="0" fontId="15" fillId="0" borderId="6" xfId="0" applyFont="1" applyBorder="1" applyAlignment="1" applyProtection="1">
      <alignment wrapText="1"/>
      <protection locked="0"/>
    </xf>
    <xf numFmtId="0" fontId="16" fillId="0" borderId="6" xfId="0" applyFont="1" applyBorder="1" applyAlignment="1" applyProtection="1">
      <alignment vertical="center" wrapText="1"/>
      <protection locked="0"/>
    </xf>
    <xf numFmtId="0" fontId="16" fillId="0" borderId="8" xfId="0" applyFont="1" applyBorder="1" applyAlignment="1" applyProtection="1">
      <alignment vertical="center" wrapText="1"/>
      <protection locked="0"/>
    </xf>
    <xf numFmtId="0" fontId="15" fillId="0" borderId="9" xfId="0" applyFont="1" applyBorder="1" applyAlignment="1" applyProtection="1">
      <alignment wrapText="1"/>
      <protection locked="0"/>
    </xf>
    <xf numFmtId="169" fontId="9" fillId="0" borderId="2" xfId="1" applyNumberFormat="1" applyFont="1" applyBorder="1"/>
    <xf numFmtId="3" fontId="9" fillId="0" borderId="2" xfId="0" applyNumberFormat="1" applyFont="1" applyBorder="1"/>
    <xf numFmtId="10" fontId="9" fillId="0" borderId="2" xfId="0" applyNumberFormat="1" applyFont="1" applyBorder="1"/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70" fontId="2" fillId="0" borderId="2" xfId="0" applyNumberFormat="1" applyFont="1" applyBorder="1" applyAlignment="1">
      <alignment horizontal="center" vertical="center" wrapText="1"/>
    </xf>
    <xf numFmtId="168" fontId="2" fillId="0" borderId="2" xfId="0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171" fontId="9" fillId="0" borderId="2" xfId="0" applyNumberFormat="1" applyFont="1" applyBorder="1"/>
    <xf numFmtId="171" fontId="6" fillId="0" borderId="2" xfId="0" applyNumberFormat="1" applyFont="1" applyBorder="1"/>
    <xf numFmtId="171" fontId="6" fillId="0" borderId="2" xfId="8" applyNumberFormat="1" applyFont="1" applyBorder="1" applyAlignment="1">
      <alignment horizontal="right"/>
    </xf>
    <xf numFmtId="171" fontId="6" fillId="0" borderId="2" xfId="8" applyNumberFormat="1" applyFont="1" applyBorder="1"/>
    <xf numFmtId="5" fontId="6" fillId="0" borderId="2" xfId="0" applyNumberFormat="1" applyFont="1" applyBorder="1"/>
    <xf numFmtId="2" fontId="6" fillId="0" borderId="2" xfId="0" applyNumberFormat="1" applyFont="1" applyBorder="1"/>
    <xf numFmtId="167" fontId="6" fillId="0" borderId="2" xfId="0" applyNumberFormat="1" applyFont="1" applyBorder="1"/>
    <xf numFmtId="167" fontId="9" fillId="0" borderId="2" xfId="0" applyNumberFormat="1" applyFont="1" applyBorder="1"/>
    <xf numFmtId="7" fontId="9" fillId="0" borderId="2" xfId="0" applyNumberFormat="1" applyFont="1" applyBorder="1"/>
    <xf numFmtId="3" fontId="10" fillId="3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70" fontId="2" fillId="2" borderId="2" xfId="0" applyNumberFormat="1" applyFont="1" applyFill="1" applyBorder="1" applyAlignment="1">
      <alignment horizontal="center" vertical="center" wrapText="1"/>
    </xf>
    <xf numFmtId="168" fontId="2" fillId="2" borderId="2" xfId="0" quotePrefix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14" fontId="9" fillId="0" borderId="2" xfId="0" applyNumberFormat="1" applyFont="1" applyBorder="1" applyAlignment="1">
      <alignment horizontal="right"/>
    </xf>
    <xf numFmtId="0" fontId="9" fillId="5" borderId="2" xfId="0" applyFont="1" applyFill="1" applyBorder="1"/>
    <xf numFmtId="3" fontId="9" fillId="5" borderId="2" xfId="0" applyNumberFormat="1" applyFont="1" applyFill="1" applyBorder="1"/>
    <xf numFmtId="172" fontId="9" fillId="5" borderId="2" xfId="0" applyNumberFormat="1" applyFont="1" applyFill="1" applyBorder="1"/>
    <xf numFmtId="172" fontId="6" fillId="5" borderId="2" xfId="0" applyNumberFormat="1" applyFont="1" applyFill="1" applyBorder="1"/>
    <xf numFmtId="171" fontId="8" fillId="2" borderId="2" xfId="0" applyNumberFormat="1" applyFont="1" applyFill="1" applyBorder="1"/>
    <xf numFmtId="171" fontId="6" fillId="2" borderId="2" xfId="0" applyNumberFormat="1" applyFont="1" applyFill="1" applyBorder="1"/>
    <xf numFmtId="171" fontId="6" fillId="2" borderId="2" xfId="8" applyNumberFormat="1" applyFont="1" applyFill="1" applyBorder="1" applyAlignment="1">
      <alignment horizontal="right"/>
    </xf>
    <xf numFmtId="171" fontId="6" fillId="2" borderId="2" xfId="8" applyNumberFormat="1" applyFont="1" applyFill="1" applyBorder="1"/>
    <xf numFmtId="5" fontId="6" fillId="2" borderId="2" xfId="0" applyNumberFormat="1" applyFont="1" applyFill="1" applyBorder="1"/>
    <xf numFmtId="2" fontId="6" fillId="2" borderId="2" xfId="0" applyNumberFormat="1" applyFont="1" applyFill="1" applyBorder="1"/>
    <xf numFmtId="167" fontId="6" fillId="2" borderId="2" xfId="0" applyNumberFormat="1" applyFont="1" applyFill="1" applyBorder="1"/>
    <xf numFmtId="0" fontId="17" fillId="0" borderId="0" xfId="0" applyFont="1"/>
    <xf numFmtId="0" fontId="17" fillId="0" borderId="11" xfId="0" applyFont="1" applyBorder="1" applyAlignment="1">
      <alignment horizontal="center"/>
    </xf>
    <xf numFmtId="0" fontId="0" fillId="0" borderId="12" xfId="0" applyBorder="1"/>
    <xf numFmtId="0" fontId="0" fillId="0" borderId="2" xfId="0" applyBorder="1"/>
    <xf numFmtId="44" fontId="0" fillId="0" borderId="12" xfId="0" applyNumberFormat="1" applyBorder="1"/>
    <xf numFmtId="44" fontId="0" fillId="0" borderId="12" xfId="2" applyFont="1" applyBorder="1"/>
    <xf numFmtId="178" fontId="0" fillId="0" borderId="12" xfId="2" applyNumberFormat="1" applyFont="1" applyBorder="1"/>
    <xf numFmtId="44" fontId="0" fillId="0" borderId="2" xfId="2" applyFont="1" applyBorder="1"/>
    <xf numFmtId="44" fontId="0" fillId="0" borderId="2" xfId="0" applyNumberFormat="1" applyBorder="1"/>
    <xf numFmtId="178" fontId="0" fillId="0" borderId="2" xfId="2" applyNumberFormat="1" applyFont="1" applyBorder="1"/>
    <xf numFmtId="0" fontId="16" fillId="0" borderId="2" xfId="0" applyFont="1" applyBorder="1" applyProtection="1">
      <protection locked="0"/>
    </xf>
    <xf numFmtId="0" fontId="20" fillId="3" borderId="2" xfId="0" applyFont="1" applyFill="1" applyBorder="1" applyProtection="1">
      <protection locked="0"/>
    </xf>
    <xf numFmtId="0" fontId="16" fillId="3" borderId="2" xfId="0" applyFont="1" applyFill="1" applyBorder="1" applyProtection="1">
      <protection locked="0"/>
    </xf>
    <xf numFmtId="1" fontId="20" fillId="0" borderId="2" xfId="0" applyNumberFormat="1" applyFont="1" applyBorder="1" applyProtection="1">
      <protection locked="0"/>
    </xf>
    <xf numFmtId="1" fontId="16" fillId="3" borderId="2" xfId="0" applyNumberFormat="1" applyFont="1" applyFill="1" applyBorder="1" applyProtection="1">
      <protection locked="0"/>
    </xf>
    <xf numFmtId="1" fontId="20" fillId="3" borderId="2" xfId="0" applyNumberFormat="1" applyFont="1" applyFill="1" applyBorder="1" applyProtection="1">
      <protection locked="0"/>
    </xf>
    <xf numFmtId="44" fontId="20" fillId="0" borderId="2" xfId="2" applyFont="1" applyBorder="1" applyAlignment="1" applyProtection="1">
      <alignment wrapText="1"/>
      <protection locked="0"/>
    </xf>
    <xf numFmtId="0" fontId="16" fillId="0" borderId="6" xfId="0" applyFont="1" applyBorder="1" applyAlignment="1" applyProtection="1">
      <alignment horizontal="left"/>
      <protection locked="0"/>
    </xf>
    <xf numFmtId="0" fontId="16" fillId="0" borderId="6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/>
      <protection locked="0"/>
    </xf>
    <xf numFmtId="0" fontId="16" fillId="0" borderId="6" xfId="0" applyFont="1" applyBorder="1" applyProtection="1">
      <protection locked="0"/>
    </xf>
    <xf numFmtId="0" fontId="18" fillId="0" borderId="0" xfId="0" applyFont="1" applyProtection="1">
      <protection locked="0"/>
    </xf>
    <xf numFmtId="0" fontId="19" fillId="0" borderId="6" xfId="0" applyFont="1" applyBorder="1" applyAlignment="1" applyProtection="1">
      <alignment vertical="center"/>
      <protection locked="0"/>
    </xf>
    <xf numFmtId="0" fontId="19" fillId="0" borderId="6" xfId="0" applyFont="1" applyBorder="1" applyAlignment="1" applyProtection="1">
      <alignment vertical="center" wrapText="1"/>
      <protection locked="0"/>
    </xf>
    <xf numFmtId="0" fontId="21" fillId="0" borderId="0" xfId="0" applyFont="1" applyProtection="1"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0" xfId="0" applyFont="1" applyProtection="1">
      <protection locked="0"/>
    </xf>
    <xf numFmtId="0" fontId="23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 applyProtection="1">
      <protection locked="0"/>
    </xf>
    <xf numFmtId="0" fontId="22" fillId="0" borderId="0" xfId="0" applyFont="1" applyAlignment="1" applyProtection="1">
      <alignment wrapText="1"/>
      <protection locked="0"/>
    </xf>
    <xf numFmtId="0" fontId="24" fillId="0" borderId="0" xfId="0" applyFont="1" applyAlignment="1" applyProtection="1"/>
    <xf numFmtId="0" fontId="22" fillId="0" borderId="0" xfId="0" applyFont="1" applyProtection="1"/>
    <xf numFmtId="0" fontId="20" fillId="0" borderId="0" xfId="0" applyFont="1" applyAlignment="1" applyProtection="1">
      <alignment vertical="center" wrapText="1"/>
    </xf>
    <xf numFmtId="0" fontId="15" fillId="0" borderId="0" xfId="0" applyFont="1" applyAlignment="1" applyProtection="1">
      <alignment vertical="center"/>
      <protection locked="0"/>
    </xf>
    <xf numFmtId="0" fontId="25" fillId="0" borderId="0" xfId="0" applyFont="1" applyProtection="1">
      <protection locked="0"/>
    </xf>
    <xf numFmtId="0" fontId="16" fillId="0" borderId="0" xfId="0" applyFont="1" applyAlignment="1" applyProtection="1">
      <alignment wrapText="1"/>
      <protection locked="0"/>
    </xf>
    <xf numFmtId="0" fontId="25" fillId="0" borderId="0" xfId="0" applyFont="1" applyProtection="1"/>
    <xf numFmtId="0" fontId="16" fillId="0" borderId="0" xfId="0" applyFont="1" applyAlignment="1" applyProtection="1">
      <alignment wrapText="1"/>
    </xf>
    <xf numFmtId="0" fontId="16" fillId="0" borderId="0" xfId="0" applyFont="1" applyAlignment="1" applyProtection="1">
      <alignment vertical="center" wrapText="1"/>
    </xf>
    <xf numFmtId="0" fontId="19" fillId="0" borderId="0" xfId="0" applyFont="1" applyAlignment="1" applyProtection="1">
      <alignment wrapText="1"/>
    </xf>
    <xf numFmtId="0" fontId="16" fillId="0" borderId="0" xfId="0" applyFont="1" applyProtection="1">
      <protection locked="0"/>
    </xf>
    <xf numFmtId="0" fontId="15" fillId="0" borderId="2" xfId="0" applyFont="1" applyBorder="1" applyAlignment="1" applyProtection="1">
      <alignment horizontal="center"/>
      <protection locked="0"/>
    </xf>
    <xf numFmtId="44" fontId="16" fillId="0" borderId="2" xfId="0" applyNumberFormat="1" applyFont="1" applyBorder="1" applyAlignment="1" applyProtection="1">
      <alignment horizontal="left"/>
      <protection locked="0"/>
    </xf>
    <xf numFmtId="44" fontId="16" fillId="0" borderId="2" xfId="0" applyNumberFormat="1" applyFont="1" applyBorder="1" applyAlignment="1" applyProtection="1">
      <alignment horizontal="center"/>
      <protection locked="0"/>
    </xf>
    <xf numFmtId="44" fontId="16" fillId="0" borderId="2" xfId="2" applyFont="1" applyBorder="1" applyProtection="1">
      <protection locked="0"/>
    </xf>
    <xf numFmtId="0" fontId="15" fillId="0" borderId="2" xfId="0" applyFont="1" applyBorder="1" applyAlignment="1" applyProtection="1">
      <alignment horizontal="left"/>
      <protection locked="0"/>
    </xf>
    <xf numFmtId="44" fontId="15" fillId="0" borderId="2" xfId="0" applyNumberFormat="1" applyFont="1" applyBorder="1" applyAlignment="1" applyProtection="1">
      <alignment horizont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44" fontId="16" fillId="0" borderId="0" xfId="0" applyNumberFormat="1" applyFont="1" applyProtection="1">
      <protection locked="0"/>
    </xf>
    <xf numFmtId="0" fontId="15" fillId="0" borderId="2" xfId="0" applyFont="1" applyBorder="1" applyAlignment="1" applyProtection="1">
      <alignment horizontal="center" wrapText="1"/>
      <protection locked="0"/>
    </xf>
    <xf numFmtId="0" fontId="15" fillId="0" borderId="3" xfId="0" applyFont="1" applyBorder="1" applyAlignment="1" applyProtection="1">
      <alignment wrapText="1"/>
      <protection locked="0"/>
    </xf>
    <xf numFmtId="0" fontId="15" fillId="0" borderId="2" xfId="0" applyFont="1" applyBorder="1" applyAlignment="1" applyProtection="1">
      <alignment vertical="top" wrapText="1"/>
      <protection locked="0"/>
    </xf>
    <xf numFmtId="44" fontId="16" fillId="0" borderId="0" xfId="2" applyFont="1" applyBorder="1" applyProtection="1">
      <protection locked="0"/>
    </xf>
    <xf numFmtId="7" fontId="15" fillId="0" borderId="2" xfId="0" applyNumberFormat="1" applyFont="1" applyBorder="1" applyAlignment="1" applyProtection="1">
      <protection locked="0"/>
    </xf>
    <xf numFmtId="0" fontId="16" fillId="0" borderId="2" xfId="0" applyFont="1" applyBorder="1" applyAlignment="1" applyProtection="1">
      <alignment wrapText="1"/>
      <protection locked="0"/>
    </xf>
    <xf numFmtId="0" fontId="20" fillId="3" borderId="2" xfId="0" applyFont="1" applyFill="1" applyBorder="1" applyAlignment="1" applyProtection="1">
      <alignment wrapText="1"/>
      <protection locked="0"/>
    </xf>
    <xf numFmtId="0" fontId="16" fillId="3" borderId="2" xfId="0" applyFont="1" applyFill="1" applyBorder="1" applyAlignment="1" applyProtection="1">
      <alignment wrapText="1"/>
      <protection locked="0"/>
    </xf>
    <xf numFmtId="0" fontId="20" fillId="3" borderId="2" xfId="0" applyFont="1" applyFill="1" applyBorder="1" applyAlignment="1" applyProtection="1">
      <alignment horizontal="left" wrapText="1"/>
      <protection locked="0"/>
    </xf>
    <xf numFmtId="0" fontId="16" fillId="0" borderId="2" xfId="0" applyFont="1" applyBorder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center"/>
    </xf>
    <xf numFmtId="44" fontId="16" fillId="0" borderId="0" xfId="0" applyNumberFormat="1" applyFont="1" applyProtection="1"/>
    <xf numFmtId="0" fontId="16" fillId="0" borderId="0" xfId="0" applyFont="1" applyProtection="1"/>
    <xf numFmtId="0" fontId="15" fillId="0" borderId="0" xfId="0" applyFont="1" applyProtection="1"/>
    <xf numFmtId="44" fontId="16" fillId="0" borderId="14" xfId="0" applyNumberFormat="1" applyFont="1" applyBorder="1" applyAlignment="1" applyProtection="1">
      <alignment horizontal="center"/>
    </xf>
    <xf numFmtId="44" fontId="16" fillId="0" borderId="0" xfId="2" applyFont="1" applyBorder="1" applyProtection="1"/>
    <xf numFmtId="7" fontId="15" fillId="0" borderId="0" xfId="0" applyNumberFormat="1" applyFont="1" applyBorder="1" applyAlignment="1" applyProtection="1"/>
    <xf numFmtId="44" fontId="15" fillId="0" borderId="0" xfId="0" applyNumberFormat="1" applyFont="1" applyProtection="1"/>
    <xf numFmtId="7" fontId="15" fillId="0" borderId="0" xfId="0" applyNumberFormat="1" applyFont="1" applyProtection="1"/>
    <xf numFmtId="44" fontId="16" fillId="0" borderId="10" xfId="0" applyNumberFormat="1" applyFont="1" applyBorder="1" applyAlignment="1" applyProtection="1">
      <alignment horizontal="left"/>
    </xf>
    <xf numFmtId="44" fontId="16" fillId="0" borderId="2" xfId="0" applyNumberFormat="1" applyFont="1" applyBorder="1" applyAlignment="1" applyProtection="1">
      <alignment horizontal="left" vertical="center"/>
      <protection locked="0"/>
    </xf>
    <xf numFmtId="44" fontId="16" fillId="0" borderId="2" xfId="0" applyNumberFormat="1" applyFont="1" applyBorder="1" applyAlignment="1" applyProtection="1">
      <alignment horizontal="right"/>
      <protection locked="0"/>
    </xf>
    <xf numFmtId="0" fontId="16" fillId="0" borderId="2" xfId="0" applyFont="1" applyBorder="1" applyAlignment="1" applyProtection="1">
      <alignment horizontal="center"/>
      <protection locked="0"/>
    </xf>
    <xf numFmtId="44" fontId="16" fillId="0" borderId="2" xfId="0" applyNumberFormat="1" applyFont="1" applyBorder="1" applyProtection="1">
      <protection locked="0"/>
    </xf>
    <xf numFmtId="1" fontId="20" fillId="3" borderId="2" xfId="0" applyNumberFormat="1" applyFont="1" applyFill="1" applyBorder="1" applyAlignment="1" applyProtection="1">
      <alignment horizontal="center"/>
      <protection locked="0"/>
    </xf>
    <xf numFmtId="1" fontId="16" fillId="0" borderId="2" xfId="0" applyNumberFormat="1" applyFont="1" applyBorder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 vertical="top"/>
      <protection locked="0"/>
    </xf>
    <xf numFmtId="44" fontId="16" fillId="0" borderId="0" xfId="0" applyNumberFormat="1" applyFont="1" applyBorder="1" applyAlignment="1" applyProtection="1">
      <alignment horizontal="left" vertical="center"/>
    </xf>
    <xf numFmtId="44" fontId="16" fillId="0" borderId="0" xfId="0" applyNumberFormat="1" applyFont="1" applyBorder="1" applyAlignment="1" applyProtection="1">
      <alignment horizontal="right"/>
    </xf>
    <xf numFmtId="7" fontId="15" fillId="0" borderId="0" xfId="0" applyNumberFormat="1" applyFont="1" applyAlignment="1" applyProtection="1"/>
    <xf numFmtId="169" fontId="16" fillId="0" borderId="0" xfId="1" applyNumberFormat="1" applyFont="1" applyProtection="1"/>
    <xf numFmtId="44" fontId="15" fillId="0" borderId="2" xfId="0" applyNumberFormat="1" applyFont="1" applyBorder="1" applyProtection="1">
      <protection locked="0"/>
    </xf>
    <xf numFmtId="44" fontId="15" fillId="0" borderId="2" xfId="3" applyNumberFormat="1" applyFont="1" applyBorder="1" applyProtection="1">
      <protection locked="0"/>
    </xf>
    <xf numFmtId="10" fontId="15" fillId="0" borderId="2" xfId="0" applyNumberFormat="1" applyFont="1" applyBorder="1" applyProtection="1">
      <protection locked="0"/>
    </xf>
    <xf numFmtId="14" fontId="16" fillId="0" borderId="2" xfId="0" applyNumberFormat="1" applyFont="1" applyBorder="1" applyProtection="1">
      <protection locked="0"/>
    </xf>
    <xf numFmtId="169" fontId="16" fillId="0" borderId="2" xfId="1" applyNumberFormat="1" applyFont="1" applyBorder="1" applyProtection="1">
      <protection locked="0"/>
    </xf>
    <xf numFmtId="3" fontId="16" fillId="0" borderId="2" xfId="0" applyNumberFormat="1" applyFont="1" applyBorder="1" applyProtection="1">
      <protection locked="0"/>
    </xf>
    <xf numFmtId="175" fontId="16" fillId="0" borderId="2" xfId="0" applyNumberFormat="1" applyFont="1" applyBorder="1" applyProtection="1">
      <protection locked="0"/>
    </xf>
    <xf numFmtId="10" fontId="16" fillId="0" borderId="2" xfId="0" applyNumberFormat="1" applyFont="1" applyBorder="1" applyProtection="1">
      <protection locked="0"/>
    </xf>
    <xf numFmtId="14" fontId="16" fillId="0" borderId="0" xfId="0" applyNumberFormat="1" applyFont="1" applyProtection="1">
      <protection locked="0"/>
    </xf>
    <xf numFmtId="169" fontId="16" fillId="0" borderId="0" xfId="1" applyNumberFormat="1" applyFont="1" applyBorder="1" applyProtection="1">
      <protection locked="0"/>
    </xf>
    <xf numFmtId="3" fontId="16" fillId="0" borderId="0" xfId="0" applyNumberFormat="1" applyFont="1" applyProtection="1">
      <protection locked="0"/>
    </xf>
    <xf numFmtId="175" fontId="16" fillId="0" borderId="0" xfId="0" applyNumberFormat="1" applyFont="1" applyProtection="1">
      <protection locked="0"/>
    </xf>
    <xf numFmtId="10" fontId="16" fillId="0" borderId="0" xfId="0" applyNumberFormat="1" applyFont="1" applyProtection="1">
      <protection locked="0"/>
    </xf>
    <xf numFmtId="169" fontId="16" fillId="0" borderId="0" xfId="1" applyNumberFormat="1" applyFont="1" applyProtection="1">
      <protection locked="0"/>
    </xf>
    <xf numFmtId="44" fontId="2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 applyProtection="1">
      <alignment horizontal="center" vertical="top" wrapText="1"/>
      <protection locked="0"/>
    </xf>
    <xf numFmtId="3" fontId="15" fillId="0" borderId="2" xfId="0" applyNumberFormat="1" applyFont="1" applyFill="1" applyBorder="1" applyAlignment="1" applyProtection="1">
      <alignment horizontal="center" vertical="top" wrapText="1"/>
      <protection locked="0"/>
    </xf>
    <xf numFmtId="0" fontId="23" fillId="0" borderId="2" xfId="9" applyFont="1" applyFill="1" applyBorder="1" applyAlignment="1" applyProtection="1">
      <alignment horizontal="center" vertical="top" wrapText="1"/>
      <protection locked="0"/>
    </xf>
    <xf numFmtId="169" fontId="23" fillId="0" borderId="2" xfId="1" applyNumberFormat="1" applyFont="1" applyFill="1" applyBorder="1" applyAlignment="1" applyProtection="1">
      <alignment horizontal="center" vertical="top" wrapText="1"/>
      <protection locked="0"/>
    </xf>
    <xf numFmtId="44" fontId="23" fillId="0" borderId="2" xfId="9" applyNumberFormat="1" applyFont="1" applyFill="1" applyBorder="1" applyAlignment="1" applyProtection="1">
      <alignment horizontal="center" vertical="top" wrapText="1"/>
      <protection locked="0"/>
    </xf>
    <xf numFmtId="44" fontId="23" fillId="0" borderId="2" xfId="10" applyFont="1" applyFill="1" applyBorder="1" applyAlignment="1" applyProtection="1">
      <alignment horizontal="center" vertical="top" wrapText="1"/>
      <protection locked="0"/>
    </xf>
    <xf numFmtId="10" fontId="23" fillId="0" borderId="2" xfId="0" applyNumberFormat="1" applyFont="1" applyFill="1" applyBorder="1" applyAlignment="1" applyProtection="1">
      <alignment horizontal="center" vertical="top" wrapText="1"/>
      <protection locked="0"/>
    </xf>
    <xf numFmtId="0" fontId="23" fillId="0" borderId="2" xfId="0" applyFont="1" applyFill="1" applyBorder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3" fontId="23" fillId="0" borderId="2" xfId="0" applyNumberFormat="1" applyFont="1" applyFill="1" applyBorder="1" applyAlignment="1" applyProtection="1">
      <alignment horizontal="center" vertical="top" wrapText="1"/>
      <protection locked="0"/>
    </xf>
    <xf numFmtId="0" fontId="15" fillId="3" borderId="2" xfId="0" applyFont="1" applyFill="1" applyBorder="1" applyAlignment="1" applyProtection="1">
      <alignment horizontal="center" vertical="top" wrapText="1"/>
      <protection locked="0"/>
    </xf>
    <xf numFmtId="0" fontId="15" fillId="0" borderId="2" xfId="0" applyFont="1" applyBorder="1" applyAlignment="1" applyProtection="1">
      <alignment horizontal="center" vertical="top" wrapText="1"/>
      <protection locked="0"/>
    </xf>
    <xf numFmtId="44" fontId="23" fillId="0" borderId="2" xfId="2" applyFont="1" applyBorder="1" applyProtection="1">
      <protection locked="0"/>
    </xf>
    <xf numFmtId="169" fontId="15" fillId="0" borderId="2" xfId="1" applyNumberFormat="1" applyFont="1" applyBorder="1" applyAlignment="1" applyProtection="1">
      <alignment horizontal="center" vertical="top"/>
    </xf>
    <xf numFmtId="44" fontId="23" fillId="0" borderId="2" xfId="10" applyFont="1" applyFill="1" applyBorder="1" applyAlignment="1" applyProtection="1">
      <alignment horizontal="center" vertical="top"/>
      <protection locked="0"/>
    </xf>
    <xf numFmtId="44" fontId="23" fillId="0" borderId="2" xfId="10" applyFont="1" applyFill="1" applyBorder="1" applyAlignment="1" applyProtection="1">
      <alignment horizontal="center" vertical="top"/>
      <protection locked="0"/>
    </xf>
    <xf numFmtId="44" fontId="20" fillId="3" borderId="2" xfId="10" applyFont="1" applyFill="1" applyBorder="1" applyAlignment="1" applyProtection="1">
      <alignment horizontal="center" vertical="top"/>
    </xf>
    <xf numFmtId="44" fontId="23" fillId="0" borderId="2" xfId="11" applyNumberFormat="1" applyFont="1" applyFill="1" applyBorder="1" applyAlignment="1" applyProtection="1">
      <alignment horizontal="center" vertical="top" wrapText="1"/>
      <protection locked="0"/>
    </xf>
    <xf numFmtId="0" fontId="23" fillId="0" borderId="2" xfId="0" applyFont="1" applyFill="1" applyBorder="1" applyAlignment="1" applyProtection="1">
      <alignment horizontal="center" vertical="top"/>
      <protection locked="0"/>
    </xf>
    <xf numFmtId="44" fontId="23" fillId="0" borderId="2" xfId="0" applyNumberFormat="1" applyFont="1" applyFill="1" applyBorder="1" applyAlignment="1" applyProtection="1">
      <alignment horizontal="center" vertical="top"/>
      <protection locked="0"/>
    </xf>
    <xf numFmtId="44" fontId="23" fillId="0" borderId="2" xfId="0" applyNumberFormat="1" applyFont="1" applyFill="1" applyBorder="1" applyAlignment="1" applyProtection="1">
      <alignment horizontal="center" vertical="top" wrapText="1"/>
      <protection locked="0"/>
    </xf>
    <xf numFmtId="0" fontId="20" fillId="0" borderId="0" xfId="0" applyFont="1" applyAlignment="1" applyProtection="1">
      <alignment horizontal="center" vertical="top"/>
      <protection locked="0"/>
    </xf>
    <xf numFmtId="14" fontId="23" fillId="3" borderId="2" xfId="0" applyNumberFormat="1" applyFont="1" applyFill="1" applyBorder="1" applyAlignment="1" applyProtection="1">
      <alignment horizontal="left" vertical="top" wrapText="1"/>
      <protection locked="0"/>
    </xf>
    <xf numFmtId="0" fontId="26" fillId="0" borderId="0" xfId="0" applyFont="1" applyProtection="1"/>
    <xf numFmtId="14" fontId="27" fillId="0" borderId="2" xfId="0" applyNumberFormat="1" applyFont="1" applyFill="1" applyBorder="1" applyAlignment="1" applyProtection="1">
      <alignment horizontal="center" vertical="top"/>
    </xf>
    <xf numFmtId="14" fontId="15" fillId="0" borderId="2" xfId="9" applyNumberFormat="1" applyFont="1" applyBorder="1" applyAlignment="1" applyProtection="1">
      <alignment horizontal="center" vertical="top" wrapText="1"/>
    </xf>
    <xf numFmtId="0" fontId="15" fillId="0" borderId="2" xfId="9" applyFont="1" applyBorder="1" applyAlignment="1" applyProtection="1">
      <alignment horizontal="center" vertical="top"/>
    </xf>
    <xf numFmtId="0" fontId="16" fillId="0" borderId="2" xfId="0" applyFont="1" applyBorder="1" applyAlignment="1" applyProtection="1">
      <alignment horizontal="center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20" fillId="0" borderId="2" xfId="0" applyFont="1" applyBorder="1" applyProtection="1">
      <protection locked="0"/>
    </xf>
    <xf numFmtId="3" fontId="20" fillId="3" borderId="2" xfId="0" applyNumberFormat="1" applyFont="1" applyFill="1" applyBorder="1" applyProtection="1">
      <protection locked="0"/>
    </xf>
    <xf numFmtId="3" fontId="20" fillId="3" borderId="2" xfId="0" applyNumberFormat="1" applyFont="1" applyFill="1" applyBorder="1" applyAlignment="1" applyProtection="1">
      <alignment horizontal="center"/>
      <protection locked="0"/>
    </xf>
    <xf numFmtId="1" fontId="20" fillId="0" borderId="2" xfId="0" applyNumberFormat="1" applyFont="1" applyBorder="1" applyAlignment="1" applyProtection="1">
      <alignment horizontal="center"/>
      <protection locked="0"/>
    </xf>
    <xf numFmtId="176" fontId="20" fillId="3" borderId="2" xfId="0" applyNumberFormat="1" applyFont="1" applyFill="1" applyBorder="1" applyProtection="1">
      <protection locked="0"/>
    </xf>
    <xf numFmtId="167" fontId="20" fillId="0" borderId="2" xfId="0" applyNumberFormat="1" applyFont="1" applyBorder="1" applyAlignment="1" applyProtection="1">
      <alignment horizontal="center"/>
      <protection locked="0"/>
    </xf>
    <xf numFmtId="44" fontId="16" fillId="0" borderId="2" xfId="2" applyFont="1" applyBorder="1" applyProtection="1"/>
    <xf numFmtId="0" fontId="16" fillId="3" borderId="2" xfId="0" applyFont="1" applyFill="1" applyBorder="1" applyAlignment="1" applyProtection="1">
      <alignment horizontal="center"/>
      <protection locked="0"/>
    </xf>
    <xf numFmtId="3" fontId="16" fillId="3" borderId="2" xfId="0" applyNumberFormat="1" applyFont="1" applyFill="1" applyBorder="1" applyProtection="1">
      <protection locked="0"/>
    </xf>
    <xf numFmtId="3" fontId="16" fillId="0" borderId="2" xfId="0" applyNumberFormat="1" applyFont="1" applyBorder="1" applyAlignment="1" applyProtection="1">
      <alignment horizontal="center"/>
      <protection locked="0"/>
    </xf>
    <xf numFmtId="167" fontId="16" fillId="0" borderId="2" xfId="0" applyNumberFormat="1" applyFont="1" applyBorder="1" applyAlignment="1" applyProtection="1">
      <alignment horizontal="center"/>
      <protection locked="0"/>
    </xf>
    <xf numFmtId="0" fontId="16" fillId="3" borderId="2" xfId="0" applyFont="1" applyFill="1" applyBorder="1" applyAlignment="1" applyProtection="1">
      <alignment horizontal="right"/>
      <protection locked="0"/>
    </xf>
    <xf numFmtId="0" fontId="16" fillId="0" borderId="2" xfId="0" applyFont="1" applyBorder="1" applyProtection="1"/>
    <xf numFmtId="44" fontId="16" fillId="0" borderId="2" xfId="0" applyNumberFormat="1" applyFont="1" applyBorder="1" applyProtection="1"/>
    <xf numFmtId="14" fontId="16" fillId="0" borderId="2" xfId="0" applyNumberFormat="1" applyFont="1" applyBorder="1" applyProtection="1"/>
    <xf numFmtId="167" fontId="20" fillId="0" borderId="0" xfId="0" applyNumberFormat="1" applyFont="1" applyAlignment="1" applyProtection="1">
      <alignment horizontal="center"/>
    </xf>
    <xf numFmtId="14" fontId="16" fillId="3" borderId="2" xfId="0" applyNumberFormat="1" applyFont="1" applyFill="1" applyBorder="1" applyProtection="1">
      <protection locked="0"/>
    </xf>
    <xf numFmtId="169" fontId="16" fillId="3" borderId="2" xfId="1" applyNumberFormat="1" applyFont="1" applyFill="1" applyBorder="1" applyProtection="1">
      <protection locked="0"/>
    </xf>
    <xf numFmtId="171" fontId="16" fillId="3" borderId="2" xfId="0" applyNumberFormat="1" applyFont="1" applyFill="1" applyBorder="1" applyProtection="1"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174" fontId="16" fillId="0" borderId="2" xfId="0" applyNumberFormat="1" applyFont="1" applyBorder="1" applyAlignment="1" applyProtection="1">
      <alignment horizontal="right"/>
      <protection locked="0"/>
    </xf>
    <xf numFmtId="3" fontId="20" fillId="3" borderId="2" xfId="0" applyNumberFormat="1" applyFont="1" applyFill="1" applyBorder="1" applyAlignment="1" applyProtection="1">
      <alignment horizontal="right"/>
      <protection locked="0"/>
    </xf>
    <xf numFmtId="3" fontId="20" fillId="0" borderId="2" xfId="0" applyNumberFormat="1" applyFont="1" applyBorder="1" applyAlignment="1" applyProtection="1">
      <alignment horizontal="center"/>
      <protection locked="0"/>
    </xf>
    <xf numFmtId="0" fontId="20" fillId="3" borderId="2" xfId="0" applyFont="1" applyFill="1" applyBorder="1" applyAlignment="1" applyProtection="1">
      <alignment horizontal="right"/>
      <protection locked="0"/>
    </xf>
    <xf numFmtId="0" fontId="16" fillId="3" borderId="0" xfId="0" applyFont="1" applyFill="1" applyProtection="1">
      <protection locked="0"/>
    </xf>
    <xf numFmtId="169" fontId="16" fillId="0" borderId="0" xfId="0" applyNumberFormat="1" applyFont="1" applyProtection="1">
      <protection locked="0"/>
    </xf>
    <xf numFmtId="3" fontId="2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wrapText="1"/>
      <protection locked="0"/>
    </xf>
    <xf numFmtId="3" fontId="20" fillId="0" borderId="2" xfId="0" applyNumberFormat="1" applyFont="1" applyBorder="1" applyAlignment="1" applyProtection="1">
      <alignment wrapText="1"/>
      <protection locked="0"/>
    </xf>
    <xf numFmtId="3" fontId="16" fillId="0" borderId="2" xfId="0" applyNumberFormat="1" applyFont="1" applyBorder="1" applyAlignment="1" applyProtection="1">
      <alignment wrapText="1"/>
      <protection locked="0"/>
    </xf>
    <xf numFmtId="174" fontId="16" fillId="0" borderId="2" xfId="0" applyNumberFormat="1" applyFont="1" applyBorder="1" applyAlignment="1" applyProtection="1">
      <alignment horizontal="right"/>
    </xf>
    <xf numFmtId="174" fontId="16" fillId="3" borderId="2" xfId="0" applyNumberFormat="1" applyFont="1" applyFill="1" applyBorder="1" applyAlignment="1" applyProtection="1">
      <alignment horizontal="right"/>
    </xf>
    <xf numFmtId="0" fontId="15" fillId="0" borderId="0" xfId="0" applyFont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164" fontId="20" fillId="0" borderId="2" xfId="0" applyNumberFormat="1" applyFont="1" applyBorder="1" applyProtection="1">
      <protection locked="0"/>
    </xf>
    <xf numFmtId="165" fontId="20" fillId="0" borderId="2" xfId="0" applyNumberFormat="1" applyFont="1" applyBorder="1" applyProtection="1">
      <protection locked="0"/>
    </xf>
    <xf numFmtId="165" fontId="25" fillId="0" borderId="2" xfId="0" applyNumberFormat="1" applyFont="1" applyBorder="1" applyProtection="1">
      <protection locked="0"/>
    </xf>
    <xf numFmtId="164" fontId="20" fillId="3" borderId="2" xfId="0" applyNumberFormat="1" applyFont="1" applyFill="1" applyBorder="1" applyProtection="1">
      <protection locked="0"/>
    </xf>
    <xf numFmtId="165" fontId="20" fillId="3" borderId="2" xfId="0" applyNumberFormat="1" applyFont="1" applyFill="1" applyBorder="1" applyProtection="1">
      <protection locked="0"/>
    </xf>
    <xf numFmtId="165" fontId="25" fillId="3" borderId="2" xfId="0" applyNumberFormat="1" applyFont="1" applyFill="1" applyBorder="1" applyProtection="1">
      <protection locked="0"/>
    </xf>
    <xf numFmtId="165" fontId="20" fillId="0" borderId="0" xfId="1" applyNumberFormat="1" applyFont="1" applyFill="1" applyBorder="1" applyProtection="1"/>
    <xf numFmtId="164" fontId="20" fillId="0" borderId="0" xfId="0" applyNumberFormat="1" applyFont="1" applyProtection="1"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165" fontId="20" fillId="0" borderId="0" xfId="0" applyNumberFormat="1" applyFont="1" applyProtection="1"/>
    <xf numFmtId="166" fontId="20" fillId="0" borderId="0" xfId="0" applyNumberFormat="1" applyFont="1" applyProtection="1"/>
    <xf numFmtId="0" fontId="20" fillId="0" borderId="0" xfId="0" applyFont="1" applyProtection="1">
      <protection locked="0"/>
    </xf>
    <xf numFmtId="177" fontId="29" fillId="0" borderId="0" xfId="0" applyNumberFormat="1" applyFont="1" applyProtection="1">
      <protection locked="0"/>
    </xf>
    <xf numFmtId="173" fontId="16" fillId="0" borderId="0" xfId="0" applyNumberFormat="1" applyFont="1" applyProtection="1">
      <protection locked="0"/>
    </xf>
    <xf numFmtId="173" fontId="16" fillId="0" borderId="0" xfId="0" applyNumberFormat="1" applyFont="1" applyBorder="1" applyProtection="1">
      <protection locked="0"/>
    </xf>
    <xf numFmtId="177" fontId="29" fillId="0" borderId="15" xfId="0" applyNumberFormat="1" applyFont="1" applyBorder="1" applyProtection="1">
      <protection locked="0"/>
    </xf>
    <xf numFmtId="0" fontId="20" fillId="0" borderId="0" xfId="0" applyFont="1" applyAlignment="1" applyProtection="1">
      <alignment wrapText="1"/>
      <protection locked="0"/>
    </xf>
    <xf numFmtId="0" fontId="20" fillId="0" borderId="0" xfId="0" applyFont="1" applyAlignment="1" applyProtection="1">
      <alignment vertical="top" wrapText="1"/>
      <protection locked="0"/>
    </xf>
    <xf numFmtId="0" fontId="15" fillId="0" borderId="2" xfId="0" applyFont="1" applyFill="1" applyBorder="1" applyAlignment="1" applyProtection="1">
      <alignment horizontal="center"/>
      <protection locked="0"/>
    </xf>
    <xf numFmtId="0" fontId="16" fillId="0" borderId="11" xfId="0" applyFont="1" applyBorder="1" applyAlignment="1" applyProtection="1">
      <alignment horizontal="center"/>
      <protection locked="0"/>
    </xf>
    <xf numFmtId="1" fontId="16" fillId="0" borderId="6" xfId="0" applyNumberFormat="1" applyFont="1" applyBorder="1" applyAlignment="1" applyProtection="1">
      <alignment horizontal="left"/>
      <protection locked="0"/>
    </xf>
    <xf numFmtId="1" fontId="16" fillId="3" borderId="6" xfId="0" applyNumberFormat="1" applyFont="1" applyFill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67" fontId="20" fillId="0" borderId="1" xfId="2" applyNumberFormat="1" applyFont="1" applyFill="1" applyBorder="1" applyProtection="1">
      <protection locked="0"/>
    </xf>
    <xf numFmtId="167" fontId="16" fillId="0" borderId="1" xfId="2" applyNumberFormat="1" applyFont="1" applyFill="1" applyBorder="1" applyProtection="1">
      <protection locked="0"/>
    </xf>
    <xf numFmtId="0" fontId="28" fillId="0" borderId="0" xfId="0" applyFont="1" applyProtection="1">
      <protection locked="0"/>
    </xf>
    <xf numFmtId="167" fontId="20" fillId="0" borderId="0" xfId="2" applyNumberFormat="1" applyFont="1" applyFill="1" applyBorder="1" applyProtection="1"/>
    <xf numFmtId="167" fontId="16" fillId="0" borderId="0" xfId="2" applyNumberFormat="1" applyFont="1" applyFill="1" applyBorder="1" applyProtection="1"/>
    <xf numFmtId="14" fontId="20" fillId="0" borderId="0" xfId="0" applyNumberFormat="1" applyFont="1" applyProtection="1">
      <protection locked="0"/>
    </xf>
  </cellXfs>
  <cellStyles count="13">
    <cellStyle name="Comma" xfId="1" builtinId="3"/>
    <cellStyle name="Comma 2" xfId="6" xr:uid="{CF6010DB-7713-4CBD-918F-224B5574F86D}"/>
    <cellStyle name="Currency" xfId="2" builtinId="4"/>
    <cellStyle name="Currency 2" xfId="5" xr:uid="{FA57FF74-3374-4BA4-9256-B11F90C4E295}"/>
    <cellStyle name="Currency 3" xfId="10" xr:uid="{F06BBC7C-420C-42F8-BD02-2848840D2D7E}"/>
    <cellStyle name="KenBorder" xfId="11" xr:uid="{6529530C-EF80-4AD2-8BA9-DD047D1DC325}"/>
    <cellStyle name="Normal" xfId="0" builtinId="0"/>
    <cellStyle name="Normal 14" xfId="12" xr:uid="{B7550EBE-E7AA-4D0B-8AF3-252E59BBE843}"/>
    <cellStyle name="Normal 2" xfId="4" xr:uid="{290AB0E3-5816-4B83-BA9B-FE596A68BDE4}"/>
    <cellStyle name="Normal 6" xfId="9" xr:uid="{ED60C067-5C86-4084-A74F-776D80DE364C}"/>
    <cellStyle name="Normal_Sheet1" xfId="8" xr:uid="{493C6199-C6C1-4840-818E-44880C882551}"/>
    <cellStyle name="Percent" xfId="3" builtinId="5"/>
    <cellStyle name="Percent 2" xfId="7" xr:uid="{C6E58215-0ED9-479A-82D1-6575E869E6DA}"/>
  </cellStyles>
  <dxfs count="0"/>
  <tableStyles count="0" defaultTableStyle="TableStyleMedium2" defaultPivotStyle="PivotStyleLight16"/>
  <colors>
    <mruColors>
      <color rgb="FF961DB3"/>
      <color rgb="FFAD20B0"/>
      <color rgb="FF952DA3"/>
      <color rgb="FFA62A9A"/>
      <color rgb="FF9A2AA6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D19-E91E-42E4-AE82-352100FE1FFD}">
  <dimension ref="A1:G4"/>
  <sheetViews>
    <sheetView workbookViewId="0"/>
  </sheetViews>
  <sheetFormatPr defaultColWidth="0" defaultRowHeight="15.6" zeroHeight="1" x14ac:dyDescent="0.3"/>
  <cols>
    <col min="1" max="6" width="8.88671875" style="91" customWidth="1"/>
    <col min="7" max="7" width="45.6640625" style="91" customWidth="1"/>
    <col min="8" max="16384" width="8.88671875" style="91" hidden="1"/>
  </cols>
  <sheetData>
    <row r="1" spans="1:7" ht="19.2" x14ac:dyDescent="0.45">
      <c r="A1" s="94" t="s">
        <v>0</v>
      </c>
      <c r="B1" s="96"/>
      <c r="C1" s="96"/>
      <c r="D1" s="96"/>
      <c r="E1" s="96"/>
      <c r="F1" s="96"/>
      <c r="G1" s="96"/>
    </row>
    <row r="2" spans="1:7" ht="19.2" x14ac:dyDescent="0.3">
      <c r="A2" s="92" t="s">
        <v>1</v>
      </c>
      <c r="B2" s="97"/>
      <c r="C2" s="97"/>
      <c r="D2" s="97"/>
      <c r="E2" s="97"/>
      <c r="F2" s="97"/>
      <c r="G2" s="97"/>
    </row>
    <row r="3" spans="1:7" s="95" customFormat="1" ht="73.2" customHeight="1" x14ac:dyDescent="0.3">
      <c r="A3" s="93" t="s">
        <v>2</v>
      </c>
      <c r="B3" s="93"/>
      <c r="C3" s="93"/>
      <c r="D3" s="93"/>
      <c r="E3" s="93"/>
      <c r="F3" s="93"/>
      <c r="G3" s="93"/>
    </row>
    <row r="4" spans="1:7" ht="15.6" customHeight="1" x14ac:dyDescent="0.3">
      <c r="A4" s="98"/>
      <c r="B4" s="98"/>
      <c r="C4" s="98"/>
      <c r="D4" s="98"/>
      <c r="E4" s="98"/>
      <c r="F4" s="98"/>
      <c r="G4" s="98"/>
    </row>
  </sheetData>
  <sheetProtection sheet="1" objects="1" scenarios="1" selectLockedCells="1"/>
  <mergeCells count="1"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9D646-D6FC-41AB-812F-9269294E6D28}">
  <dimension ref="A1:B55"/>
  <sheetViews>
    <sheetView zoomScale="95" zoomScaleNormal="95" workbookViewId="0"/>
  </sheetViews>
  <sheetFormatPr defaultColWidth="0" defaultRowHeight="0" customHeight="1" zeroHeight="1" x14ac:dyDescent="0.3"/>
  <cols>
    <col min="1" max="1" width="17.44140625" style="100" customWidth="1"/>
    <col min="2" max="2" width="95.5546875" style="100" customWidth="1"/>
    <col min="3" max="16384" width="5.5546875" style="100" hidden="1"/>
  </cols>
  <sheetData>
    <row r="1" spans="1:2" ht="15" customHeight="1" x14ac:dyDescent="0.45">
      <c r="A1" s="85" t="s">
        <v>0</v>
      </c>
      <c r="B1" s="102"/>
    </row>
    <row r="2" spans="1:2" ht="19.2" x14ac:dyDescent="0.3">
      <c r="A2" s="92" t="s">
        <v>3</v>
      </c>
      <c r="B2" s="102"/>
    </row>
    <row r="3" spans="1:2" ht="19.2" x14ac:dyDescent="0.3">
      <c r="A3" s="99" t="s">
        <v>4</v>
      </c>
      <c r="B3" s="102"/>
    </row>
    <row r="4" spans="1:2" ht="100.2" customHeight="1" x14ac:dyDescent="0.3">
      <c r="A4" s="86" t="s">
        <v>5</v>
      </c>
      <c r="B4" s="86"/>
    </row>
    <row r="5" spans="1:2" ht="34.5" customHeight="1" x14ac:dyDescent="0.45">
      <c r="A5" s="9" t="s">
        <v>6</v>
      </c>
      <c r="B5" s="103"/>
    </row>
    <row r="6" spans="1:2" ht="19.2" x14ac:dyDescent="0.45">
      <c r="A6" s="10" t="s">
        <v>7</v>
      </c>
      <c r="B6" s="18" t="s">
        <v>8</v>
      </c>
    </row>
    <row r="7" spans="1:2" ht="19.2" x14ac:dyDescent="0.45">
      <c r="A7" s="11" t="s">
        <v>9</v>
      </c>
      <c r="B7" s="78" t="s">
        <v>10</v>
      </c>
    </row>
    <row r="8" spans="1:2" ht="19.2" x14ac:dyDescent="0.3">
      <c r="A8" s="14" t="s">
        <v>11</v>
      </c>
      <c r="B8" s="79" t="s">
        <v>12</v>
      </c>
    </row>
    <row r="9" spans="1:2" ht="19.2" x14ac:dyDescent="0.3">
      <c r="A9" s="14" t="s">
        <v>13</v>
      </c>
      <c r="B9" s="79" t="s">
        <v>14</v>
      </c>
    </row>
    <row r="10" spans="1:2" ht="19.2" x14ac:dyDescent="0.3">
      <c r="A10" s="14" t="s">
        <v>15</v>
      </c>
      <c r="B10" s="79" t="s">
        <v>16</v>
      </c>
    </row>
    <row r="11" spans="1:2" ht="19.2" x14ac:dyDescent="0.3">
      <c r="A11" s="14" t="s">
        <v>17</v>
      </c>
      <c r="B11" s="79" t="s">
        <v>18</v>
      </c>
    </row>
    <row r="12" spans="1:2" ht="38.4" x14ac:dyDescent="0.3">
      <c r="A12" s="14" t="s">
        <v>19</v>
      </c>
      <c r="B12" s="79" t="s">
        <v>20</v>
      </c>
    </row>
    <row r="13" spans="1:2" ht="19.2" x14ac:dyDescent="0.3">
      <c r="A13" s="14" t="s">
        <v>21</v>
      </c>
      <c r="B13" s="79" t="s">
        <v>22</v>
      </c>
    </row>
    <row r="14" spans="1:2" ht="19.2" x14ac:dyDescent="0.3">
      <c r="A14" s="14" t="s">
        <v>23</v>
      </c>
      <c r="B14" s="79" t="s">
        <v>24</v>
      </c>
    </row>
    <row r="15" spans="1:2" ht="19.2" x14ac:dyDescent="0.45">
      <c r="A15" s="12" t="s">
        <v>25</v>
      </c>
      <c r="B15" s="80" t="s">
        <v>26</v>
      </c>
    </row>
    <row r="16" spans="1:2" ht="19.2" x14ac:dyDescent="0.3">
      <c r="A16" s="12" t="s">
        <v>27</v>
      </c>
      <c r="B16" s="79" t="s">
        <v>28</v>
      </c>
    </row>
    <row r="17" spans="1:2" ht="19.2" x14ac:dyDescent="0.3">
      <c r="A17" s="12" t="s">
        <v>29</v>
      </c>
      <c r="B17" s="79" t="s">
        <v>30</v>
      </c>
    </row>
    <row r="18" spans="1:2" ht="35.25" customHeight="1" x14ac:dyDescent="0.45">
      <c r="A18" s="9" t="s">
        <v>31</v>
      </c>
      <c r="B18" s="104"/>
    </row>
    <row r="19" spans="1:2" ht="19.2" x14ac:dyDescent="0.45">
      <c r="A19" s="15" t="s">
        <v>7</v>
      </c>
      <c r="B19" s="16" t="s">
        <v>8</v>
      </c>
    </row>
    <row r="20" spans="1:2" ht="38.4" x14ac:dyDescent="0.3">
      <c r="A20" s="12" t="s">
        <v>32</v>
      </c>
      <c r="B20" s="13" t="s">
        <v>33</v>
      </c>
    </row>
    <row r="21" spans="1:2" ht="35.25" customHeight="1" x14ac:dyDescent="0.45">
      <c r="A21" s="9" t="s">
        <v>34</v>
      </c>
      <c r="B21" s="104"/>
    </row>
    <row r="22" spans="1:2" ht="19.2" hidden="1" customHeight="1" x14ac:dyDescent="0.45">
      <c r="A22" s="15" t="s">
        <v>7</v>
      </c>
      <c r="B22" s="19" t="s">
        <v>8</v>
      </c>
    </row>
    <row r="23" spans="1:2" ht="38.4" x14ac:dyDescent="0.3">
      <c r="A23" s="12" t="s">
        <v>35</v>
      </c>
      <c r="B23" s="20" t="s">
        <v>36</v>
      </c>
    </row>
    <row r="24" spans="1:2" ht="19.2" x14ac:dyDescent="0.3">
      <c r="A24" s="12" t="s">
        <v>37</v>
      </c>
      <c r="B24" s="21" t="s">
        <v>38</v>
      </c>
    </row>
    <row r="25" spans="1:2" ht="19.2" x14ac:dyDescent="0.3">
      <c r="A25" s="14" t="s">
        <v>39</v>
      </c>
      <c r="B25" s="20" t="s">
        <v>40</v>
      </c>
    </row>
    <row r="26" spans="1:2" ht="43.95" customHeight="1" x14ac:dyDescent="0.45">
      <c r="A26" s="9" t="s">
        <v>41</v>
      </c>
      <c r="B26" s="103"/>
    </row>
    <row r="27" spans="1:2" ht="19.2" x14ac:dyDescent="0.45">
      <c r="A27" s="10" t="s">
        <v>7</v>
      </c>
      <c r="B27" s="18" t="s">
        <v>8</v>
      </c>
    </row>
    <row r="28" spans="1:2" ht="19.2" x14ac:dyDescent="0.3">
      <c r="A28" s="14" t="s">
        <v>42</v>
      </c>
      <c r="B28" s="20" t="s">
        <v>43</v>
      </c>
    </row>
    <row r="29" spans="1:2" ht="19.2" x14ac:dyDescent="0.3">
      <c r="A29" s="14" t="s">
        <v>44</v>
      </c>
      <c r="B29" s="20" t="s">
        <v>45</v>
      </c>
    </row>
    <row r="30" spans="1:2" ht="19.2" x14ac:dyDescent="0.3">
      <c r="A30" s="14" t="s">
        <v>46</v>
      </c>
      <c r="B30" s="20" t="s">
        <v>47</v>
      </c>
    </row>
    <row r="31" spans="1:2" ht="19.2" x14ac:dyDescent="0.3">
      <c r="A31" s="14" t="s">
        <v>48</v>
      </c>
      <c r="B31" s="20" t="s">
        <v>49</v>
      </c>
    </row>
    <row r="32" spans="1:2" ht="38.4" x14ac:dyDescent="0.3">
      <c r="A32" s="14" t="s">
        <v>50</v>
      </c>
      <c r="B32" s="20" t="s">
        <v>51</v>
      </c>
    </row>
    <row r="33" spans="1:2" ht="36" customHeight="1" x14ac:dyDescent="0.45">
      <c r="A33" s="9" t="s">
        <v>52</v>
      </c>
      <c r="B33" s="103"/>
    </row>
    <row r="34" spans="1:2" ht="19.2" x14ac:dyDescent="0.45">
      <c r="A34" s="10" t="s">
        <v>7</v>
      </c>
      <c r="B34" s="18" t="s">
        <v>8</v>
      </c>
    </row>
    <row r="35" spans="1:2" ht="19.2" x14ac:dyDescent="0.45">
      <c r="A35" s="12" t="s">
        <v>53</v>
      </c>
      <c r="B35" s="81" t="s">
        <v>54</v>
      </c>
    </row>
    <row r="36" spans="1:2" ht="34.5" customHeight="1" x14ac:dyDescent="0.45">
      <c r="A36" s="82" t="s">
        <v>55</v>
      </c>
      <c r="B36" s="105"/>
    </row>
    <row r="37" spans="1:2" ht="19.2" x14ac:dyDescent="0.3">
      <c r="A37" s="83" t="s">
        <v>56</v>
      </c>
      <c r="B37" s="84" t="s">
        <v>57</v>
      </c>
    </row>
    <row r="38" spans="1:2" ht="33.75" customHeight="1" x14ac:dyDescent="0.45">
      <c r="A38" s="9" t="s">
        <v>58</v>
      </c>
      <c r="B38" s="103"/>
    </row>
    <row r="39" spans="1:2" ht="19.2" x14ac:dyDescent="0.45">
      <c r="A39" s="10" t="s">
        <v>7</v>
      </c>
      <c r="B39" s="22" t="s">
        <v>8</v>
      </c>
    </row>
    <row r="40" spans="1:2" ht="19.2" x14ac:dyDescent="0.3">
      <c r="A40" s="12" t="s">
        <v>59</v>
      </c>
      <c r="B40" s="20" t="s">
        <v>60</v>
      </c>
    </row>
    <row r="41" spans="1:2" ht="34.5" customHeight="1" x14ac:dyDescent="0.45">
      <c r="A41" s="9" t="s">
        <v>61</v>
      </c>
      <c r="B41" s="103"/>
    </row>
    <row r="42" spans="1:2" ht="19.2" x14ac:dyDescent="0.45">
      <c r="A42" s="10" t="s">
        <v>7</v>
      </c>
      <c r="B42" s="18" t="s">
        <v>8</v>
      </c>
    </row>
    <row r="43" spans="1:2" ht="19.2" x14ac:dyDescent="0.3">
      <c r="A43" s="12" t="s">
        <v>62</v>
      </c>
      <c r="B43" s="20" t="s">
        <v>63</v>
      </c>
    </row>
    <row r="44" spans="1:2" ht="19.2" x14ac:dyDescent="0.3">
      <c r="A44" s="12" t="s">
        <v>64</v>
      </c>
      <c r="B44" s="20" t="s">
        <v>65</v>
      </c>
    </row>
    <row r="45" spans="1:2" ht="19.2" x14ac:dyDescent="0.3">
      <c r="A45" s="12" t="s">
        <v>66</v>
      </c>
      <c r="B45" s="20" t="s">
        <v>67</v>
      </c>
    </row>
    <row r="46" spans="1:2" ht="19.2" x14ac:dyDescent="0.3">
      <c r="A46" s="12" t="s">
        <v>68</v>
      </c>
      <c r="B46" s="20" t="s">
        <v>69</v>
      </c>
    </row>
    <row r="47" spans="1:2" ht="19.2" x14ac:dyDescent="0.3">
      <c r="A47" s="12" t="s">
        <v>70</v>
      </c>
      <c r="B47" s="20" t="s">
        <v>71</v>
      </c>
    </row>
    <row r="48" spans="1:2" ht="19.2" x14ac:dyDescent="0.3">
      <c r="A48" s="12" t="s">
        <v>72</v>
      </c>
      <c r="B48" s="20" t="s">
        <v>73</v>
      </c>
    </row>
    <row r="49" spans="1:2" ht="19.2" x14ac:dyDescent="0.3">
      <c r="A49" s="12" t="s">
        <v>74</v>
      </c>
      <c r="B49" s="13" t="s">
        <v>75</v>
      </c>
    </row>
    <row r="50" spans="1:2" ht="19.2" x14ac:dyDescent="0.3">
      <c r="A50" s="12" t="s">
        <v>76</v>
      </c>
      <c r="B50" s="13" t="s">
        <v>77</v>
      </c>
    </row>
    <row r="51" spans="1:2" ht="15" hidden="1" customHeight="1" x14ac:dyDescent="0.3"/>
    <row r="52" spans="1:2" ht="15" hidden="1" customHeight="1" x14ac:dyDescent="0.3"/>
    <row r="53" spans="1:2" ht="15" hidden="1" customHeight="1" x14ac:dyDescent="0.3"/>
    <row r="54" spans="1:2" ht="15" hidden="1" customHeight="1" x14ac:dyDescent="0.3"/>
    <row r="55" spans="1:2" ht="15" hidden="1" customHeight="1" x14ac:dyDescent="0.3"/>
  </sheetData>
  <sheetProtection sheet="1" objects="1" scenarios="1" selectLockedCells="1"/>
  <mergeCells count="1"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932DA-3547-4717-8115-5AEFF781CD56}">
  <sheetPr codeName="Sheet1"/>
  <dimension ref="A1:E79"/>
  <sheetViews>
    <sheetView zoomScale="85" zoomScaleNormal="85" workbookViewId="0"/>
  </sheetViews>
  <sheetFormatPr defaultColWidth="0" defaultRowHeight="19.2" zeroHeight="1" x14ac:dyDescent="0.45"/>
  <cols>
    <col min="1" max="1" width="48.33203125" style="106" customWidth="1"/>
    <col min="2" max="2" width="26.33203125" style="113" bestFit="1" customWidth="1"/>
    <col min="3" max="3" width="20.5546875" style="114" customWidth="1"/>
    <col min="4" max="4" width="20.88671875" style="106" customWidth="1"/>
    <col min="5" max="5" width="21.109375" style="106" customWidth="1"/>
    <col min="6" max="16384" width="8.6640625" style="106" hidden="1"/>
  </cols>
  <sheetData>
    <row r="1" spans="1:5" x14ac:dyDescent="0.45">
      <c r="A1" s="85" t="s">
        <v>0</v>
      </c>
      <c r="B1" s="125"/>
      <c r="C1" s="126"/>
      <c r="D1" s="127"/>
      <c r="E1" s="127"/>
    </row>
    <row r="2" spans="1:5" x14ac:dyDescent="0.45">
      <c r="A2" s="92" t="s">
        <v>3</v>
      </c>
      <c r="B2" s="125"/>
      <c r="C2" s="126"/>
      <c r="D2" s="127"/>
      <c r="E2" s="127"/>
    </row>
    <row r="3" spans="1:5" s="9" customFormat="1" ht="38.4" x14ac:dyDescent="0.45">
      <c r="A3" s="15" t="s">
        <v>78</v>
      </c>
      <c r="B3" s="115" t="s">
        <v>79</v>
      </c>
      <c r="C3" s="117" t="s">
        <v>80</v>
      </c>
      <c r="D3" s="116" t="s">
        <v>81</v>
      </c>
      <c r="E3" s="128"/>
    </row>
    <row r="4" spans="1:5" x14ac:dyDescent="0.45">
      <c r="A4" s="108">
        <v>755.08</v>
      </c>
      <c r="B4" s="109">
        <v>771.22</v>
      </c>
      <c r="C4" s="110">
        <v>711.31121536869057</v>
      </c>
      <c r="D4" s="110">
        <v>711.31121536869057</v>
      </c>
      <c r="E4" s="127"/>
    </row>
    <row r="5" spans="1:5" x14ac:dyDescent="0.45">
      <c r="A5" s="134"/>
      <c r="B5" s="129"/>
      <c r="C5" s="130"/>
      <c r="D5" s="130"/>
      <c r="E5" s="127"/>
    </row>
    <row r="6" spans="1:5" s="9" customFormat="1" x14ac:dyDescent="0.45">
      <c r="A6" s="119" t="s">
        <v>82</v>
      </c>
      <c r="B6" s="131"/>
      <c r="C6" s="132"/>
      <c r="D6" s="133"/>
      <c r="E6" s="128"/>
    </row>
    <row r="7" spans="1:5" s="9" customFormat="1" ht="43.2" customHeight="1" x14ac:dyDescent="0.45">
      <c r="A7" s="111" t="s">
        <v>83</v>
      </c>
      <c r="B7" s="107" t="s">
        <v>84</v>
      </c>
      <c r="C7" s="112" t="s">
        <v>85</v>
      </c>
      <c r="D7" s="112" t="s">
        <v>86</v>
      </c>
      <c r="E7" s="112" t="s">
        <v>87</v>
      </c>
    </row>
    <row r="8" spans="1:5" x14ac:dyDescent="0.45">
      <c r="A8" s="120" t="s">
        <v>88</v>
      </c>
      <c r="B8" s="71">
        <v>1235261652</v>
      </c>
      <c r="C8" s="77">
        <v>771.22</v>
      </c>
      <c r="D8" s="77">
        <v>761.27</v>
      </c>
      <c r="E8" s="77">
        <v>761.27</v>
      </c>
    </row>
    <row r="9" spans="1:5" x14ac:dyDescent="0.45">
      <c r="A9" s="120" t="s">
        <v>89</v>
      </c>
      <c r="B9" s="71">
        <v>1396176160</v>
      </c>
      <c r="C9" s="77">
        <v>684.45130876654935</v>
      </c>
      <c r="D9" s="77">
        <v>674.5013087665493</v>
      </c>
      <c r="E9" s="77">
        <v>674.5013087665493</v>
      </c>
    </row>
    <row r="10" spans="1:5" x14ac:dyDescent="0.45">
      <c r="A10" s="120" t="s">
        <v>90</v>
      </c>
      <c r="B10" s="71">
        <v>1891759502</v>
      </c>
      <c r="C10" s="77">
        <v>771.22</v>
      </c>
      <c r="D10" s="77">
        <v>761.27</v>
      </c>
      <c r="E10" s="77">
        <v>761.27</v>
      </c>
    </row>
    <row r="11" spans="1:5" x14ac:dyDescent="0.45">
      <c r="A11" s="120" t="s">
        <v>91</v>
      </c>
      <c r="B11" s="71">
        <v>1073553756</v>
      </c>
      <c r="C11" s="77">
        <v>771.22</v>
      </c>
      <c r="D11" s="77">
        <v>761.27</v>
      </c>
      <c r="E11" s="77">
        <v>761.27</v>
      </c>
    </row>
    <row r="12" spans="1:5" x14ac:dyDescent="0.45">
      <c r="A12" s="120" t="s">
        <v>92</v>
      </c>
      <c r="B12" s="71">
        <v>1467560599</v>
      </c>
      <c r="C12" s="77">
        <v>771.22</v>
      </c>
      <c r="D12" s="77">
        <v>761.27</v>
      </c>
      <c r="E12" s="77">
        <v>761.27</v>
      </c>
    </row>
    <row r="13" spans="1:5" ht="18" customHeight="1" x14ac:dyDescent="0.45">
      <c r="A13" s="120" t="s">
        <v>93</v>
      </c>
      <c r="B13" s="71">
        <v>1215095419</v>
      </c>
      <c r="C13" s="77">
        <v>771.22</v>
      </c>
      <c r="D13" s="77">
        <v>761.27</v>
      </c>
      <c r="E13" s="77">
        <v>761.27</v>
      </c>
    </row>
    <row r="14" spans="1:5" ht="19.2" customHeight="1" x14ac:dyDescent="0.45">
      <c r="A14" s="120" t="s">
        <v>94</v>
      </c>
      <c r="B14" s="71">
        <v>1346250347</v>
      </c>
      <c r="C14" s="77">
        <v>704.86</v>
      </c>
      <c r="D14" s="77">
        <v>694.91</v>
      </c>
      <c r="E14" s="77">
        <v>694.91</v>
      </c>
    </row>
    <row r="15" spans="1:5" x14ac:dyDescent="0.45">
      <c r="A15" s="120" t="s">
        <v>95</v>
      </c>
      <c r="B15" s="71">
        <v>1477672665</v>
      </c>
      <c r="C15" s="77">
        <v>771.22</v>
      </c>
      <c r="D15" s="77">
        <v>761.27</v>
      </c>
      <c r="E15" s="77">
        <v>761.27</v>
      </c>
    </row>
    <row r="16" spans="1:5" x14ac:dyDescent="0.45">
      <c r="A16" s="120" t="s">
        <v>96</v>
      </c>
      <c r="B16" s="71">
        <v>1215476734</v>
      </c>
      <c r="C16" s="77">
        <v>636.04</v>
      </c>
      <c r="D16" s="77">
        <v>626.08999999999992</v>
      </c>
      <c r="E16" s="77">
        <v>626.08999999999992</v>
      </c>
    </row>
    <row r="17" spans="1:5" x14ac:dyDescent="0.45">
      <c r="A17" s="120" t="s">
        <v>97</v>
      </c>
      <c r="B17" s="71">
        <v>1235290818</v>
      </c>
      <c r="C17" s="77">
        <v>771.22</v>
      </c>
      <c r="D17" s="77">
        <v>761.27</v>
      </c>
      <c r="E17" s="77">
        <v>761.27</v>
      </c>
    </row>
    <row r="18" spans="1:5" ht="38.4" x14ac:dyDescent="0.45">
      <c r="A18" s="120" t="s">
        <v>98</v>
      </c>
      <c r="B18" s="71">
        <v>1295816569</v>
      </c>
      <c r="C18" s="77">
        <v>485.20741463837794</v>
      </c>
      <c r="D18" s="77">
        <v>475.25741463837795</v>
      </c>
      <c r="E18" s="77">
        <v>475.25741463837795</v>
      </c>
    </row>
    <row r="19" spans="1:5" x14ac:dyDescent="0.45">
      <c r="A19" s="120" t="s">
        <v>99</v>
      </c>
      <c r="B19" s="71">
        <v>1033247622</v>
      </c>
      <c r="C19" s="77">
        <v>771.22</v>
      </c>
      <c r="D19" s="77">
        <v>761.27</v>
      </c>
      <c r="E19" s="77">
        <v>761.27</v>
      </c>
    </row>
    <row r="20" spans="1:5" x14ac:dyDescent="0.45">
      <c r="A20" s="120" t="s">
        <v>100</v>
      </c>
      <c r="B20" s="71">
        <v>1104856095</v>
      </c>
      <c r="C20" s="77">
        <v>771.22</v>
      </c>
      <c r="D20" s="77">
        <v>761.27</v>
      </c>
      <c r="E20" s="77">
        <v>761.27</v>
      </c>
    </row>
    <row r="21" spans="1:5" x14ac:dyDescent="0.45">
      <c r="A21" s="120" t="s">
        <v>101</v>
      </c>
      <c r="B21" s="71">
        <v>1609872415</v>
      </c>
      <c r="C21" s="77">
        <v>609.82410006076293</v>
      </c>
      <c r="D21" s="77">
        <v>599.87410006076288</v>
      </c>
      <c r="E21" s="77">
        <v>599.87410006076288</v>
      </c>
    </row>
    <row r="22" spans="1:5" x14ac:dyDescent="0.45">
      <c r="A22" s="120" t="s">
        <v>102</v>
      </c>
      <c r="B22" s="71">
        <v>1962556290</v>
      </c>
      <c r="C22" s="77">
        <v>818.96</v>
      </c>
      <c r="D22" s="77">
        <v>809.01</v>
      </c>
      <c r="E22" s="77">
        <v>809.01</v>
      </c>
    </row>
    <row r="23" spans="1:5" x14ac:dyDescent="0.45">
      <c r="A23" s="120" t="s">
        <v>103</v>
      </c>
      <c r="B23" s="71">
        <v>1619141298</v>
      </c>
      <c r="C23" s="77">
        <v>771.22</v>
      </c>
      <c r="D23" s="77">
        <v>761.27</v>
      </c>
      <c r="E23" s="77">
        <v>761.27</v>
      </c>
    </row>
    <row r="24" spans="1:5" x14ac:dyDescent="0.45">
      <c r="A24" s="120" t="s">
        <v>104</v>
      </c>
      <c r="B24" s="71">
        <v>1225228646</v>
      </c>
      <c r="C24" s="77">
        <v>744.43277291523327</v>
      </c>
      <c r="D24" s="77">
        <v>734.48277291523323</v>
      </c>
      <c r="E24" s="77">
        <v>734.48277291523323</v>
      </c>
    </row>
    <row r="25" spans="1:5" x14ac:dyDescent="0.45">
      <c r="A25" s="120" t="s">
        <v>105</v>
      </c>
      <c r="B25" s="71">
        <v>1417930249</v>
      </c>
      <c r="C25" s="77">
        <v>771.22</v>
      </c>
      <c r="D25" s="77">
        <v>761.27</v>
      </c>
      <c r="E25" s="77">
        <v>761.27</v>
      </c>
    </row>
    <row r="26" spans="1:5" x14ac:dyDescent="0.45">
      <c r="A26" s="120" t="s">
        <v>106</v>
      </c>
      <c r="B26" s="71">
        <v>1467585471</v>
      </c>
      <c r="C26" s="77">
        <v>771.22</v>
      </c>
      <c r="D26" s="77">
        <v>761.27</v>
      </c>
      <c r="E26" s="77">
        <v>761.27</v>
      </c>
    </row>
    <row r="27" spans="1:5" x14ac:dyDescent="0.45">
      <c r="A27" s="120" t="s">
        <v>107</v>
      </c>
      <c r="B27" s="71">
        <v>1639565088</v>
      </c>
      <c r="C27" s="77">
        <v>497.2409374796004</v>
      </c>
      <c r="D27" s="77">
        <v>487.29093747960042</v>
      </c>
      <c r="E27" s="77">
        <v>487.29093747960042</v>
      </c>
    </row>
    <row r="28" spans="1:5" x14ac:dyDescent="0.45">
      <c r="A28" s="121" t="s">
        <v>108</v>
      </c>
      <c r="B28" s="74">
        <v>1336164151</v>
      </c>
      <c r="C28" s="77">
        <v>771.22</v>
      </c>
      <c r="D28" s="77">
        <v>761.27</v>
      </c>
      <c r="E28" s="77">
        <v>761.27</v>
      </c>
    </row>
    <row r="29" spans="1:5" ht="15.75" customHeight="1" x14ac:dyDescent="0.45">
      <c r="A29" s="120" t="s">
        <v>109</v>
      </c>
      <c r="B29" s="71">
        <v>1750309837</v>
      </c>
      <c r="C29" s="77">
        <v>771.22</v>
      </c>
      <c r="D29" s="77">
        <v>761.27</v>
      </c>
      <c r="E29" s="77">
        <v>761.27</v>
      </c>
    </row>
    <row r="30" spans="1:5" ht="15.75" customHeight="1" x14ac:dyDescent="0.45">
      <c r="A30" s="120" t="s">
        <v>110</v>
      </c>
      <c r="B30" s="71">
        <v>1275525115</v>
      </c>
      <c r="C30" s="77">
        <v>755.07969665012808</v>
      </c>
      <c r="D30" s="77">
        <v>745.12969665012804</v>
      </c>
      <c r="E30" s="77">
        <v>745.12969665012804</v>
      </c>
    </row>
    <row r="31" spans="1:5" ht="15.75" customHeight="1" x14ac:dyDescent="0.45">
      <c r="A31" s="120" t="s">
        <v>111</v>
      </c>
      <c r="B31" s="71">
        <v>1841342334</v>
      </c>
      <c r="C31" s="77">
        <v>705.62139420257563</v>
      </c>
      <c r="D31" s="77">
        <v>695.67139420257558</v>
      </c>
      <c r="E31" s="77">
        <v>695.67139420257558</v>
      </c>
    </row>
    <row r="32" spans="1:5" x14ac:dyDescent="0.45">
      <c r="A32" s="120" t="s">
        <v>112</v>
      </c>
      <c r="B32" s="71">
        <v>1487681631</v>
      </c>
      <c r="C32" s="77">
        <v>568.8506624566196</v>
      </c>
      <c r="D32" s="77">
        <v>558.90066245661956</v>
      </c>
      <c r="E32" s="77">
        <v>558.90066245661956</v>
      </c>
    </row>
    <row r="33" spans="1:5" x14ac:dyDescent="0.45">
      <c r="A33" s="120" t="s">
        <v>113</v>
      </c>
      <c r="B33" s="71">
        <v>1093776338</v>
      </c>
      <c r="C33" s="77">
        <v>771.22</v>
      </c>
      <c r="D33" s="77">
        <v>761.27</v>
      </c>
      <c r="E33" s="77">
        <v>761.27</v>
      </c>
    </row>
    <row r="34" spans="1:5" x14ac:dyDescent="0.45">
      <c r="A34" s="120" t="s">
        <v>114</v>
      </c>
      <c r="B34" s="71">
        <v>1427049964</v>
      </c>
      <c r="C34" s="77">
        <v>503.36533511124509</v>
      </c>
      <c r="D34" s="77">
        <v>493.4153351112451</v>
      </c>
      <c r="E34" s="77">
        <v>493.4153351112451</v>
      </c>
    </row>
    <row r="35" spans="1:5" x14ac:dyDescent="0.45">
      <c r="A35" s="120" t="s">
        <v>115</v>
      </c>
      <c r="B35" s="71">
        <v>1629240577</v>
      </c>
      <c r="C35" s="77">
        <v>771.22</v>
      </c>
      <c r="D35" s="77">
        <v>761.27</v>
      </c>
      <c r="E35" s="77">
        <v>761.27</v>
      </c>
    </row>
    <row r="36" spans="1:5" x14ac:dyDescent="0.45">
      <c r="A36" s="120" t="s">
        <v>116</v>
      </c>
      <c r="B36" s="71">
        <v>1417997370</v>
      </c>
      <c r="C36" s="77">
        <v>771.22</v>
      </c>
      <c r="D36" s="77">
        <v>761.27</v>
      </c>
      <c r="E36" s="77">
        <v>761.27</v>
      </c>
    </row>
    <row r="37" spans="1:5" x14ac:dyDescent="0.45">
      <c r="A37" s="120" t="s">
        <v>117</v>
      </c>
      <c r="B37" s="71">
        <v>1376539130</v>
      </c>
      <c r="C37" s="77">
        <v>605.96737493339617</v>
      </c>
      <c r="D37" s="77">
        <v>596.01737493339613</v>
      </c>
      <c r="E37" s="77">
        <v>596.01737493339613</v>
      </c>
    </row>
    <row r="38" spans="1:5" x14ac:dyDescent="0.45">
      <c r="A38" s="120" t="s">
        <v>118</v>
      </c>
      <c r="B38" s="71">
        <v>1144358953</v>
      </c>
      <c r="C38" s="77">
        <v>641.84326042750024</v>
      </c>
      <c r="D38" s="77">
        <v>631.89326042750019</v>
      </c>
      <c r="E38" s="77">
        <v>631.89326042750019</v>
      </c>
    </row>
    <row r="39" spans="1:5" x14ac:dyDescent="0.45">
      <c r="A39" s="120" t="s">
        <v>119</v>
      </c>
      <c r="B39" s="71">
        <v>1386763456</v>
      </c>
      <c r="C39" s="77">
        <v>631.36579408406681</v>
      </c>
      <c r="D39" s="77">
        <v>621.41579408406676</v>
      </c>
      <c r="E39" s="77">
        <v>621.41579408406676</v>
      </c>
    </row>
    <row r="40" spans="1:5" x14ac:dyDescent="0.45">
      <c r="A40" s="120" t="s">
        <v>120</v>
      </c>
      <c r="B40" s="71">
        <v>1811107410</v>
      </c>
      <c r="C40" s="77">
        <v>771.22</v>
      </c>
      <c r="D40" s="77">
        <v>761.27</v>
      </c>
      <c r="E40" s="77">
        <v>761.27</v>
      </c>
    </row>
    <row r="41" spans="1:5" x14ac:dyDescent="0.45">
      <c r="A41" s="120" t="s">
        <v>121</v>
      </c>
      <c r="B41" s="71">
        <v>1326146333</v>
      </c>
      <c r="C41" s="77">
        <v>605.33926173247994</v>
      </c>
      <c r="D41" s="77">
        <v>595.38926173247989</v>
      </c>
      <c r="E41" s="77">
        <v>595.38926173247989</v>
      </c>
    </row>
    <row r="42" spans="1:5" x14ac:dyDescent="0.45">
      <c r="A42" s="120" t="s">
        <v>122</v>
      </c>
      <c r="B42" s="71">
        <v>1336289966</v>
      </c>
      <c r="C42" s="77">
        <v>771.22</v>
      </c>
      <c r="D42" s="77">
        <v>761.27</v>
      </c>
      <c r="E42" s="77">
        <v>761.27</v>
      </c>
    </row>
    <row r="43" spans="1:5" x14ac:dyDescent="0.45">
      <c r="A43" s="120" t="s">
        <v>123</v>
      </c>
      <c r="B43" s="71">
        <v>1174674246</v>
      </c>
      <c r="C43" s="77">
        <v>771.22</v>
      </c>
      <c r="D43" s="77">
        <v>761.27</v>
      </c>
      <c r="E43" s="77">
        <v>761.27</v>
      </c>
    </row>
    <row r="44" spans="1:5" x14ac:dyDescent="0.45">
      <c r="A44" s="120" t="s">
        <v>124</v>
      </c>
      <c r="B44" s="71">
        <v>1770524928</v>
      </c>
      <c r="C44" s="77">
        <v>771.22</v>
      </c>
      <c r="D44" s="77">
        <v>761.27</v>
      </c>
      <c r="E44" s="77">
        <v>761.27</v>
      </c>
    </row>
    <row r="45" spans="1:5" ht="38.4" x14ac:dyDescent="0.45">
      <c r="A45" s="120" t="s">
        <v>125</v>
      </c>
      <c r="B45" s="71">
        <v>1861533648</v>
      </c>
      <c r="C45" s="77">
        <v>659.44775879121482</v>
      </c>
      <c r="D45" s="77">
        <v>649.49775879121478</v>
      </c>
      <c r="E45" s="77">
        <v>649.49775879121478</v>
      </c>
    </row>
    <row r="46" spans="1:5" x14ac:dyDescent="0.45">
      <c r="A46" s="120" t="s">
        <v>126</v>
      </c>
      <c r="B46" s="71">
        <v>1770659153</v>
      </c>
      <c r="C46" s="77">
        <v>771.22</v>
      </c>
      <c r="D46" s="77">
        <v>761.27</v>
      </c>
      <c r="E46" s="77">
        <v>761.27</v>
      </c>
    </row>
    <row r="47" spans="1:5" x14ac:dyDescent="0.45">
      <c r="A47" s="120" t="s">
        <v>127</v>
      </c>
      <c r="B47" s="71">
        <v>1427006485</v>
      </c>
      <c r="C47" s="77">
        <v>582.74249299206542</v>
      </c>
      <c r="D47" s="77">
        <v>572.79249299206538</v>
      </c>
      <c r="E47" s="77">
        <v>572.79249299206538</v>
      </c>
    </row>
    <row r="48" spans="1:5" x14ac:dyDescent="0.45">
      <c r="A48" s="120" t="s">
        <v>128</v>
      </c>
      <c r="B48" s="71">
        <v>1891872883</v>
      </c>
      <c r="C48" s="77">
        <v>771.22</v>
      </c>
      <c r="D48" s="77">
        <v>761.27</v>
      </c>
      <c r="E48" s="77">
        <v>761.27</v>
      </c>
    </row>
    <row r="49" spans="1:5" ht="38.4" x14ac:dyDescent="0.45">
      <c r="A49" s="120" t="s">
        <v>129</v>
      </c>
      <c r="B49" s="71">
        <v>1619947090</v>
      </c>
      <c r="C49" s="77">
        <v>704.86</v>
      </c>
      <c r="D49" s="77">
        <v>694.91</v>
      </c>
      <c r="E49" s="77">
        <v>694.91</v>
      </c>
    </row>
    <row r="50" spans="1:5" ht="38.4" x14ac:dyDescent="0.45">
      <c r="A50" s="120" t="s">
        <v>130</v>
      </c>
      <c r="B50" s="71">
        <v>1952348518</v>
      </c>
      <c r="C50" s="77">
        <v>771.22</v>
      </c>
      <c r="D50" s="77">
        <v>761.27</v>
      </c>
      <c r="E50" s="77">
        <v>761.27</v>
      </c>
    </row>
    <row r="51" spans="1:5" ht="38.4" x14ac:dyDescent="0.45">
      <c r="A51" s="120" t="s">
        <v>131</v>
      </c>
      <c r="B51" s="71">
        <v>1770639809</v>
      </c>
      <c r="C51" s="77">
        <v>771.22</v>
      </c>
      <c r="D51" s="77">
        <v>761.27</v>
      </c>
      <c r="E51" s="77">
        <v>761.27</v>
      </c>
    </row>
    <row r="52" spans="1:5" x14ac:dyDescent="0.45">
      <c r="A52" s="120" t="s">
        <v>132</v>
      </c>
      <c r="B52" s="71">
        <v>1114091055</v>
      </c>
      <c r="C52" s="77">
        <v>771.22</v>
      </c>
      <c r="D52" s="77">
        <v>761.27</v>
      </c>
      <c r="E52" s="77">
        <v>761.27</v>
      </c>
    </row>
    <row r="53" spans="1:5" x14ac:dyDescent="0.45">
      <c r="A53" s="120" t="s">
        <v>133</v>
      </c>
      <c r="B53" s="71">
        <v>1669734653</v>
      </c>
      <c r="C53" s="77">
        <v>771.22</v>
      </c>
      <c r="D53" s="77">
        <v>761.27</v>
      </c>
      <c r="E53" s="77">
        <v>761.27</v>
      </c>
    </row>
    <row r="54" spans="1:5" x14ac:dyDescent="0.45">
      <c r="A54" s="120" t="s">
        <v>134</v>
      </c>
      <c r="B54" s="71">
        <v>1285677518</v>
      </c>
      <c r="C54" s="77">
        <v>771.22</v>
      </c>
      <c r="D54" s="77">
        <v>761.27</v>
      </c>
      <c r="E54" s="77">
        <v>761.27</v>
      </c>
    </row>
    <row r="55" spans="1:5" x14ac:dyDescent="0.45">
      <c r="A55" s="120" t="s">
        <v>135</v>
      </c>
      <c r="B55" s="71">
        <v>1710174818</v>
      </c>
      <c r="C55" s="77">
        <v>771.22</v>
      </c>
      <c r="D55" s="77">
        <v>761.27</v>
      </c>
      <c r="E55" s="77">
        <v>761.27</v>
      </c>
    </row>
    <row r="56" spans="1:5" x14ac:dyDescent="0.45">
      <c r="A56" s="120" t="s">
        <v>136</v>
      </c>
      <c r="B56" s="71">
        <v>1710066634</v>
      </c>
      <c r="C56" s="77">
        <v>771.22</v>
      </c>
      <c r="D56" s="77">
        <v>761.27</v>
      </c>
      <c r="E56" s="77">
        <v>761.27</v>
      </c>
    </row>
    <row r="57" spans="1:5" x14ac:dyDescent="0.45">
      <c r="A57" s="120" t="s">
        <v>137</v>
      </c>
      <c r="B57" s="71">
        <v>1447724646</v>
      </c>
      <c r="C57" s="77">
        <v>771.22</v>
      </c>
      <c r="D57" s="77">
        <v>761.27</v>
      </c>
      <c r="E57" s="77">
        <v>761.27</v>
      </c>
    </row>
    <row r="58" spans="1:5" x14ac:dyDescent="0.45">
      <c r="A58" s="120" t="s">
        <v>138</v>
      </c>
      <c r="B58" s="71">
        <v>1326234022</v>
      </c>
      <c r="C58" s="77">
        <v>771.22</v>
      </c>
      <c r="D58" s="77">
        <v>761.27</v>
      </c>
      <c r="E58" s="77">
        <v>761.27</v>
      </c>
    </row>
    <row r="59" spans="1:5" x14ac:dyDescent="0.45">
      <c r="A59" s="120" t="s">
        <v>139</v>
      </c>
      <c r="B59" s="71">
        <v>1386252112</v>
      </c>
      <c r="C59" s="77">
        <v>636.04</v>
      </c>
      <c r="D59" s="77">
        <v>626.08999999999992</v>
      </c>
      <c r="E59" s="77">
        <v>626.08999999999992</v>
      </c>
    </row>
    <row r="60" spans="1:5" x14ac:dyDescent="0.45">
      <c r="A60" s="120" t="s">
        <v>140</v>
      </c>
      <c r="B60" s="71">
        <v>1538142369</v>
      </c>
      <c r="C60" s="77">
        <v>771.22</v>
      </c>
      <c r="D60" s="77">
        <v>761.27</v>
      </c>
      <c r="E60" s="77">
        <v>761.27</v>
      </c>
    </row>
    <row r="61" spans="1:5" x14ac:dyDescent="0.45">
      <c r="A61" s="120" t="s">
        <v>141</v>
      </c>
      <c r="B61" s="71">
        <v>1184607418</v>
      </c>
      <c r="C61" s="77">
        <v>771.22</v>
      </c>
      <c r="D61" s="77">
        <v>761.27</v>
      </c>
      <c r="E61" s="77">
        <v>761.27</v>
      </c>
    </row>
    <row r="62" spans="1:5" x14ac:dyDescent="0.45">
      <c r="A62" s="120" t="s">
        <v>142</v>
      </c>
      <c r="B62" s="71">
        <v>1396031639</v>
      </c>
      <c r="C62" s="77">
        <v>771.22</v>
      </c>
      <c r="D62" s="77">
        <v>761.27</v>
      </c>
      <c r="E62" s="77">
        <v>761.27</v>
      </c>
    </row>
    <row r="63" spans="1:5" x14ac:dyDescent="0.45">
      <c r="A63" s="120" t="s">
        <v>143</v>
      </c>
      <c r="B63" s="71">
        <v>1235352618</v>
      </c>
      <c r="C63" s="77">
        <v>771.22</v>
      </c>
      <c r="D63" s="77">
        <v>761.27</v>
      </c>
      <c r="E63" s="77">
        <v>761.27</v>
      </c>
    </row>
    <row r="64" spans="1:5" x14ac:dyDescent="0.45">
      <c r="A64" s="120" t="s">
        <v>144</v>
      </c>
      <c r="B64" s="71">
        <v>1407938574</v>
      </c>
      <c r="C64" s="77">
        <v>771.22</v>
      </c>
      <c r="D64" s="77">
        <v>761.27</v>
      </c>
      <c r="E64" s="77">
        <v>761.27</v>
      </c>
    </row>
    <row r="65" spans="1:5" x14ac:dyDescent="0.45">
      <c r="A65" s="120" t="s">
        <v>145</v>
      </c>
      <c r="B65" s="75">
        <v>1801887401</v>
      </c>
      <c r="C65" s="77">
        <v>771.22</v>
      </c>
      <c r="D65" s="77">
        <v>761.27</v>
      </c>
      <c r="E65" s="77">
        <v>761.27</v>
      </c>
    </row>
    <row r="66" spans="1:5" x14ac:dyDescent="0.45">
      <c r="A66" s="120" t="s">
        <v>146</v>
      </c>
      <c r="B66" s="71">
        <v>1831128602</v>
      </c>
      <c r="C66" s="77">
        <v>618.59192977394298</v>
      </c>
      <c r="D66" s="77">
        <v>608.64192977394293</v>
      </c>
      <c r="E66" s="77">
        <v>608.64192977394293</v>
      </c>
    </row>
    <row r="67" spans="1:5" x14ac:dyDescent="0.45">
      <c r="A67" s="120" t="s">
        <v>147</v>
      </c>
      <c r="B67" s="71">
        <v>1700963956</v>
      </c>
      <c r="C67" s="77">
        <v>711.31121536869057</v>
      </c>
      <c r="D67" s="77">
        <v>701.36121536869052</v>
      </c>
      <c r="E67" s="77">
        <v>701.36121536869052</v>
      </c>
    </row>
    <row r="68" spans="1:5" x14ac:dyDescent="0.45">
      <c r="A68" s="120" t="s">
        <v>148</v>
      </c>
      <c r="B68" s="71">
        <v>1295897395</v>
      </c>
      <c r="C68" s="77">
        <v>771.22</v>
      </c>
      <c r="D68" s="77">
        <v>761.27</v>
      </c>
      <c r="E68" s="77">
        <v>761.27</v>
      </c>
    </row>
    <row r="69" spans="1:5" x14ac:dyDescent="0.45">
      <c r="A69" s="120" t="s">
        <v>149</v>
      </c>
      <c r="B69" s="71">
        <v>1740268713</v>
      </c>
      <c r="C69" s="77">
        <v>771.22</v>
      </c>
      <c r="D69" s="77">
        <v>761.27</v>
      </c>
      <c r="E69" s="77">
        <v>761.27</v>
      </c>
    </row>
    <row r="70" spans="1:5" x14ac:dyDescent="0.45">
      <c r="A70" s="120" t="s">
        <v>150</v>
      </c>
      <c r="B70" s="71">
        <v>1154404010</v>
      </c>
      <c r="C70" s="77">
        <v>771.22</v>
      </c>
      <c r="D70" s="77">
        <v>761.27</v>
      </c>
      <c r="E70" s="77">
        <v>761.27</v>
      </c>
    </row>
    <row r="71" spans="1:5" x14ac:dyDescent="0.45">
      <c r="A71" s="120" t="s">
        <v>151</v>
      </c>
      <c r="B71" s="71">
        <v>1942281936</v>
      </c>
      <c r="C71" s="77">
        <v>771.22</v>
      </c>
      <c r="D71" s="77">
        <v>761.27</v>
      </c>
      <c r="E71" s="77">
        <v>761.27</v>
      </c>
    </row>
    <row r="72" spans="1:5" x14ac:dyDescent="0.45">
      <c r="A72" s="121" t="s">
        <v>152</v>
      </c>
      <c r="B72" s="76">
        <v>1245458421</v>
      </c>
      <c r="C72" s="77">
        <v>704.86</v>
      </c>
      <c r="D72" s="77">
        <v>694.91</v>
      </c>
      <c r="E72" s="77">
        <v>694.91</v>
      </c>
    </row>
    <row r="73" spans="1:5" x14ac:dyDescent="0.45">
      <c r="A73" s="121" t="s">
        <v>153</v>
      </c>
      <c r="B73" s="74">
        <v>1184429185</v>
      </c>
      <c r="C73" s="77">
        <v>704.86</v>
      </c>
      <c r="D73" s="77">
        <v>694.91</v>
      </c>
      <c r="E73" s="77">
        <v>694.91</v>
      </c>
    </row>
    <row r="74" spans="1:5" x14ac:dyDescent="0.45">
      <c r="A74" s="122" t="s">
        <v>154</v>
      </c>
      <c r="B74" s="74">
        <v>1184936023</v>
      </c>
      <c r="C74" s="77">
        <v>704.86</v>
      </c>
      <c r="D74" s="77">
        <v>694.91</v>
      </c>
      <c r="E74" s="77">
        <v>694.91</v>
      </c>
    </row>
    <row r="75" spans="1:5" ht="18" customHeight="1" x14ac:dyDescent="0.45">
      <c r="A75" s="120" t="s">
        <v>155</v>
      </c>
      <c r="B75" s="74">
        <v>1780183335</v>
      </c>
      <c r="C75" s="77">
        <v>636.04</v>
      </c>
      <c r="D75" s="77">
        <v>626.08999999999992</v>
      </c>
      <c r="E75" s="77">
        <v>626.08999999999992</v>
      </c>
    </row>
    <row r="76" spans="1:5" x14ac:dyDescent="0.45">
      <c r="A76" s="121" t="s">
        <v>156</v>
      </c>
      <c r="B76" s="74">
        <v>1083895627</v>
      </c>
      <c r="C76" s="77">
        <v>704.86</v>
      </c>
      <c r="D76" s="77">
        <v>694.91</v>
      </c>
      <c r="E76" s="77">
        <v>694.91</v>
      </c>
    </row>
    <row r="77" spans="1:5" x14ac:dyDescent="0.45">
      <c r="A77" s="121" t="s">
        <v>157</v>
      </c>
      <c r="B77" s="74">
        <v>1073298196</v>
      </c>
      <c r="C77" s="77">
        <v>704.86</v>
      </c>
      <c r="D77" s="77">
        <v>694.91</v>
      </c>
      <c r="E77" s="77">
        <v>694.91</v>
      </c>
    </row>
    <row r="78" spans="1:5" x14ac:dyDescent="0.45">
      <c r="A78" s="123" t="s">
        <v>158</v>
      </c>
      <c r="B78" s="74">
        <v>1801452941</v>
      </c>
      <c r="C78" s="77">
        <v>557.88441387764328</v>
      </c>
      <c r="D78" s="77">
        <v>547.93441387764324</v>
      </c>
      <c r="E78" s="77">
        <v>547.93441387764324</v>
      </c>
    </row>
    <row r="79" spans="1:5" x14ac:dyDescent="0.45">
      <c r="A79" s="124" t="s">
        <v>159</v>
      </c>
      <c r="B79" s="71">
        <v>1922350206</v>
      </c>
      <c r="C79" s="77">
        <v>771.22</v>
      </c>
      <c r="D79" s="77">
        <v>761.27</v>
      </c>
      <c r="E79" s="77">
        <v>761.27</v>
      </c>
    </row>
  </sheetData>
  <sheetProtection sheet="1" objects="1" scenarios="1" selectLockedCells="1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A3CC1-6146-4A77-A5F0-EFC28B10860A}">
  <dimension ref="A1:E85"/>
  <sheetViews>
    <sheetView zoomScale="85" zoomScaleNormal="85" workbookViewId="0"/>
  </sheetViews>
  <sheetFormatPr defaultColWidth="0" defaultRowHeight="19.2" zeroHeight="1" x14ac:dyDescent="0.45"/>
  <cols>
    <col min="1" max="1" width="48.33203125" style="106" customWidth="1"/>
    <col min="2" max="2" width="26.33203125" style="113" bestFit="1" customWidth="1"/>
    <col min="3" max="3" width="26.44140625" style="114" customWidth="1"/>
    <col min="4" max="4" width="30.33203125" style="106" bestFit="1" customWidth="1"/>
    <col min="5" max="5" width="21.109375" style="106" customWidth="1"/>
    <col min="6" max="16384" width="8.6640625" style="106" hidden="1"/>
  </cols>
  <sheetData>
    <row r="1" spans="1:5" x14ac:dyDescent="0.45">
      <c r="A1" s="85" t="s">
        <v>0</v>
      </c>
      <c r="B1" s="125"/>
      <c r="C1" s="126"/>
      <c r="D1" s="127"/>
      <c r="E1" s="127"/>
    </row>
    <row r="2" spans="1:5" x14ac:dyDescent="0.45">
      <c r="A2" s="92" t="s">
        <v>3</v>
      </c>
      <c r="B2" s="125"/>
      <c r="C2" s="126"/>
      <c r="D2" s="127"/>
      <c r="E2" s="127"/>
    </row>
    <row r="3" spans="1:5" s="9" customFormat="1" ht="38.4" x14ac:dyDescent="0.45">
      <c r="A3" s="15" t="s">
        <v>160</v>
      </c>
      <c r="B3" s="115" t="s">
        <v>161</v>
      </c>
      <c r="C3" s="141" t="s">
        <v>162</v>
      </c>
      <c r="D3" s="115" t="s">
        <v>163</v>
      </c>
      <c r="E3" s="128"/>
    </row>
    <row r="4" spans="1:5" x14ac:dyDescent="0.45">
      <c r="A4" s="135">
        <v>791.7</v>
      </c>
      <c r="B4" s="135">
        <v>791.7</v>
      </c>
      <c r="C4" s="136">
        <v>759.49701386165668</v>
      </c>
      <c r="D4" s="136">
        <v>759.49701386165668</v>
      </c>
      <c r="E4" s="127"/>
    </row>
    <row r="5" spans="1:5" x14ac:dyDescent="0.45">
      <c r="A5" s="142"/>
      <c r="B5" s="142"/>
      <c r="C5" s="143"/>
      <c r="D5" s="143"/>
      <c r="E5" s="127"/>
    </row>
    <row r="6" spans="1:5" s="9" customFormat="1" ht="25.5" customHeight="1" x14ac:dyDescent="0.45">
      <c r="A6" s="119" t="s">
        <v>164</v>
      </c>
      <c r="B6" s="144"/>
      <c r="C6" s="132"/>
      <c r="D6" s="133"/>
      <c r="E6" s="128"/>
    </row>
    <row r="7" spans="1:5" s="9" customFormat="1" ht="39.6" customHeight="1" x14ac:dyDescent="0.45">
      <c r="A7" s="111" t="s">
        <v>83</v>
      </c>
      <c r="B7" s="107" t="s">
        <v>84</v>
      </c>
      <c r="C7" s="112" t="s">
        <v>85</v>
      </c>
      <c r="D7" s="112" t="s">
        <v>86</v>
      </c>
      <c r="E7" s="112" t="s">
        <v>87</v>
      </c>
    </row>
    <row r="8" spans="1:5" x14ac:dyDescent="0.45">
      <c r="A8" s="120" t="s">
        <v>88</v>
      </c>
      <c r="B8" s="137">
        <v>1235261652</v>
      </c>
      <c r="C8" s="138">
        <v>791.7</v>
      </c>
      <c r="D8" s="138">
        <v>781.25</v>
      </c>
      <c r="E8" s="138">
        <v>781.25</v>
      </c>
    </row>
    <row r="9" spans="1:5" x14ac:dyDescent="0.45">
      <c r="A9" s="120" t="s">
        <v>89</v>
      </c>
      <c r="B9" s="137">
        <v>1396176160</v>
      </c>
      <c r="C9" s="138">
        <v>732.00137347222983</v>
      </c>
      <c r="D9" s="138">
        <v>721.55137347222978</v>
      </c>
      <c r="E9" s="138">
        <v>721.55137347222978</v>
      </c>
    </row>
    <row r="10" spans="1:5" x14ac:dyDescent="0.45">
      <c r="A10" s="120" t="s">
        <v>90</v>
      </c>
      <c r="B10" s="137">
        <v>1891759502</v>
      </c>
      <c r="C10" s="138">
        <v>791.7</v>
      </c>
      <c r="D10" s="138">
        <v>781.25</v>
      </c>
      <c r="E10" s="138">
        <v>781.25</v>
      </c>
    </row>
    <row r="11" spans="1:5" x14ac:dyDescent="0.45">
      <c r="A11" s="120" t="s">
        <v>91</v>
      </c>
      <c r="B11" s="137">
        <v>1073553756</v>
      </c>
      <c r="C11" s="138">
        <v>771.22</v>
      </c>
      <c r="D11" s="138">
        <v>760.77</v>
      </c>
      <c r="E11" s="138">
        <v>760.77</v>
      </c>
    </row>
    <row r="12" spans="1:5" x14ac:dyDescent="0.45">
      <c r="A12" s="120" t="s">
        <v>92</v>
      </c>
      <c r="B12" s="137">
        <v>1467560599</v>
      </c>
      <c r="C12" s="138">
        <v>782.62444846721451</v>
      </c>
      <c r="D12" s="138">
        <v>772.17444846721446</v>
      </c>
      <c r="E12" s="138">
        <v>772.17444846721446</v>
      </c>
    </row>
    <row r="13" spans="1:5" x14ac:dyDescent="0.45">
      <c r="A13" s="120" t="s">
        <v>93</v>
      </c>
      <c r="B13" s="137">
        <v>1215095419</v>
      </c>
      <c r="C13" s="138">
        <v>791.7</v>
      </c>
      <c r="D13" s="138">
        <v>781.25</v>
      </c>
      <c r="E13" s="138">
        <v>781.25</v>
      </c>
    </row>
    <row r="14" spans="1:5" x14ac:dyDescent="0.45">
      <c r="A14" s="120" t="s">
        <v>94</v>
      </c>
      <c r="B14" s="137">
        <v>1346250347</v>
      </c>
      <c r="C14" s="138">
        <v>791.7</v>
      </c>
      <c r="D14" s="138">
        <v>781.25</v>
      </c>
      <c r="E14" s="138">
        <v>781.25</v>
      </c>
    </row>
    <row r="15" spans="1:5" x14ac:dyDescent="0.45">
      <c r="A15" s="120" t="s">
        <v>95</v>
      </c>
      <c r="B15" s="137">
        <v>1477672665</v>
      </c>
      <c r="C15" s="138">
        <v>791.7</v>
      </c>
      <c r="D15" s="138">
        <v>781.25</v>
      </c>
      <c r="E15" s="138">
        <v>781.25</v>
      </c>
    </row>
    <row r="16" spans="1:5" x14ac:dyDescent="0.45">
      <c r="A16" s="120" t="s">
        <v>97</v>
      </c>
      <c r="B16" s="137">
        <v>1235290818</v>
      </c>
      <c r="C16" s="138">
        <v>791.7</v>
      </c>
      <c r="D16" s="138">
        <v>781.25</v>
      </c>
      <c r="E16" s="138">
        <v>781.25</v>
      </c>
    </row>
    <row r="17" spans="1:5" ht="38.4" x14ac:dyDescent="0.45">
      <c r="A17" s="120" t="s">
        <v>98</v>
      </c>
      <c r="B17" s="137">
        <v>1295816569</v>
      </c>
      <c r="C17" s="138">
        <v>485.20741463837794</v>
      </c>
      <c r="D17" s="138">
        <v>474.75741463837795</v>
      </c>
      <c r="E17" s="138">
        <v>474.75741463837795</v>
      </c>
    </row>
    <row r="18" spans="1:5" x14ac:dyDescent="0.45">
      <c r="A18" s="120" t="s">
        <v>99</v>
      </c>
      <c r="B18" s="137">
        <v>1033247622</v>
      </c>
      <c r="C18" s="138">
        <v>773.51488809289913</v>
      </c>
      <c r="D18" s="138">
        <v>763.06488809289908</v>
      </c>
      <c r="E18" s="138">
        <v>763.06488809289908</v>
      </c>
    </row>
    <row r="19" spans="1:5" x14ac:dyDescent="0.45">
      <c r="A19" s="120" t="s">
        <v>100</v>
      </c>
      <c r="B19" s="137">
        <v>1104856095</v>
      </c>
      <c r="C19" s="138">
        <v>791.7</v>
      </c>
      <c r="D19" s="138">
        <v>781.25</v>
      </c>
      <c r="E19" s="138">
        <v>781.25</v>
      </c>
    </row>
    <row r="20" spans="1:5" x14ac:dyDescent="0.45">
      <c r="A20" s="120" t="s">
        <v>101</v>
      </c>
      <c r="B20" s="137">
        <v>1609872415</v>
      </c>
      <c r="C20" s="138">
        <v>609.82410006076293</v>
      </c>
      <c r="D20" s="138">
        <v>599.37410006076288</v>
      </c>
      <c r="E20" s="138">
        <v>599.37410006076288</v>
      </c>
    </row>
    <row r="21" spans="1:5" x14ac:dyDescent="0.45">
      <c r="A21" s="120" t="s">
        <v>102</v>
      </c>
      <c r="B21" s="137">
        <v>1962556290</v>
      </c>
      <c r="C21" s="138">
        <v>818.96</v>
      </c>
      <c r="D21" s="138">
        <v>808.51</v>
      </c>
      <c r="E21" s="138">
        <v>808.51</v>
      </c>
    </row>
    <row r="22" spans="1:5" x14ac:dyDescent="0.45">
      <c r="A22" s="120" t="s">
        <v>103</v>
      </c>
      <c r="B22" s="137">
        <v>1619141298</v>
      </c>
      <c r="C22" s="138">
        <v>791.7</v>
      </c>
      <c r="D22" s="138">
        <v>781.25</v>
      </c>
      <c r="E22" s="138">
        <v>781.25</v>
      </c>
    </row>
    <row r="23" spans="1:5" x14ac:dyDescent="0.45">
      <c r="A23" s="120" t="s">
        <v>104</v>
      </c>
      <c r="B23" s="137">
        <v>1225228646</v>
      </c>
      <c r="C23" s="138">
        <v>791.7</v>
      </c>
      <c r="D23" s="138">
        <v>781.25</v>
      </c>
      <c r="E23" s="138">
        <v>781.25</v>
      </c>
    </row>
    <row r="24" spans="1:5" x14ac:dyDescent="0.45">
      <c r="A24" s="120" t="s">
        <v>105</v>
      </c>
      <c r="B24" s="137">
        <v>1417930249</v>
      </c>
      <c r="C24" s="138">
        <v>791.7</v>
      </c>
      <c r="D24" s="138">
        <v>781.25</v>
      </c>
      <c r="E24" s="138">
        <v>781.25</v>
      </c>
    </row>
    <row r="25" spans="1:5" x14ac:dyDescent="0.45">
      <c r="A25" s="120" t="s">
        <v>106</v>
      </c>
      <c r="B25" s="137">
        <v>1467585471</v>
      </c>
      <c r="C25" s="138">
        <v>791.7</v>
      </c>
      <c r="D25" s="138">
        <v>781.25</v>
      </c>
      <c r="E25" s="138">
        <v>781.25</v>
      </c>
    </row>
    <row r="26" spans="1:5" x14ac:dyDescent="0.45">
      <c r="A26" s="120" t="s">
        <v>107</v>
      </c>
      <c r="B26" s="137">
        <v>1639565088</v>
      </c>
      <c r="C26" s="138">
        <v>497.2409374796004</v>
      </c>
      <c r="D26" s="138">
        <v>486.79093747960042</v>
      </c>
      <c r="E26" s="138">
        <v>486.79093747960042</v>
      </c>
    </row>
    <row r="27" spans="1:5" x14ac:dyDescent="0.45">
      <c r="A27" s="120" t="s">
        <v>108</v>
      </c>
      <c r="B27" s="137">
        <v>1336164151</v>
      </c>
      <c r="C27" s="138">
        <v>791.7</v>
      </c>
      <c r="D27" s="138">
        <v>781.25</v>
      </c>
      <c r="E27" s="138">
        <v>781.25</v>
      </c>
    </row>
    <row r="28" spans="1:5" x14ac:dyDescent="0.45">
      <c r="A28" s="120" t="s">
        <v>109</v>
      </c>
      <c r="B28" s="137">
        <v>1750309837</v>
      </c>
      <c r="C28" s="138">
        <v>791.7</v>
      </c>
      <c r="D28" s="138">
        <v>781.25</v>
      </c>
      <c r="E28" s="138">
        <v>781.25</v>
      </c>
    </row>
    <row r="29" spans="1:5" x14ac:dyDescent="0.45">
      <c r="A29" s="120" t="s">
        <v>110</v>
      </c>
      <c r="B29" s="137">
        <v>1275525115</v>
      </c>
      <c r="C29" s="138">
        <v>775.62870550376442</v>
      </c>
      <c r="D29" s="138">
        <v>765.17870550376438</v>
      </c>
      <c r="E29" s="138">
        <v>765.17870550376438</v>
      </c>
    </row>
    <row r="30" spans="1:5" ht="15.75" customHeight="1" x14ac:dyDescent="0.45">
      <c r="A30" s="120" t="s">
        <v>111</v>
      </c>
      <c r="B30" s="137">
        <v>1841342334</v>
      </c>
      <c r="C30" s="138">
        <v>791.7</v>
      </c>
      <c r="D30" s="138">
        <v>781.25</v>
      </c>
      <c r="E30" s="138">
        <v>781.25</v>
      </c>
    </row>
    <row r="31" spans="1:5" ht="15.75" customHeight="1" x14ac:dyDescent="0.45">
      <c r="A31" s="120" t="s">
        <v>112</v>
      </c>
      <c r="B31" s="137">
        <v>1487681631</v>
      </c>
      <c r="C31" s="138">
        <v>568.8506624566196</v>
      </c>
      <c r="D31" s="138">
        <v>558.40066245661956</v>
      </c>
      <c r="E31" s="138">
        <v>558.40066245661956</v>
      </c>
    </row>
    <row r="32" spans="1:5" ht="15.75" customHeight="1" x14ac:dyDescent="0.45">
      <c r="A32" s="120" t="s">
        <v>113</v>
      </c>
      <c r="B32" s="137">
        <v>1093776338</v>
      </c>
      <c r="C32" s="138">
        <v>771.22</v>
      </c>
      <c r="D32" s="138">
        <v>760.77</v>
      </c>
      <c r="E32" s="138">
        <v>760.77</v>
      </c>
    </row>
    <row r="33" spans="1:5" x14ac:dyDescent="0.45">
      <c r="A33" s="120" t="s">
        <v>114</v>
      </c>
      <c r="B33" s="137">
        <v>1427049964</v>
      </c>
      <c r="C33" s="138">
        <v>522.14656388367803</v>
      </c>
      <c r="D33" s="138">
        <v>511.69656388367804</v>
      </c>
      <c r="E33" s="138">
        <v>511.69656388367804</v>
      </c>
    </row>
    <row r="34" spans="1:5" x14ac:dyDescent="0.45">
      <c r="A34" s="120" t="s">
        <v>115</v>
      </c>
      <c r="B34" s="137">
        <v>1629240577</v>
      </c>
      <c r="C34" s="138">
        <v>771.22</v>
      </c>
      <c r="D34" s="138">
        <v>760.77</v>
      </c>
      <c r="E34" s="138">
        <v>760.77</v>
      </c>
    </row>
    <row r="35" spans="1:5" x14ac:dyDescent="0.45">
      <c r="A35" s="120" t="s">
        <v>155</v>
      </c>
      <c r="B35" s="137">
        <v>1780183335</v>
      </c>
      <c r="C35" s="138">
        <v>636.04</v>
      </c>
      <c r="D35" s="138">
        <v>625.58999999999992</v>
      </c>
      <c r="E35" s="138">
        <v>625.58999999999992</v>
      </c>
    </row>
    <row r="36" spans="1:5" x14ac:dyDescent="0.45">
      <c r="A36" s="120" t="s">
        <v>116</v>
      </c>
      <c r="B36" s="137">
        <v>1417997370</v>
      </c>
      <c r="C36" s="138">
        <v>791.7</v>
      </c>
      <c r="D36" s="138">
        <v>781.25</v>
      </c>
      <c r="E36" s="138">
        <v>781.25</v>
      </c>
    </row>
    <row r="37" spans="1:5" x14ac:dyDescent="0.45">
      <c r="A37" s="120" t="s">
        <v>117</v>
      </c>
      <c r="B37" s="137">
        <v>1376539130</v>
      </c>
      <c r="C37" s="138">
        <v>622.05409800881273</v>
      </c>
      <c r="D37" s="138">
        <v>611.60409800881268</v>
      </c>
      <c r="E37" s="138">
        <v>611.60409800881268</v>
      </c>
    </row>
    <row r="38" spans="1:5" x14ac:dyDescent="0.45">
      <c r="A38" s="120" t="s">
        <v>118</v>
      </c>
      <c r="B38" s="137">
        <v>1144358953</v>
      </c>
      <c r="C38" s="138">
        <v>700.056962206251</v>
      </c>
      <c r="D38" s="138">
        <v>689.60696220625096</v>
      </c>
      <c r="E38" s="138">
        <v>689.60696220625096</v>
      </c>
    </row>
    <row r="39" spans="1:5" x14ac:dyDescent="0.45">
      <c r="A39" s="120" t="s">
        <v>119</v>
      </c>
      <c r="B39" s="137">
        <v>1386763456</v>
      </c>
      <c r="C39" s="138">
        <v>690.90653291751471</v>
      </c>
      <c r="D39" s="138">
        <v>680.45653291751466</v>
      </c>
      <c r="E39" s="138">
        <v>680.45653291751466</v>
      </c>
    </row>
    <row r="40" spans="1:5" x14ac:dyDescent="0.45">
      <c r="A40" s="120" t="s">
        <v>120</v>
      </c>
      <c r="B40" s="137">
        <v>1811107410</v>
      </c>
      <c r="C40" s="138">
        <v>791.7</v>
      </c>
      <c r="D40" s="138">
        <v>781.25</v>
      </c>
      <c r="E40" s="138">
        <v>781.25</v>
      </c>
    </row>
    <row r="41" spans="1:5" x14ac:dyDescent="0.45">
      <c r="A41" s="120" t="s">
        <v>121</v>
      </c>
      <c r="B41" s="137">
        <v>1326146333</v>
      </c>
      <c r="C41" s="138">
        <v>605.33926173247994</v>
      </c>
      <c r="D41" s="138">
        <v>594.88926173247989</v>
      </c>
      <c r="E41" s="138">
        <v>594.88926173247989</v>
      </c>
    </row>
    <row r="42" spans="1:5" x14ac:dyDescent="0.45">
      <c r="A42" s="120" t="s">
        <v>122</v>
      </c>
      <c r="B42" s="137">
        <v>1336289966</v>
      </c>
      <c r="C42" s="138">
        <v>791.7</v>
      </c>
      <c r="D42" s="138">
        <v>781.25</v>
      </c>
      <c r="E42" s="138">
        <v>781.25</v>
      </c>
    </row>
    <row r="43" spans="1:5" x14ac:dyDescent="0.45">
      <c r="A43" s="120" t="s">
        <v>123</v>
      </c>
      <c r="B43" s="137">
        <v>1174674246</v>
      </c>
      <c r="C43" s="138">
        <v>771.22</v>
      </c>
      <c r="D43" s="138">
        <v>760.77</v>
      </c>
      <c r="E43" s="138">
        <v>760.77</v>
      </c>
    </row>
    <row r="44" spans="1:5" ht="38.4" x14ac:dyDescent="0.45">
      <c r="A44" s="120" t="s">
        <v>125</v>
      </c>
      <c r="B44" s="137">
        <v>1861533648</v>
      </c>
      <c r="C44" s="138">
        <v>659.44775879121482</v>
      </c>
      <c r="D44" s="138">
        <v>648.99775879121478</v>
      </c>
      <c r="E44" s="138">
        <v>648.99775879121478</v>
      </c>
    </row>
    <row r="45" spans="1:5" x14ac:dyDescent="0.45">
      <c r="A45" s="120" t="s">
        <v>126</v>
      </c>
      <c r="B45" s="137">
        <v>1770659153</v>
      </c>
      <c r="C45" s="138">
        <v>791.7</v>
      </c>
      <c r="D45" s="138">
        <v>781.25</v>
      </c>
      <c r="E45" s="138">
        <v>781.25</v>
      </c>
    </row>
    <row r="46" spans="1:5" ht="38.4" x14ac:dyDescent="0.45">
      <c r="A46" s="120" t="s">
        <v>129</v>
      </c>
      <c r="B46" s="137">
        <v>1619947090</v>
      </c>
      <c r="C46" s="138">
        <v>791.7</v>
      </c>
      <c r="D46" s="138">
        <v>781.25</v>
      </c>
      <c r="E46" s="138">
        <v>781.25</v>
      </c>
    </row>
    <row r="47" spans="1:5" x14ac:dyDescent="0.45">
      <c r="A47" s="120" t="s">
        <v>165</v>
      </c>
      <c r="B47" s="137">
        <v>1184429185</v>
      </c>
      <c r="C47" s="138">
        <v>704.86</v>
      </c>
      <c r="D47" s="138">
        <v>694.41</v>
      </c>
      <c r="E47" s="138">
        <v>694.41</v>
      </c>
    </row>
    <row r="48" spans="1:5" ht="38.4" x14ac:dyDescent="0.45">
      <c r="A48" s="120" t="s">
        <v>130</v>
      </c>
      <c r="B48" s="137">
        <v>1952348518</v>
      </c>
      <c r="C48" s="138">
        <v>791.7</v>
      </c>
      <c r="D48" s="138">
        <v>781.25</v>
      </c>
      <c r="E48" s="138">
        <v>781.25</v>
      </c>
    </row>
    <row r="49" spans="1:5" ht="38.4" x14ac:dyDescent="0.45">
      <c r="A49" s="120" t="s">
        <v>131</v>
      </c>
      <c r="B49" s="137">
        <v>1770639809</v>
      </c>
      <c r="C49" s="138">
        <v>791.7</v>
      </c>
      <c r="D49" s="138">
        <v>781.25</v>
      </c>
      <c r="E49" s="138">
        <v>781.25</v>
      </c>
    </row>
    <row r="50" spans="1:5" x14ac:dyDescent="0.45">
      <c r="A50" s="120" t="s">
        <v>132</v>
      </c>
      <c r="B50" s="137">
        <v>1114091055</v>
      </c>
      <c r="C50" s="138">
        <v>791.7</v>
      </c>
      <c r="D50" s="138">
        <v>781.25</v>
      </c>
      <c r="E50" s="138">
        <v>781.25</v>
      </c>
    </row>
    <row r="51" spans="1:5" x14ac:dyDescent="0.45">
      <c r="A51" s="120" t="s">
        <v>133</v>
      </c>
      <c r="B51" s="137">
        <v>1669734653</v>
      </c>
      <c r="C51" s="138">
        <v>771.22</v>
      </c>
      <c r="D51" s="138">
        <v>760.77</v>
      </c>
      <c r="E51" s="138">
        <v>760.77</v>
      </c>
    </row>
    <row r="52" spans="1:5" x14ac:dyDescent="0.45">
      <c r="A52" s="120" t="s">
        <v>134</v>
      </c>
      <c r="B52" s="137">
        <v>1285677518</v>
      </c>
      <c r="C52" s="138">
        <v>791.7</v>
      </c>
      <c r="D52" s="138">
        <v>781.25</v>
      </c>
      <c r="E52" s="138">
        <v>781.25</v>
      </c>
    </row>
    <row r="53" spans="1:5" x14ac:dyDescent="0.45">
      <c r="A53" s="120" t="s">
        <v>135</v>
      </c>
      <c r="B53" s="137">
        <v>1710174818</v>
      </c>
      <c r="C53" s="138">
        <v>791.7</v>
      </c>
      <c r="D53" s="138">
        <v>781.25</v>
      </c>
      <c r="E53" s="138">
        <v>781.25</v>
      </c>
    </row>
    <row r="54" spans="1:5" x14ac:dyDescent="0.45">
      <c r="A54" s="120" t="s">
        <v>136</v>
      </c>
      <c r="B54" s="137">
        <v>1710066634</v>
      </c>
      <c r="C54" s="138">
        <v>771.22</v>
      </c>
      <c r="D54" s="138">
        <v>760.77</v>
      </c>
      <c r="E54" s="138">
        <v>760.77</v>
      </c>
    </row>
    <row r="55" spans="1:5" x14ac:dyDescent="0.45">
      <c r="A55" s="120" t="s">
        <v>137</v>
      </c>
      <c r="B55" s="137">
        <v>1447724646</v>
      </c>
      <c r="C55" s="138">
        <v>791.7</v>
      </c>
      <c r="D55" s="138">
        <v>781.25</v>
      </c>
      <c r="E55" s="138">
        <v>781.25</v>
      </c>
    </row>
    <row r="56" spans="1:5" x14ac:dyDescent="0.45">
      <c r="A56" s="120" t="s">
        <v>138</v>
      </c>
      <c r="B56" s="137">
        <v>1326234022</v>
      </c>
      <c r="C56" s="138">
        <v>791.7</v>
      </c>
      <c r="D56" s="138">
        <v>781.25</v>
      </c>
      <c r="E56" s="138">
        <v>781.25</v>
      </c>
    </row>
    <row r="57" spans="1:5" x14ac:dyDescent="0.45">
      <c r="A57" s="120" t="s">
        <v>139</v>
      </c>
      <c r="B57" s="137">
        <v>1386252112</v>
      </c>
      <c r="C57" s="138">
        <v>791.7</v>
      </c>
      <c r="D57" s="138">
        <v>781.25</v>
      </c>
      <c r="E57" s="138">
        <v>781.25</v>
      </c>
    </row>
    <row r="58" spans="1:5" x14ac:dyDescent="0.45">
      <c r="A58" s="120" t="s">
        <v>140</v>
      </c>
      <c r="B58" s="137">
        <v>1538142369</v>
      </c>
      <c r="C58" s="138">
        <v>791.7</v>
      </c>
      <c r="D58" s="138">
        <v>781.25</v>
      </c>
      <c r="E58" s="138">
        <v>781.25</v>
      </c>
    </row>
    <row r="59" spans="1:5" x14ac:dyDescent="0.45">
      <c r="A59" s="120" t="s">
        <v>141</v>
      </c>
      <c r="B59" s="137">
        <v>1184607418</v>
      </c>
      <c r="C59" s="138">
        <v>791.7</v>
      </c>
      <c r="D59" s="138">
        <v>781.25</v>
      </c>
      <c r="E59" s="138">
        <v>781.25</v>
      </c>
    </row>
    <row r="60" spans="1:5" x14ac:dyDescent="0.45">
      <c r="A60" s="120" t="s">
        <v>142</v>
      </c>
      <c r="B60" s="137">
        <v>1396031639</v>
      </c>
      <c r="C60" s="138">
        <v>791.7</v>
      </c>
      <c r="D60" s="138">
        <v>781.25</v>
      </c>
      <c r="E60" s="138">
        <v>781.25</v>
      </c>
    </row>
    <row r="61" spans="1:5" x14ac:dyDescent="0.45">
      <c r="A61" s="120" t="s">
        <v>143</v>
      </c>
      <c r="B61" s="137">
        <v>1235352618</v>
      </c>
      <c r="C61" s="138">
        <v>791.7</v>
      </c>
      <c r="D61" s="138">
        <v>781.25</v>
      </c>
      <c r="E61" s="138">
        <v>781.25</v>
      </c>
    </row>
    <row r="62" spans="1:5" x14ac:dyDescent="0.45">
      <c r="A62" s="120" t="s">
        <v>144</v>
      </c>
      <c r="B62" s="137">
        <v>1407938574</v>
      </c>
      <c r="C62" s="138">
        <v>791.7</v>
      </c>
      <c r="D62" s="138">
        <v>781.25</v>
      </c>
      <c r="E62" s="138">
        <v>781.25</v>
      </c>
    </row>
    <row r="63" spans="1:5" x14ac:dyDescent="0.45">
      <c r="A63" s="120" t="s">
        <v>145</v>
      </c>
      <c r="B63" s="137">
        <v>1801887401</v>
      </c>
      <c r="C63" s="138">
        <v>791.7</v>
      </c>
      <c r="D63" s="138">
        <v>781.25</v>
      </c>
      <c r="E63" s="138">
        <v>781.25</v>
      </c>
    </row>
    <row r="64" spans="1:5" x14ac:dyDescent="0.45">
      <c r="A64" s="120" t="s">
        <v>146</v>
      </c>
      <c r="B64" s="137">
        <v>1831128602</v>
      </c>
      <c r="C64" s="138">
        <v>618.59192977394298</v>
      </c>
      <c r="D64" s="138">
        <v>608.14192977394293</v>
      </c>
      <c r="E64" s="138">
        <v>608.14192977394293</v>
      </c>
    </row>
    <row r="65" spans="1:5" x14ac:dyDescent="0.45">
      <c r="A65" s="120" t="s">
        <v>147</v>
      </c>
      <c r="B65" s="137">
        <v>1700963956</v>
      </c>
      <c r="C65" s="138">
        <v>747.14074599108164</v>
      </c>
      <c r="D65" s="138">
        <v>736.6907459910816</v>
      </c>
      <c r="E65" s="138">
        <v>736.6907459910816</v>
      </c>
    </row>
    <row r="66" spans="1:5" x14ac:dyDescent="0.45">
      <c r="A66" s="120" t="s">
        <v>148</v>
      </c>
      <c r="B66" s="137">
        <v>1295897395</v>
      </c>
      <c r="C66" s="138">
        <v>791.7</v>
      </c>
      <c r="D66" s="138">
        <v>781.25</v>
      </c>
      <c r="E66" s="138">
        <v>781.25</v>
      </c>
    </row>
    <row r="67" spans="1:5" x14ac:dyDescent="0.45">
      <c r="A67" s="120" t="s">
        <v>149</v>
      </c>
      <c r="B67" s="137">
        <v>1740268713</v>
      </c>
      <c r="C67" s="138">
        <v>791.7</v>
      </c>
      <c r="D67" s="138">
        <v>781.25</v>
      </c>
      <c r="E67" s="138">
        <v>781.25</v>
      </c>
    </row>
    <row r="68" spans="1:5" x14ac:dyDescent="0.45">
      <c r="A68" s="120" t="s">
        <v>150</v>
      </c>
      <c r="B68" s="137">
        <v>1154404010</v>
      </c>
      <c r="C68" s="138">
        <v>791.7</v>
      </c>
      <c r="D68" s="138">
        <v>781.25</v>
      </c>
      <c r="E68" s="138">
        <v>781.25</v>
      </c>
    </row>
    <row r="69" spans="1:5" x14ac:dyDescent="0.45">
      <c r="A69" s="120" t="s">
        <v>151</v>
      </c>
      <c r="B69" s="137">
        <v>1942281936</v>
      </c>
      <c r="C69" s="138">
        <v>791.7</v>
      </c>
      <c r="D69" s="138">
        <v>781.25</v>
      </c>
      <c r="E69" s="138">
        <v>781.25</v>
      </c>
    </row>
    <row r="70" spans="1:5" x14ac:dyDescent="0.45">
      <c r="A70" s="127"/>
      <c r="B70" s="125"/>
      <c r="C70" s="126"/>
      <c r="D70" s="127"/>
      <c r="E70" s="127"/>
    </row>
    <row r="71" spans="1:5" x14ac:dyDescent="0.45">
      <c r="A71" s="127"/>
      <c r="B71" s="125"/>
      <c r="C71" s="126"/>
      <c r="D71" s="127"/>
      <c r="E71" s="127"/>
    </row>
    <row r="72" spans="1:5" x14ac:dyDescent="0.45">
      <c r="A72" s="9" t="s">
        <v>166</v>
      </c>
      <c r="B72" s="125"/>
      <c r="C72" s="126"/>
      <c r="D72" s="127"/>
      <c r="E72" s="127"/>
    </row>
    <row r="73" spans="1:5" ht="42" customHeight="1" x14ac:dyDescent="0.45">
      <c r="A73" s="111" t="s">
        <v>83</v>
      </c>
      <c r="B73" s="107" t="s">
        <v>84</v>
      </c>
      <c r="C73" s="112" t="s">
        <v>85</v>
      </c>
      <c r="D73" s="112" t="s">
        <v>86</v>
      </c>
      <c r="E73" s="112" t="s">
        <v>87</v>
      </c>
    </row>
    <row r="74" spans="1:5" x14ac:dyDescent="0.45">
      <c r="A74" s="72" t="s">
        <v>152</v>
      </c>
      <c r="B74" s="139">
        <v>1245458421</v>
      </c>
      <c r="C74" s="138">
        <v>704.86</v>
      </c>
      <c r="D74" s="138">
        <v>694.41</v>
      </c>
      <c r="E74" s="138">
        <v>694.41</v>
      </c>
    </row>
    <row r="75" spans="1:5" x14ac:dyDescent="0.45">
      <c r="A75" s="72" t="s">
        <v>154</v>
      </c>
      <c r="B75" s="139">
        <v>1184936023</v>
      </c>
      <c r="C75" s="138">
        <v>704.86</v>
      </c>
      <c r="D75" s="138">
        <v>694.41</v>
      </c>
      <c r="E75" s="138">
        <v>694.41</v>
      </c>
    </row>
    <row r="76" spans="1:5" x14ac:dyDescent="0.45">
      <c r="A76" s="72" t="s">
        <v>156</v>
      </c>
      <c r="B76" s="139">
        <v>1083895627</v>
      </c>
      <c r="C76" s="138">
        <v>704.86</v>
      </c>
      <c r="D76" s="138">
        <v>694.41</v>
      </c>
      <c r="E76" s="138">
        <v>694.41</v>
      </c>
    </row>
    <row r="77" spans="1:5" x14ac:dyDescent="0.45">
      <c r="A77" s="72" t="s">
        <v>157</v>
      </c>
      <c r="B77" s="139">
        <v>1073298196</v>
      </c>
      <c r="C77" s="138">
        <v>704.86</v>
      </c>
      <c r="D77" s="138">
        <v>694.41</v>
      </c>
      <c r="E77" s="138">
        <v>694.41</v>
      </c>
    </row>
    <row r="78" spans="1:5" x14ac:dyDescent="0.45">
      <c r="A78" s="72" t="s">
        <v>158</v>
      </c>
      <c r="B78" s="139">
        <v>1801452941</v>
      </c>
      <c r="C78" s="138">
        <v>557.88441387764328</v>
      </c>
      <c r="D78" s="138">
        <v>547.43441387764324</v>
      </c>
      <c r="E78" s="138">
        <v>547.43441387764324</v>
      </c>
    </row>
    <row r="79" spans="1:5" x14ac:dyDescent="0.45">
      <c r="A79" s="72" t="s">
        <v>159</v>
      </c>
      <c r="B79" s="139">
        <v>1922350206</v>
      </c>
      <c r="C79" s="138">
        <v>771.22</v>
      </c>
      <c r="D79" s="138">
        <v>760.77</v>
      </c>
      <c r="E79" s="138">
        <v>760.77</v>
      </c>
    </row>
    <row r="80" spans="1:5" x14ac:dyDescent="0.45">
      <c r="A80" s="127"/>
      <c r="B80" s="125"/>
      <c r="C80" s="126"/>
      <c r="D80" s="126"/>
      <c r="E80" s="126"/>
    </row>
    <row r="81" spans="1:5" x14ac:dyDescent="0.45">
      <c r="A81" s="9" t="s">
        <v>167</v>
      </c>
      <c r="B81" s="125"/>
      <c r="C81" s="126"/>
      <c r="D81" s="127"/>
      <c r="E81" s="127"/>
    </row>
    <row r="82" spans="1:5" x14ac:dyDescent="0.45">
      <c r="A82" s="71" t="s">
        <v>96</v>
      </c>
      <c r="B82" s="140">
        <v>1215476734</v>
      </c>
      <c r="C82" s="138">
        <v>636.04</v>
      </c>
      <c r="D82" s="138">
        <v>625.58999999999992</v>
      </c>
      <c r="E82" s="138">
        <v>625.58999999999992</v>
      </c>
    </row>
    <row r="83" spans="1:5" x14ac:dyDescent="0.45">
      <c r="A83" s="71" t="s">
        <v>124</v>
      </c>
      <c r="B83" s="140">
        <v>1770524928</v>
      </c>
      <c r="C83" s="138">
        <v>771.22</v>
      </c>
      <c r="D83" s="138">
        <v>760.77</v>
      </c>
      <c r="E83" s="138">
        <v>760.77</v>
      </c>
    </row>
    <row r="84" spans="1:5" x14ac:dyDescent="0.45">
      <c r="A84" s="71" t="s">
        <v>127</v>
      </c>
      <c r="B84" s="140">
        <v>1427006485</v>
      </c>
      <c r="C84" s="138">
        <v>582.74249299206542</v>
      </c>
      <c r="D84" s="138">
        <v>572.29249299206538</v>
      </c>
      <c r="E84" s="138">
        <v>572.29249299206538</v>
      </c>
    </row>
    <row r="85" spans="1:5" x14ac:dyDescent="0.45">
      <c r="A85" s="71" t="s">
        <v>128</v>
      </c>
      <c r="B85" s="140">
        <v>1891872883</v>
      </c>
      <c r="C85" s="138">
        <v>771.22</v>
      </c>
      <c r="D85" s="138">
        <v>760.77</v>
      </c>
      <c r="E85" s="138">
        <v>760.77</v>
      </c>
    </row>
  </sheetData>
  <sheetProtection sheet="1" objects="1" scenarios="1" selectLockedCells="1"/>
  <phoneticPr fontId="14" type="noConversion"/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7AD0-156C-46C1-A396-AF8B07C04E4C}">
  <sheetPr codeName="Sheet3"/>
  <dimension ref="A1:AF72"/>
  <sheetViews>
    <sheetView zoomScale="82" zoomScaleNormal="82" workbookViewId="0"/>
  </sheetViews>
  <sheetFormatPr defaultColWidth="0" defaultRowHeight="19.2" zeroHeight="1" x14ac:dyDescent="0.45"/>
  <cols>
    <col min="1" max="1" width="57.109375" style="106" customWidth="1"/>
    <col min="2" max="2" width="45.88671875" style="106" customWidth="1"/>
    <col min="3" max="3" width="23.33203125" style="106" customWidth="1"/>
    <col min="4" max="4" width="26.5546875" style="106" bestFit="1" customWidth="1"/>
    <col min="5" max="5" width="12.6640625" style="106" bestFit="1" customWidth="1"/>
    <col min="6" max="6" width="11.5546875" style="106" customWidth="1"/>
    <col min="7" max="7" width="19.44140625" style="159" customWidth="1"/>
    <col min="8" max="8" width="21.33203125" style="106" customWidth="1"/>
    <col min="9" max="9" width="28" style="106" customWidth="1"/>
    <col min="10" max="10" width="11.6640625" style="106" customWidth="1"/>
    <col min="11" max="11" width="15.6640625" style="106" customWidth="1"/>
    <col min="12" max="12" width="25.5546875" style="114" customWidth="1"/>
    <col min="13" max="13" width="24.5546875" style="114" customWidth="1"/>
    <col min="14" max="14" width="25.5546875" style="106" customWidth="1"/>
    <col min="15" max="15" width="21.5546875" style="114" customWidth="1"/>
    <col min="16" max="16" width="23.33203125" style="114" customWidth="1"/>
    <col min="17" max="17" width="30.33203125" style="106" customWidth="1"/>
    <col min="18" max="18" width="20.5546875" style="114" customWidth="1"/>
    <col min="19" max="19" width="19.5546875" style="114" customWidth="1"/>
    <col min="20" max="20" width="28.44140625" style="114" customWidth="1"/>
    <col min="21" max="21" width="28.6640625" style="114" customWidth="1"/>
    <col min="22" max="22" width="21.6640625" style="114" customWidth="1"/>
    <col min="23" max="23" width="24.6640625" style="114" customWidth="1"/>
    <col min="24" max="24" width="23.5546875" style="106" customWidth="1"/>
    <col min="25" max="25" width="23.44140625" style="114" customWidth="1"/>
    <col min="26" max="26" width="31.44140625" style="114" customWidth="1"/>
    <col min="27" max="27" width="31.88671875" style="114" customWidth="1"/>
    <col min="28" max="28" width="35.6640625" style="114" customWidth="1"/>
    <col min="29" max="29" width="28.33203125" style="114" customWidth="1"/>
    <col min="30" max="30" width="35.5546875" style="114" bestFit="1" customWidth="1"/>
    <col min="31" max="31" width="36.33203125" style="106" customWidth="1"/>
    <col min="32" max="32" width="8.6640625" style="106" hidden="1" customWidth="1"/>
    <col min="33" max="16384" width="8.6640625" style="106" hidden="1"/>
  </cols>
  <sheetData>
    <row r="1" spans="1:31" x14ac:dyDescent="0.45">
      <c r="A1" s="85" t="s">
        <v>0</v>
      </c>
      <c r="B1" s="127"/>
      <c r="C1" s="127"/>
      <c r="D1" s="127"/>
      <c r="E1" s="127"/>
      <c r="F1" s="127"/>
      <c r="G1" s="145"/>
      <c r="H1" s="127"/>
      <c r="I1" s="127"/>
      <c r="J1" s="127"/>
      <c r="K1" s="127"/>
      <c r="L1" s="126"/>
      <c r="M1" s="126"/>
      <c r="N1" s="127"/>
      <c r="O1" s="126"/>
      <c r="P1" s="126"/>
      <c r="Q1" s="127"/>
      <c r="R1" s="126"/>
      <c r="S1" s="126"/>
      <c r="T1" s="126"/>
      <c r="U1" s="126"/>
      <c r="V1" s="126"/>
      <c r="W1" s="126"/>
      <c r="X1" s="127"/>
      <c r="Y1" s="126"/>
      <c r="Z1" s="126"/>
      <c r="AA1" s="126"/>
      <c r="AB1" s="126"/>
      <c r="AC1" s="126"/>
      <c r="AD1" s="126"/>
      <c r="AE1" s="127"/>
    </row>
    <row r="2" spans="1:31" x14ac:dyDescent="0.45">
      <c r="A2" s="92" t="s">
        <v>3</v>
      </c>
      <c r="B2" s="127"/>
      <c r="C2" s="127"/>
      <c r="D2" s="127"/>
      <c r="E2" s="127"/>
      <c r="F2" s="127"/>
      <c r="G2" s="145"/>
      <c r="H2" s="127"/>
      <c r="I2" s="127"/>
      <c r="J2" s="127"/>
      <c r="K2" s="127"/>
      <c r="L2" s="126"/>
      <c r="M2" s="126"/>
      <c r="N2" s="127"/>
      <c r="O2" s="126"/>
      <c r="P2" s="126"/>
      <c r="Q2" s="127"/>
      <c r="R2" s="126"/>
      <c r="S2" s="126"/>
      <c r="T2" s="126"/>
      <c r="U2" s="126"/>
      <c r="V2" s="126"/>
      <c r="W2" s="126"/>
      <c r="X2" s="127"/>
      <c r="Y2" s="126"/>
      <c r="Z2" s="126"/>
      <c r="AA2" s="126"/>
      <c r="AB2" s="126"/>
      <c r="AC2" s="126"/>
      <c r="AD2" s="126"/>
      <c r="AE2" s="127"/>
    </row>
    <row r="3" spans="1:31" ht="38.4" x14ac:dyDescent="0.45">
      <c r="A3" s="185"/>
      <c r="B3" s="172" t="s">
        <v>168</v>
      </c>
      <c r="C3" s="173" t="s">
        <v>169</v>
      </c>
      <c r="D3" s="173" t="s">
        <v>161</v>
      </c>
      <c r="E3" s="173" t="s">
        <v>170</v>
      </c>
      <c r="F3" s="173" t="s">
        <v>171</v>
      </c>
      <c r="G3" s="173" t="s">
        <v>172</v>
      </c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</row>
    <row r="4" spans="1:31" x14ac:dyDescent="0.45">
      <c r="A4" s="146" t="s">
        <v>173</v>
      </c>
      <c r="B4" s="146">
        <v>771.22</v>
      </c>
      <c r="C4" s="146">
        <v>791.7</v>
      </c>
      <c r="D4" s="147">
        <v>791.7</v>
      </c>
      <c r="E4" s="15">
        <v>42</v>
      </c>
      <c r="F4" s="174">
        <v>10.45</v>
      </c>
      <c r="G4" s="148">
        <v>2.6555327921993745E-2</v>
      </c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</row>
    <row r="5" spans="1:31" x14ac:dyDescent="0.45">
      <c r="A5" s="146" t="s">
        <v>174</v>
      </c>
      <c r="B5" s="146">
        <v>711.31121536869057</v>
      </c>
      <c r="C5" s="146">
        <v>759.49701386165668</v>
      </c>
      <c r="D5" s="147">
        <v>759.49701386165668</v>
      </c>
      <c r="E5" s="15">
        <v>21</v>
      </c>
      <c r="F5" s="174">
        <v>10.45</v>
      </c>
      <c r="G5" s="148">
        <v>6.7742216700449748E-2</v>
      </c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46" t="s">
        <v>175</v>
      </c>
      <c r="Z5" s="127"/>
      <c r="AA5" s="146" t="s">
        <v>176</v>
      </c>
      <c r="AB5" s="127"/>
      <c r="AC5" s="127"/>
      <c r="AD5" s="127"/>
      <c r="AE5" s="127"/>
    </row>
    <row r="6" spans="1:31" x14ac:dyDescent="0.45">
      <c r="A6" s="127"/>
      <c r="B6" s="127"/>
      <c r="C6" s="127"/>
      <c r="D6" s="127"/>
      <c r="E6" s="127"/>
      <c r="F6" s="127"/>
      <c r="G6" s="145"/>
      <c r="H6" s="127"/>
      <c r="I6" s="127"/>
      <c r="J6" s="127"/>
      <c r="K6" s="127"/>
      <c r="L6" s="126"/>
      <c r="M6" s="126"/>
      <c r="N6" s="127"/>
      <c r="O6" s="126"/>
      <c r="P6" s="126"/>
      <c r="Q6" s="127"/>
      <c r="R6" s="126"/>
      <c r="S6" s="126"/>
      <c r="T6" s="126"/>
      <c r="U6" s="126"/>
      <c r="V6" s="126"/>
      <c r="W6" s="126"/>
      <c r="X6" s="127"/>
      <c r="Y6" s="146">
        <v>791.7</v>
      </c>
      <c r="Z6" s="126"/>
      <c r="AA6" s="146">
        <v>759.49701386165668</v>
      </c>
      <c r="AB6" s="126"/>
      <c r="AC6" s="126"/>
      <c r="AD6" s="126"/>
      <c r="AE6" s="127"/>
    </row>
    <row r="7" spans="1:31" s="183" customFormat="1" ht="76.5" customHeight="1" x14ac:dyDescent="0.3">
      <c r="A7" s="184" t="s">
        <v>177</v>
      </c>
      <c r="B7" s="186">
        <v>46569</v>
      </c>
      <c r="C7" s="186" t="s">
        <v>178</v>
      </c>
      <c r="D7" s="187"/>
      <c r="E7" s="187"/>
      <c r="F7" s="188"/>
      <c r="G7" s="175"/>
      <c r="H7" s="188"/>
      <c r="I7" s="188"/>
      <c r="J7" s="188"/>
      <c r="K7" s="188"/>
      <c r="L7" s="167" t="s">
        <v>179</v>
      </c>
      <c r="M7" s="176" t="s">
        <v>180</v>
      </c>
      <c r="N7" s="176"/>
      <c r="O7" s="176"/>
      <c r="P7" s="176" t="s">
        <v>181</v>
      </c>
      <c r="Q7" s="176"/>
      <c r="R7" s="176"/>
      <c r="S7" s="176"/>
      <c r="T7" s="176"/>
      <c r="U7" s="177" t="s">
        <v>182</v>
      </c>
      <c r="V7" s="178"/>
      <c r="W7" s="179" t="s">
        <v>183</v>
      </c>
      <c r="X7" s="180" t="s">
        <v>184</v>
      </c>
      <c r="Y7" s="180"/>
      <c r="Z7" s="180"/>
      <c r="AA7" s="180"/>
      <c r="AB7" s="180"/>
      <c r="AC7" s="181" t="s">
        <v>185</v>
      </c>
      <c r="AD7" s="181" t="s">
        <v>186</v>
      </c>
      <c r="AE7" s="182" t="s">
        <v>187</v>
      </c>
    </row>
    <row r="8" spans="1:31" s="170" customFormat="1" ht="59.25" customHeight="1" x14ac:dyDescent="0.3">
      <c r="A8" s="162" t="s">
        <v>83</v>
      </c>
      <c r="B8" s="163" t="s">
        <v>84</v>
      </c>
      <c r="C8" s="164" t="s">
        <v>188</v>
      </c>
      <c r="D8" s="164" t="s">
        <v>189</v>
      </c>
      <c r="E8" s="164" t="s">
        <v>190</v>
      </c>
      <c r="F8" s="164" t="s">
        <v>191</v>
      </c>
      <c r="G8" s="165" t="s">
        <v>192</v>
      </c>
      <c r="H8" s="164" t="s">
        <v>193</v>
      </c>
      <c r="I8" s="164" t="s">
        <v>194</v>
      </c>
      <c r="J8" s="164" t="s">
        <v>195</v>
      </c>
      <c r="K8" s="164" t="s">
        <v>196</v>
      </c>
      <c r="L8" s="164" t="s">
        <v>451</v>
      </c>
      <c r="M8" s="166" t="s">
        <v>197</v>
      </c>
      <c r="N8" s="164" t="s">
        <v>198</v>
      </c>
      <c r="O8" s="166" t="s">
        <v>199</v>
      </c>
      <c r="P8" s="164" t="s">
        <v>200</v>
      </c>
      <c r="Q8" s="164" t="s">
        <v>201</v>
      </c>
      <c r="R8" s="164" t="s">
        <v>202</v>
      </c>
      <c r="S8" s="164" t="s">
        <v>203</v>
      </c>
      <c r="T8" s="166" t="s">
        <v>204</v>
      </c>
      <c r="U8" s="164" t="s">
        <v>205</v>
      </c>
      <c r="V8" s="164" t="s">
        <v>206</v>
      </c>
      <c r="W8" s="167" t="s">
        <v>207</v>
      </c>
      <c r="X8" s="168" t="s">
        <v>208</v>
      </c>
      <c r="Y8" s="169" t="s">
        <v>209</v>
      </c>
      <c r="Z8" s="169" t="s">
        <v>210</v>
      </c>
      <c r="AA8" s="169" t="s">
        <v>211</v>
      </c>
      <c r="AB8" s="169" t="s">
        <v>212</v>
      </c>
      <c r="AC8" s="169" t="s">
        <v>213</v>
      </c>
      <c r="AD8" s="169" t="s">
        <v>214</v>
      </c>
      <c r="AE8" s="169" t="s">
        <v>215</v>
      </c>
    </row>
    <row r="9" spans="1:31" s="170" customFormat="1" ht="64.2" customHeight="1" x14ac:dyDescent="0.3">
      <c r="A9" s="169" t="s">
        <v>9</v>
      </c>
      <c r="B9" s="171" t="s">
        <v>11</v>
      </c>
      <c r="C9" s="164" t="s">
        <v>13</v>
      </c>
      <c r="D9" s="164" t="s">
        <v>15</v>
      </c>
      <c r="E9" s="164" t="s">
        <v>17</v>
      </c>
      <c r="F9" s="164" t="s">
        <v>19</v>
      </c>
      <c r="G9" s="165" t="s">
        <v>21</v>
      </c>
      <c r="H9" s="164" t="s">
        <v>23</v>
      </c>
      <c r="I9" s="164" t="s">
        <v>25</v>
      </c>
      <c r="J9" s="164" t="s">
        <v>216</v>
      </c>
      <c r="K9" s="164" t="s">
        <v>29</v>
      </c>
      <c r="L9" s="164" t="s">
        <v>32</v>
      </c>
      <c r="M9" s="167" t="s">
        <v>217</v>
      </c>
      <c r="N9" s="167" t="s">
        <v>37</v>
      </c>
      <c r="O9" s="164" t="s">
        <v>218</v>
      </c>
      <c r="P9" s="164" t="s">
        <v>219</v>
      </c>
      <c r="Q9" s="164" t="s">
        <v>44</v>
      </c>
      <c r="R9" s="164" t="s">
        <v>46</v>
      </c>
      <c r="S9" s="164" t="s">
        <v>48</v>
      </c>
      <c r="T9" s="164" t="s">
        <v>220</v>
      </c>
      <c r="U9" s="164" t="s">
        <v>221</v>
      </c>
      <c r="V9" s="164" t="s">
        <v>56</v>
      </c>
      <c r="W9" s="167" t="s">
        <v>222</v>
      </c>
      <c r="X9" s="168" t="s">
        <v>62</v>
      </c>
      <c r="Y9" s="169" t="s">
        <v>223</v>
      </c>
      <c r="Z9" s="169" t="s">
        <v>224</v>
      </c>
      <c r="AA9" s="169" t="s">
        <v>225</v>
      </c>
      <c r="AB9" s="169" t="s">
        <v>226</v>
      </c>
      <c r="AC9" s="169" t="s">
        <v>72</v>
      </c>
      <c r="AD9" s="169" t="s">
        <v>74</v>
      </c>
      <c r="AE9" s="169" t="s">
        <v>76</v>
      </c>
    </row>
    <row r="10" spans="1:31" x14ac:dyDescent="0.45">
      <c r="A10" s="120" t="s">
        <v>88</v>
      </c>
      <c r="B10" s="71">
        <v>1235261652</v>
      </c>
      <c r="C10" s="189" t="s">
        <v>227</v>
      </c>
      <c r="D10" s="149">
        <v>45108</v>
      </c>
      <c r="E10" s="149">
        <v>45473</v>
      </c>
      <c r="F10" s="71">
        <v>42</v>
      </c>
      <c r="G10" s="150">
        <v>41970</v>
      </c>
      <c r="H10" s="151">
        <v>3590</v>
      </c>
      <c r="I10" s="151">
        <v>37766</v>
      </c>
      <c r="J10" s="151">
        <v>614</v>
      </c>
      <c r="K10" s="71">
        <v>135</v>
      </c>
      <c r="L10" s="138">
        <v>2876558</v>
      </c>
      <c r="M10" s="138">
        <v>22526109.00931466</v>
      </c>
      <c r="N10" s="152">
        <v>1.1440216899466682</v>
      </c>
      <c r="O10" s="138">
        <v>25770357.296759024</v>
      </c>
      <c r="P10" s="138">
        <v>16860205.99068534</v>
      </c>
      <c r="Q10" s="152">
        <v>1.1255123566230012</v>
      </c>
      <c r="R10" s="110">
        <v>1061</v>
      </c>
      <c r="S10" s="138">
        <v>1061</v>
      </c>
      <c r="T10" s="138">
        <v>18958392.415324602</v>
      </c>
      <c r="U10" s="138">
        <v>47605307.712083623</v>
      </c>
      <c r="V10" s="138" t="s">
        <v>228</v>
      </c>
      <c r="W10" s="138">
        <v>1134.2699002164313</v>
      </c>
      <c r="X10" s="153">
        <v>0.98537050274005245</v>
      </c>
      <c r="Y10" s="138">
        <v>1134.2699002164313</v>
      </c>
      <c r="Z10" s="138">
        <v>791.7</v>
      </c>
      <c r="AA10" s="138" t="s">
        <v>228</v>
      </c>
      <c r="AB10" s="138" t="s">
        <v>228</v>
      </c>
      <c r="AC10" s="138">
        <v>771.22</v>
      </c>
      <c r="AD10" s="138">
        <v>791.7</v>
      </c>
      <c r="AE10" s="138">
        <v>781.25</v>
      </c>
    </row>
    <row r="11" spans="1:31" x14ac:dyDescent="0.45">
      <c r="A11" s="120" t="s">
        <v>89</v>
      </c>
      <c r="B11" s="71">
        <v>1396176160</v>
      </c>
      <c r="C11" s="189" t="s">
        <v>227</v>
      </c>
      <c r="D11" s="149">
        <v>45108</v>
      </c>
      <c r="E11" s="149">
        <v>45473</v>
      </c>
      <c r="F11" s="71">
        <v>42</v>
      </c>
      <c r="G11" s="150">
        <v>46651</v>
      </c>
      <c r="H11" s="151">
        <v>3715</v>
      </c>
      <c r="I11" s="151">
        <v>28580</v>
      </c>
      <c r="J11" s="151">
        <v>14356</v>
      </c>
      <c r="K11" s="71">
        <v>146</v>
      </c>
      <c r="L11" s="138">
        <v>329263</v>
      </c>
      <c r="M11" s="138">
        <v>17034898.259121776</v>
      </c>
      <c r="N11" s="152">
        <v>1.1440216899466682</v>
      </c>
      <c r="O11" s="138">
        <v>19488293.09447005</v>
      </c>
      <c r="P11" s="138">
        <v>12750177.740878224</v>
      </c>
      <c r="Q11" s="152">
        <v>1.1255123566230012</v>
      </c>
      <c r="R11" s="110">
        <v>1061</v>
      </c>
      <c r="S11" s="138">
        <v>1061</v>
      </c>
      <c r="T11" s="138">
        <v>14331039.979382941</v>
      </c>
      <c r="U11" s="138">
        <v>34148596.073852994</v>
      </c>
      <c r="V11" s="138" t="s">
        <v>228</v>
      </c>
      <c r="W11" s="138">
        <v>732.00137347222983</v>
      </c>
      <c r="X11" s="153">
        <v>0.69226811858266701</v>
      </c>
      <c r="Y11" s="138">
        <v>732.00137347222983</v>
      </c>
      <c r="Z11" s="138">
        <v>732.00137347222983</v>
      </c>
      <c r="AA11" s="138" t="s">
        <v>228</v>
      </c>
      <c r="AB11" s="138" t="s">
        <v>228</v>
      </c>
      <c r="AC11" s="138">
        <v>684.45130876654935</v>
      </c>
      <c r="AD11" s="138">
        <v>732.00137347222983</v>
      </c>
      <c r="AE11" s="138">
        <v>721.55137347222978</v>
      </c>
    </row>
    <row r="12" spans="1:31" x14ac:dyDescent="0.45">
      <c r="A12" s="120" t="s">
        <v>90</v>
      </c>
      <c r="B12" s="71">
        <v>1891759502</v>
      </c>
      <c r="C12" s="137" t="s">
        <v>64</v>
      </c>
      <c r="D12" s="149">
        <v>45292</v>
      </c>
      <c r="E12" s="149">
        <v>45657</v>
      </c>
      <c r="F12" s="71">
        <v>36</v>
      </c>
      <c r="G12" s="150">
        <v>15864</v>
      </c>
      <c r="H12" s="151">
        <v>1360</v>
      </c>
      <c r="I12" s="151">
        <v>13245</v>
      </c>
      <c r="J12" s="151">
        <v>1259</v>
      </c>
      <c r="K12" s="71">
        <v>48</v>
      </c>
      <c r="L12" s="138">
        <v>404688</v>
      </c>
      <c r="M12" s="138">
        <v>6683835.890125108</v>
      </c>
      <c r="N12" s="152">
        <v>1.1011660344527212</v>
      </c>
      <c r="O12" s="138">
        <v>7360013.0620618388</v>
      </c>
      <c r="P12" s="138">
        <v>5002677.109874892</v>
      </c>
      <c r="Q12" s="152">
        <v>1.0977052592411716</v>
      </c>
      <c r="R12" s="110">
        <v>1061</v>
      </c>
      <c r="S12" s="138">
        <v>1061</v>
      </c>
      <c r="T12" s="138">
        <v>5486489.0403524591</v>
      </c>
      <c r="U12" s="138">
        <v>13251190.102414299</v>
      </c>
      <c r="V12" s="138" t="s">
        <v>228</v>
      </c>
      <c r="W12" s="138">
        <v>835.29942652636782</v>
      </c>
      <c r="X12" s="153">
        <v>0.92063792233988906</v>
      </c>
      <c r="Y12" s="138">
        <v>835.29942652636782</v>
      </c>
      <c r="Z12" s="138">
        <v>791.7</v>
      </c>
      <c r="AA12" s="138">
        <v>791.7</v>
      </c>
      <c r="AB12" s="138">
        <v>759.49701386165668</v>
      </c>
      <c r="AC12" s="138">
        <v>771.22</v>
      </c>
      <c r="AD12" s="138">
        <v>791.7</v>
      </c>
      <c r="AE12" s="138">
        <v>781.25</v>
      </c>
    </row>
    <row r="13" spans="1:31" x14ac:dyDescent="0.45">
      <c r="A13" s="120" t="s">
        <v>91</v>
      </c>
      <c r="B13" s="71">
        <v>1073553756</v>
      </c>
      <c r="C13" s="137" t="s">
        <v>64</v>
      </c>
      <c r="D13" s="149">
        <v>45108</v>
      </c>
      <c r="E13" s="149">
        <v>45473</v>
      </c>
      <c r="F13" s="71">
        <v>42</v>
      </c>
      <c r="G13" s="150">
        <v>7120</v>
      </c>
      <c r="H13" s="151">
        <v>2516</v>
      </c>
      <c r="I13" s="151">
        <v>0</v>
      </c>
      <c r="J13" s="151">
        <v>4604</v>
      </c>
      <c r="K13" s="71">
        <v>21</v>
      </c>
      <c r="L13" s="138">
        <v>166958</v>
      </c>
      <c r="M13" s="138">
        <v>2542299.2302301195</v>
      </c>
      <c r="N13" s="152">
        <v>1.1440216899466682</v>
      </c>
      <c r="O13" s="138">
        <v>2908445.4617179749</v>
      </c>
      <c r="P13" s="138">
        <v>1902844.7697698805</v>
      </c>
      <c r="Q13" s="152">
        <v>1.1255123566230012</v>
      </c>
      <c r="R13" s="110">
        <v>1061</v>
      </c>
      <c r="S13" s="138">
        <v>1061</v>
      </c>
      <c r="T13" s="138">
        <v>2138878.7602935331</v>
      </c>
      <c r="U13" s="138">
        <v>5214282.2220115084</v>
      </c>
      <c r="V13" s="138" t="s">
        <v>228</v>
      </c>
      <c r="W13" s="138">
        <v>732.34300870948152</v>
      </c>
      <c r="X13" s="153">
        <v>0.35337078651685394</v>
      </c>
      <c r="Y13" s="138">
        <v>732.34300870948152</v>
      </c>
      <c r="Z13" s="138">
        <v>732.34300870948152</v>
      </c>
      <c r="AA13" s="138">
        <v>732.34300870948152</v>
      </c>
      <c r="AB13" s="138">
        <v>759.49701386165668</v>
      </c>
      <c r="AC13" s="138">
        <v>771.22</v>
      </c>
      <c r="AD13" s="138">
        <v>771.22</v>
      </c>
      <c r="AE13" s="138">
        <v>760.77</v>
      </c>
    </row>
    <row r="14" spans="1:31" x14ac:dyDescent="0.45">
      <c r="A14" s="120" t="s">
        <v>92</v>
      </c>
      <c r="B14" s="71">
        <v>1467560599</v>
      </c>
      <c r="C14" s="189" t="s">
        <v>227</v>
      </c>
      <c r="D14" s="149">
        <v>45292</v>
      </c>
      <c r="E14" s="149">
        <v>45657</v>
      </c>
      <c r="F14" s="71">
        <v>36</v>
      </c>
      <c r="G14" s="150">
        <v>59945</v>
      </c>
      <c r="H14" s="151">
        <v>6275</v>
      </c>
      <c r="I14" s="151">
        <v>37023</v>
      </c>
      <c r="J14" s="151">
        <v>16647</v>
      </c>
      <c r="K14" s="71">
        <v>171</v>
      </c>
      <c r="L14" s="138">
        <v>522764</v>
      </c>
      <c r="M14" s="138">
        <v>24136734.655485529</v>
      </c>
      <c r="N14" s="152">
        <v>1.1011660344527212</v>
      </c>
      <c r="O14" s="138">
        <v>26578552.385218568</v>
      </c>
      <c r="P14" s="138">
        <v>18065717.344514471</v>
      </c>
      <c r="Q14" s="152">
        <v>1.0977052592411716</v>
      </c>
      <c r="R14" s="110">
        <v>1061</v>
      </c>
      <c r="S14" s="138">
        <v>1061</v>
      </c>
      <c r="T14" s="138">
        <v>19813106.178148601</v>
      </c>
      <c r="U14" s="138">
        <v>46914422.563367173</v>
      </c>
      <c r="V14" s="138" t="s">
        <v>228</v>
      </c>
      <c r="W14" s="138">
        <v>782.62444846721451</v>
      </c>
      <c r="X14" s="153">
        <v>0.72229543748436065</v>
      </c>
      <c r="Y14" s="138">
        <v>782.62444846721451</v>
      </c>
      <c r="Z14" s="138">
        <v>782.62444846721451</v>
      </c>
      <c r="AA14" s="138" t="s">
        <v>228</v>
      </c>
      <c r="AB14" s="138" t="s">
        <v>228</v>
      </c>
      <c r="AC14" s="138">
        <v>771.22</v>
      </c>
      <c r="AD14" s="138">
        <v>782.62444846721451</v>
      </c>
      <c r="AE14" s="138">
        <v>772.17444846721446</v>
      </c>
    </row>
    <row r="15" spans="1:31" x14ac:dyDescent="0.45">
      <c r="A15" s="120" t="s">
        <v>93</v>
      </c>
      <c r="B15" s="71">
        <v>1215095419</v>
      </c>
      <c r="C15" s="189" t="s">
        <v>227</v>
      </c>
      <c r="D15" s="149">
        <v>45292</v>
      </c>
      <c r="E15" s="149">
        <v>45657</v>
      </c>
      <c r="F15" s="71">
        <v>36</v>
      </c>
      <c r="G15" s="150">
        <v>8434</v>
      </c>
      <c r="H15" s="151">
        <v>490</v>
      </c>
      <c r="I15" s="151">
        <v>2640</v>
      </c>
      <c r="J15" s="151">
        <v>5304</v>
      </c>
      <c r="K15" s="71">
        <v>29</v>
      </c>
      <c r="L15" s="138">
        <v>666494</v>
      </c>
      <c r="M15" s="138">
        <v>7382367.8835385973</v>
      </c>
      <c r="N15" s="152">
        <v>1.1011660344527212</v>
      </c>
      <c r="O15" s="138">
        <v>8129212.7671873253</v>
      </c>
      <c r="P15" s="138">
        <v>5525510.1164614027</v>
      </c>
      <c r="Q15" s="152">
        <v>1.0977052592411716</v>
      </c>
      <c r="R15" s="110">
        <v>1061</v>
      </c>
      <c r="S15" s="138">
        <v>1061</v>
      </c>
      <c r="T15" s="138">
        <v>6062375.221708389</v>
      </c>
      <c r="U15" s="138">
        <v>14858081.988895714</v>
      </c>
      <c r="V15" s="138" t="s">
        <v>228</v>
      </c>
      <c r="W15" s="138">
        <v>1761.6886398975237</v>
      </c>
      <c r="X15" s="153">
        <v>0.37111690775432771</v>
      </c>
      <c r="Y15" s="138">
        <v>1761.6886398975237</v>
      </c>
      <c r="Z15" s="138">
        <v>791.7</v>
      </c>
      <c r="AA15" s="138" t="s">
        <v>228</v>
      </c>
      <c r="AB15" s="138" t="s">
        <v>228</v>
      </c>
      <c r="AC15" s="138">
        <v>771.22</v>
      </c>
      <c r="AD15" s="138">
        <v>791.7</v>
      </c>
      <c r="AE15" s="138">
        <v>781.25</v>
      </c>
    </row>
    <row r="16" spans="1:31" x14ac:dyDescent="0.45">
      <c r="A16" s="120" t="s">
        <v>94</v>
      </c>
      <c r="B16" s="71">
        <v>1346250347</v>
      </c>
      <c r="C16" s="137" t="s">
        <v>64</v>
      </c>
      <c r="D16" s="149">
        <v>45108</v>
      </c>
      <c r="E16" s="149">
        <v>45473</v>
      </c>
      <c r="F16" s="71">
        <v>42</v>
      </c>
      <c r="G16" s="150">
        <v>1130</v>
      </c>
      <c r="H16" s="151">
        <v>203</v>
      </c>
      <c r="I16" s="151">
        <v>0</v>
      </c>
      <c r="J16" s="151">
        <v>927</v>
      </c>
      <c r="K16" s="71">
        <v>4</v>
      </c>
      <c r="L16" s="138">
        <v>26581</v>
      </c>
      <c r="M16" s="138">
        <v>483439.85660023068</v>
      </c>
      <c r="N16" s="152">
        <v>1.1440216899466682</v>
      </c>
      <c r="O16" s="138">
        <v>553065.68173537089</v>
      </c>
      <c r="P16" s="138">
        <v>361842.14339976932</v>
      </c>
      <c r="Q16" s="152">
        <v>1.1255123566230012</v>
      </c>
      <c r="R16" s="110">
        <v>1342</v>
      </c>
      <c r="S16" s="138">
        <v>1422</v>
      </c>
      <c r="T16" s="138">
        <v>406904.05321304005</v>
      </c>
      <c r="U16" s="138">
        <v>986550.73494841089</v>
      </c>
      <c r="V16" s="138" t="s">
        <v>228</v>
      </c>
      <c r="W16" s="138">
        <v>873.0537477419565</v>
      </c>
      <c r="X16" s="153">
        <v>0.17964601769911503</v>
      </c>
      <c r="Y16" s="138" t="s">
        <v>228</v>
      </c>
      <c r="Z16" s="138">
        <v>791.7</v>
      </c>
      <c r="AA16" s="138">
        <v>791.7</v>
      </c>
      <c r="AB16" s="138">
        <v>759.49701386165668</v>
      </c>
      <c r="AC16" s="138">
        <v>704.86</v>
      </c>
      <c r="AD16" s="138">
        <v>791.7</v>
      </c>
      <c r="AE16" s="138">
        <v>781.25</v>
      </c>
    </row>
    <row r="17" spans="1:32" x14ac:dyDescent="0.45">
      <c r="A17" s="120" t="s">
        <v>95</v>
      </c>
      <c r="B17" s="71">
        <v>1477672665</v>
      </c>
      <c r="C17" s="189" t="s">
        <v>227</v>
      </c>
      <c r="D17" s="149">
        <v>45292</v>
      </c>
      <c r="E17" s="149">
        <v>45657</v>
      </c>
      <c r="F17" s="71">
        <v>36</v>
      </c>
      <c r="G17" s="150">
        <v>8500</v>
      </c>
      <c r="H17" s="151">
        <v>0</v>
      </c>
      <c r="I17" s="151">
        <v>0</v>
      </c>
      <c r="J17" s="151">
        <v>8500</v>
      </c>
      <c r="K17" s="71">
        <v>27</v>
      </c>
      <c r="L17" s="138">
        <v>389372</v>
      </c>
      <c r="M17" s="138">
        <v>7632041.0329482155</v>
      </c>
      <c r="N17" s="152">
        <v>1.1011660344527212</v>
      </c>
      <c r="O17" s="138">
        <v>8404144.3590320367</v>
      </c>
      <c r="P17" s="138">
        <v>5712383.9670517845</v>
      </c>
      <c r="Q17" s="152">
        <v>1.0977052592411716</v>
      </c>
      <c r="R17" s="110">
        <v>1061</v>
      </c>
      <c r="S17" s="138">
        <v>1061</v>
      </c>
      <c r="T17" s="138">
        <v>6267714.9608762097</v>
      </c>
      <c r="U17" s="138">
        <v>15061231.319908246</v>
      </c>
      <c r="V17" s="138" t="s">
        <v>228</v>
      </c>
      <c r="W17" s="138">
        <v>1771.909567048029</v>
      </c>
      <c r="X17" s="153">
        <v>0</v>
      </c>
      <c r="Y17" s="138" t="s">
        <v>228</v>
      </c>
      <c r="Z17" s="138">
        <v>791.7</v>
      </c>
      <c r="AA17" s="138" t="s">
        <v>228</v>
      </c>
      <c r="AB17" s="138" t="s">
        <v>228</v>
      </c>
      <c r="AC17" s="138">
        <v>771.22</v>
      </c>
      <c r="AD17" s="138">
        <v>791.7</v>
      </c>
      <c r="AE17" s="138">
        <v>781.25</v>
      </c>
    </row>
    <row r="18" spans="1:32" x14ac:dyDescent="0.45">
      <c r="A18" s="120" t="s">
        <v>97</v>
      </c>
      <c r="B18" s="71">
        <v>1235290818</v>
      </c>
      <c r="C18" s="189" t="s">
        <v>227</v>
      </c>
      <c r="D18" s="149">
        <v>45292</v>
      </c>
      <c r="E18" s="149">
        <v>45657</v>
      </c>
      <c r="F18" s="71">
        <v>36</v>
      </c>
      <c r="G18" s="150">
        <v>32023</v>
      </c>
      <c r="H18" s="151">
        <v>0</v>
      </c>
      <c r="I18" s="151">
        <v>0</v>
      </c>
      <c r="J18" s="151">
        <v>32023</v>
      </c>
      <c r="K18" s="71">
        <v>88</v>
      </c>
      <c r="L18" s="138">
        <v>384400</v>
      </c>
      <c r="M18" s="138">
        <v>16028083.721818695</v>
      </c>
      <c r="N18" s="152">
        <v>1.1011660344527212</v>
      </c>
      <c r="O18" s="138">
        <v>17649581.391831305</v>
      </c>
      <c r="P18" s="138">
        <v>11996603.278181305</v>
      </c>
      <c r="Q18" s="152">
        <v>1.0977052592411716</v>
      </c>
      <c r="R18" s="110">
        <v>1061</v>
      </c>
      <c r="S18" s="138">
        <v>1061</v>
      </c>
      <c r="T18" s="138">
        <v>13159611.966844669</v>
      </c>
      <c r="U18" s="138">
        <v>31193593.358675972</v>
      </c>
      <c r="V18" s="138" t="s">
        <v>228</v>
      </c>
      <c r="W18" s="138">
        <v>974.0996583292</v>
      </c>
      <c r="X18" s="153">
        <v>0</v>
      </c>
      <c r="Y18" s="138" t="s">
        <v>228</v>
      </c>
      <c r="Z18" s="138">
        <v>791.7</v>
      </c>
      <c r="AA18" s="138" t="s">
        <v>228</v>
      </c>
      <c r="AB18" s="138" t="s">
        <v>228</v>
      </c>
      <c r="AC18" s="138">
        <v>771.22</v>
      </c>
      <c r="AD18" s="138">
        <v>791.7</v>
      </c>
      <c r="AE18" s="138">
        <v>781.25</v>
      </c>
    </row>
    <row r="19" spans="1:32" x14ac:dyDescent="0.45">
      <c r="A19" s="120" t="s">
        <v>98</v>
      </c>
      <c r="B19" s="71">
        <v>1295816569</v>
      </c>
      <c r="C19" s="189" t="s">
        <v>227</v>
      </c>
      <c r="D19" s="149">
        <v>45170</v>
      </c>
      <c r="E19" s="149">
        <v>45535</v>
      </c>
      <c r="F19" s="71">
        <v>40</v>
      </c>
      <c r="G19" s="150">
        <v>19694</v>
      </c>
      <c r="H19" s="151">
        <v>3520</v>
      </c>
      <c r="I19" s="151">
        <v>13506</v>
      </c>
      <c r="J19" s="151">
        <v>2668</v>
      </c>
      <c r="K19" s="71">
        <v>58</v>
      </c>
      <c r="L19" s="138">
        <v>404571</v>
      </c>
      <c r="M19" s="138">
        <v>4200350.2324230066</v>
      </c>
      <c r="N19" s="152">
        <v>1.135324318269413</v>
      </c>
      <c r="O19" s="138">
        <v>4768759.7641184209</v>
      </c>
      <c r="P19" s="138">
        <v>3143852.7675769934</v>
      </c>
      <c r="Q19" s="152">
        <v>1.1135390172877735</v>
      </c>
      <c r="R19" s="110">
        <v>1061</v>
      </c>
      <c r="S19" s="138">
        <v>1061</v>
      </c>
      <c r="T19" s="138">
        <v>3493815.7572592772</v>
      </c>
      <c r="U19" s="138">
        <v>8667146.5213776976</v>
      </c>
      <c r="V19" s="138" t="s">
        <v>228</v>
      </c>
      <c r="W19" s="138">
        <v>440.09071399297744</v>
      </c>
      <c r="X19" s="153">
        <v>0.86452726718797601</v>
      </c>
      <c r="Y19" s="138">
        <v>440.09071399297744</v>
      </c>
      <c r="Z19" s="138">
        <v>440.09071399297744</v>
      </c>
      <c r="AA19" s="138" t="s">
        <v>228</v>
      </c>
      <c r="AB19" s="138" t="s">
        <v>228</v>
      </c>
      <c r="AC19" s="138">
        <v>485.20741463837794</v>
      </c>
      <c r="AD19" s="138">
        <v>485.20741463837794</v>
      </c>
      <c r="AE19" s="138">
        <v>474.75741463837795</v>
      </c>
    </row>
    <row r="20" spans="1:32" x14ac:dyDescent="0.45">
      <c r="A20" s="120" t="s">
        <v>99</v>
      </c>
      <c r="B20" s="71">
        <v>1033247622</v>
      </c>
      <c r="C20" s="189" t="s">
        <v>227</v>
      </c>
      <c r="D20" s="149">
        <v>45292</v>
      </c>
      <c r="E20" s="149">
        <v>45657</v>
      </c>
      <c r="F20" s="71">
        <v>36</v>
      </c>
      <c r="G20" s="150">
        <v>2599</v>
      </c>
      <c r="H20" s="151">
        <v>0</v>
      </c>
      <c r="I20" s="151">
        <v>1901</v>
      </c>
      <c r="J20" s="151">
        <v>698</v>
      </c>
      <c r="K20" s="71">
        <v>8</v>
      </c>
      <c r="L20" s="138">
        <v>51594</v>
      </c>
      <c r="M20" s="138">
        <v>1019155.0127726448</v>
      </c>
      <c r="N20" s="152">
        <v>1.1011660344527212</v>
      </c>
      <c r="O20" s="138">
        <v>1122258.8839074657</v>
      </c>
      <c r="P20" s="138">
        <v>762810.98722735525</v>
      </c>
      <c r="Q20" s="152">
        <v>1.0977052592411716</v>
      </c>
      <c r="R20" s="110">
        <v>1061</v>
      </c>
      <c r="S20" s="138">
        <v>1061</v>
      </c>
      <c r="T20" s="138">
        <v>836512.310245979</v>
      </c>
      <c r="U20" s="138">
        <v>2010365.1941534448</v>
      </c>
      <c r="V20" s="138" t="s">
        <v>228</v>
      </c>
      <c r="W20" s="138">
        <v>773.51488809289913</v>
      </c>
      <c r="X20" s="153">
        <v>0</v>
      </c>
      <c r="Y20" s="138" t="s">
        <v>228</v>
      </c>
      <c r="Z20" s="138">
        <v>773.51488809289913</v>
      </c>
      <c r="AA20" s="138" t="s">
        <v>228</v>
      </c>
      <c r="AB20" s="138" t="s">
        <v>228</v>
      </c>
      <c r="AC20" s="138">
        <v>771.22</v>
      </c>
      <c r="AD20" s="138">
        <v>773.51488809289913</v>
      </c>
      <c r="AE20" s="138">
        <v>763.06488809289908</v>
      </c>
    </row>
    <row r="21" spans="1:32" x14ac:dyDescent="0.45">
      <c r="A21" s="120" t="s">
        <v>100</v>
      </c>
      <c r="B21" s="71">
        <v>1104856095</v>
      </c>
      <c r="C21" s="189" t="s">
        <v>227</v>
      </c>
      <c r="D21" s="149">
        <v>45078</v>
      </c>
      <c r="E21" s="149">
        <v>45443</v>
      </c>
      <c r="F21" s="71">
        <v>43</v>
      </c>
      <c r="G21" s="150">
        <v>5039</v>
      </c>
      <c r="H21" s="151">
        <v>0</v>
      </c>
      <c r="I21" s="151">
        <v>0</v>
      </c>
      <c r="J21" s="151">
        <v>5039</v>
      </c>
      <c r="K21" s="71">
        <v>0</v>
      </c>
      <c r="L21" s="138">
        <v>247719</v>
      </c>
      <c r="M21" s="138">
        <v>3855267.5979919317</v>
      </c>
      <c r="N21" s="152">
        <v>1.147448614629484</v>
      </c>
      <c r="O21" s="138">
        <v>4423721.4643417802</v>
      </c>
      <c r="P21" s="138">
        <v>2885567.4020080683</v>
      </c>
      <c r="Q21" s="152">
        <v>1.1293194075140089</v>
      </c>
      <c r="R21" s="110">
        <v>1061</v>
      </c>
      <c r="S21" s="138">
        <v>1061</v>
      </c>
      <c r="T21" s="138">
        <v>3258727.2687774897</v>
      </c>
      <c r="U21" s="138">
        <v>7930167.7331192698</v>
      </c>
      <c r="V21" s="138" t="s">
        <v>228</v>
      </c>
      <c r="W21" s="138">
        <v>1573.7582324110479</v>
      </c>
      <c r="X21" s="153">
        <v>0</v>
      </c>
      <c r="Y21" s="138" t="s">
        <v>228</v>
      </c>
      <c r="Z21" s="138">
        <v>791.7</v>
      </c>
      <c r="AA21" s="138" t="s">
        <v>228</v>
      </c>
      <c r="AB21" s="138" t="s">
        <v>228</v>
      </c>
      <c r="AC21" s="138">
        <v>771.22</v>
      </c>
      <c r="AD21" s="138">
        <v>791.7</v>
      </c>
      <c r="AE21" s="138">
        <v>781.25</v>
      </c>
    </row>
    <row r="22" spans="1:32" x14ac:dyDescent="0.45">
      <c r="A22" s="120" t="s">
        <v>101</v>
      </c>
      <c r="B22" s="71">
        <v>1609872415</v>
      </c>
      <c r="C22" s="137" t="s">
        <v>64</v>
      </c>
      <c r="D22" s="149">
        <v>45108</v>
      </c>
      <c r="E22" s="149">
        <v>45473</v>
      </c>
      <c r="F22" s="71">
        <v>42</v>
      </c>
      <c r="G22" s="150">
        <v>21580</v>
      </c>
      <c r="H22" s="151">
        <v>2520</v>
      </c>
      <c r="I22" s="151">
        <v>17493</v>
      </c>
      <c r="J22" s="151">
        <v>1567</v>
      </c>
      <c r="K22" s="71">
        <v>66</v>
      </c>
      <c r="L22" s="138">
        <v>153925</v>
      </c>
      <c r="M22" s="138">
        <v>5816981.1153010363</v>
      </c>
      <c r="N22" s="152">
        <v>1.1440216899466682</v>
      </c>
      <c r="O22" s="138">
        <v>6654752.5659145461</v>
      </c>
      <c r="P22" s="138">
        <v>4353858.8846989637</v>
      </c>
      <c r="Q22" s="152">
        <v>1.1255123566230012</v>
      </c>
      <c r="R22" s="110">
        <v>1061</v>
      </c>
      <c r="S22" s="138">
        <v>1061</v>
      </c>
      <c r="T22" s="138">
        <v>4891532.8454366401</v>
      </c>
      <c r="U22" s="138">
        <v>11700210.411351185</v>
      </c>
      <c r="V22" s="138">
        <v>0.62</v>
      </c>
      <c r="W22" s="138">
        <v>542.79842499310405</v>
      </c>
      <c r="X22" s="153">
        <v>0.92738646895273402</v>
      </c>
      <c r="Y22" s="138">
        <v>542.79842499310405</v>
      </c>
      <c r="Z22" s="138">
        <v>542.79842499310405</v>
      </c>
      <c r="AA22" s="138">
        <v>542.79842499310405</v>
      </c>
      <c r="AB22" s="138">
        <v>759.49701386165668</v>
      </c>
      <c r="AC22" s="138">
        <v>609.82410006076293</v>
      </c>
      <c r="AD22" s="138">
        <v>609.82410006076293</v>
      </c>
      <c r="AE22" s="138">
        <v>599.37410006076288</v>
      </c>
    </row>
    <row r="23" spans="1:32" x14ac:dyDescent="0.45">
      <c r="A23" s="120" t="s">
        <v>102</v>
      </c>
      <c r="B23" s="71">
        <v>1962556290</v>
      </c>
      <c r="C23" s="189" t="s">
        <v>227</v>
      </c>
      <c r="D23" s="149">
        <v>45108</v>
      </c>
      <c r="E23" s="149">
        <v>45473</v>
      </c>
      <c r="F23" s="71">
        <v>42</v>
      </c>
      <c r="G23" s="150">
        <v>56848</v>
      </c>
      <c r="H23" s="151">
        <v>3235</v>
      </c>
      <c r="I23" s="151">
        <v>47131</v>
      </c>
      <c r="J23" s="151">
        <v>6482</v>
      </c>
      <c r="K23" s="71">
        <v>192</v>
      </c>
      <c r="L23" s="138">
        <v>0</v>
      </c>
      <c r="M23" s="138">
        <v>36593011.678145617</v>
      </c>
      <c r="N23" s="152">
        <v>1.1440216899466682</v>
      </c>
      <c r="O23" s="138">
        <v>41863199.060270317</v>
      </c>
      <c r="P23" s="138">
        <v>27388916.321854383</v>
      </c>
      <c r="Q23" s="152">
        <v>1.1255123566230012</v>
      </c>
      <c r="R23" s="110">
        <v>1061</v>
      </c>
      <c r="S23" s="138">
        <v>1061</v>
      </c>
      <c r="T23" s="138">
        <v>30800995.381568123</v>
      </c>
      <c r="U23" s="138">
        <v>72664194.441838443</v>
      </c>
      <c r="V23" s="138" t="s">
        <v>228</v>
      </c>
      <c r="W23" s="138">
        <v>1278.2190128384191</v>
      </c>
      <c r="X23" s="153">
        <v>0</v>
      </c>
      <c r="Y23" s="138" t="s">
        <v>228</v>
      </c>
      <c r="Z23" s="138">
        <v>791.7</v>
      </c>
      <c r="AA23" s="138" t="s">
        <v>228</v>
      </c>
      <c r="AB23" s="138" t="s">
        <v>228</v>
      </c>
      <c r="AC23" s="138">
        <v>818.96</v>
      </c>
      <c r="AD23" s="138">
        <v>818.96</v>
      </c>
      <c r="AE23" s="138">
        <v>808.51</v>
      </c>
      <c r="AF23" s="106">
        <v>3.17</v>
      </c>
    </row>
    <row r="24" spans="1:32" x14ac:dyDescent="0.45">
      <c r="A24" s="120" t="s">
        <v>103</v>
      </c>
      <c r="B24" s="71">
        <v>1619141298</v>
      </c>
      <c r="C24" s="189" t="s">
        <v>227</v>
      </c>
      <c r="D24" s="149">
        <v>45292</v>
      </c>
      <c r="E24" s="149">
        <v>45657</v>
      </c>
      <c r="F24" s="71">
        <v>36</v>
      </c>
      <c r="G24" s="150">
        <v>9097</v>
      </c>
      <c r="H24" s="151">
        <v>0</v>
      </c>
      <c r="I24" s="151">
        <v>0</v>
      </c>
      <c r="J24" s="151">
        <v>9097</v>
      </c>
      <c r="K24" s="71">
        <v>28</v>
      </c>
      <c r="L24" s="138">
        <v>412430</v>
      </c>
      <c r="M24" s="138">
        <v>6697543.8437819881</v>
      </c>
      <c r="N24" s="152">
        <v>1.1011660344527212</v>
      </c>
      <c r="O24" s="138">
        <v>7375107.7950306479</v>
      </c>
      <c r="P24" s="138">
        <v>5012937.1562180119</v>
      </c>
      <c r="Q24" s="152">
        <v>1.0977052592411716</v>
      </c>
      <c r="R24" s="110">
        <v>1342</v>
      </c>
      <c r="S24" s="138">
        <v>1422</v>
      </c>
      <c r="T24" s="138">
        <v>5501296.1078047482</v>
      </c>
      <c r="U24" s="138">
        <v>13288833.902835395</v>
      </c>
      <c r="V24" s="138" t="s">
        <v>228</v>
      </c>
      <c r="W24" s="138">
        <v>1460.7929980032313</v>
      </c>
      <c r="X24" s="153">
        <v>0</v>
      </c>
      <c r="Y24" s="138" t="s">
        <v>228</v>
      </c>
      <c r="Z24" s="138">
        <v>791.7</v>
      </c>
      <c r="AA24" s="138" t="s">
        <v>228</v>
      </c>
      <c r="AB24" s="138" t="s">
        <v>228</v>
      </c>
      <c r="AC24" s="138">
        <v>771.22</v>
      </c>
      <c r="AD24" s="138">
        <v>791.7</v>
      </c>
      <c r="AE24" s="138">
        <v>781.25</v>
      </c>
    </row>
    <row r="25" spans="1:32" x14ac:dyDescent="0.45">
      <c r="A25" s="120" t="s">
        <v>104</v>
      </c>
      <c r="B25" s="71">
        <v>1225228646</v>
      </c>
      <c r="C25" s="137" t="s">
        <v>64</v>
      </c>
      <c r="D25" s="149">
        <v>45200</v>
      </c>
      <c r="E25" s="149">
        <v>45565</v>
      </c>
      <c r="F25" s="71">
        <v>39</v>
      </c>
      <c r="G25" s="150">
        <v>11400</v>
      </c>
      <c r="H25" s="151">
        <v>49</v>
      </c>
      <c r="I25" s="151">
        <v>2366</v>
      </c>
      <c r="J25" s="151">
        <v>8985</v>
      </c>
      <c r="K25" s="71">
        <v>48</v>
      </c>
      <c r="L25" s="138">
        <v>270625</v>
      </c>
      <c r="M25" s="138">
        <v>4717882.6757007483</v>
      </c>
      <c r="N25" s="152">
        <v>1.1282015967745742</v>
      </c>
      <c r="O25" s="138">
        <v>5322722.7681206847</v>
      </c>
      <c r="P25" s="138">
        <v>3531212.3242992517</v>
      </c>
      <c r="Q25" s="152">
        <v>1.1095049001676238</v>
      </c>
      <c r="R25" s="110">
        <v>1061</v>
      </c>
      <c r="S25" s="138">
        <v>1061</v>
      </c>
      <c r="T25" s="138">
        <v>3912320.5117865875</v>
      </c>
      <c r="U25" s="138">
        <v>9505668.2799072713</v>
      </c>
      <c r="V25" s="138" t="s">
        <v>228</v>
      </c>
      <c r="W25" s="138">
        <v>833.83055086905892</v>
      </c>
      <c r="X25" s="153">
        <v>0.21184210526315789</v>
      </c>
      <c r="Y25" s="138">
        <v>833.83055086905892</v>
      </c>
      <c r="Z25" s="138">
        <v>791.7</v>
      </c>
      <c r="AA25" s="138">
        <v>791.7</v>
      </c>
      <c r="AB25" s="138">
        <v>759.49701386165668</v>
      </c>
      <c r="AC25" s="138">
        <v>744.43277291523327</v>
      </c>
      <c r="AD25" s="138">
        <v>791.7</v>
      </c>
      <c r="AE25" s="138">
        <v>781.25</v>
      </c>
    </row>
    <row r="26" spans="1:32" x14ac:dyDescent="0.45">
      <c r="A26" s="120" t="s">
        <v>105</v>
      </c>
      <c r="B26" s="71">
        <v>1417930249</v>
      </c>
      <c r="C26" s="189" t="s">
        <v>227</v>
      </c>
      <c r="D26" s="149">
        <v>45200</v>
      </c>
      <c r="E26" s="149">
        <v>45565</v>
      </c>
      <c r="F26" s="71">
        <v>39</v>
      </c>
      <c r="G26" s="150">
        <v>5197</v>
      </c>
      <c r="H26" s="151">
        <v>102</v>
      </c>
      <c r="I26" s="151">
        <v>1309</v>
      </c>
      <c r="J26" s="151">
        <v>3786</v>
      </c>
      <c r="K26" s="71">
        <v>30</v>
      </c>
      <c r="L26" s="138">
        <v>571933</v>
      </c>
      <c r="M26" s="138">
        <v>3239011.9228849914</v>
      </c>
      <c r="N26" s="152">
        <v>1.1282015967745742</v>
      </c>
      <c r="O26" s="138">
        <v>3654258.4233707315</v>
      </c>
      <c r="P26" s="138">
        <v>2424316.0771150086</v>
      </c>
      <c r="Q26" s="152">
        <v>1.1095049001676238</v>
      </c>
      <c r="R26" s="110">
        <v>1061</v>
      </c>
      <c r="S26" s="138">
        <v>1061</v>
      </c>
      <c r="T26" s="138">
        <v>2686305.0261419178</v>
      </c>
      <c r="U26" s="138">
        <v>6912496.4495126493</v>
      </c>
      <c r="V26" s="138" t="s">
        <v>228</v>
      </c>
      <c r="W26" s="138">
        <v>1330.0936019843466</v>
      </c>
      <c r="X26" s="153">
        <v>0.27150279007119493</v>
      </c>
      <c r="Y26" s="138">
        <v>1330.0936019843466</v>
      </c>
      <c r="Z26" s="138">
        <v>791.7</v>
      </c>
      <c r="AA26" s="138" t="s">
        <v>228</v>
      </c>
      <c r="AB26" s="138" t="s">
        <v>228</v>
      </c>
      <c r="AC26" s="138">
        <v>771.22</v>
      </c>
      <c r="AD26" s="138">
        <v>791.7</v>
      </c>
      <c r="AE26" s="138">
        <v>781.25</v>
      </c>
    </row>
    <row r="27" spans="1:32" x14ac:dyDescent="0.45">
      <c r="A27" s="120" t="s">
        <v>106</v>
      </c>
      <c r="B27" s="71">
        <v>1467585471</v>
      </c>
      <c r="C27" s="137" t="s">
        <v>64</v>
      </c>
      <c r="D27" s="149">
        <v>45108</v>
      </c>
      <c r="E27" s="149">
        <v>45473</v>
      </c>
      <c r="F27" s="71">
        <v>42</v>
      </c>
      <c r="G27" s="150">
        <v>32599</v>
      </c>
      <c r="H27" s="151">
        <v>15746</v>
      </c>
      <c r="I27" s="151">
        <v>0</v>
      </c>
      <c r="J27" s="151">
        <v>16853</v>
      </c>
      <c r="K27" s="71">
        <v>119</v>
      </c>
      <c r="L27" s="138">
        <v>154807</v>
      </c>
      <c r="M27" s="138">
        <v>13846374.93490676</v>
      </c>
      <c r="N27" s="152">
        <v>1.1440216899466682</v>
      </c>
      <c r="O27" s="138">
        <v>15840553.25266722</v>
      </c>
      <c r="P27" s="138">
        <v>10363651.06509324</v>
      </c>
      <c r="Q27" s="152">
        <v>1.1255123566230012</v>
      </c>
      <c r="R27" s="110">
        <v>1061</v>
      </c>
      <c r="S27" s="138">
        <v>1061</v>
      </c>
      <c r="T27" s="138">
        <v>11648570.268856706</v>
      </c>
      <c r="U27" s="138">
        <v>27643930.521523926</v>
      </c>
      <c r="V27" s="138" t="s">
        <v>228</v>
      </c>
      <c r="W27" s="138">
        <v>847.99934113082998</v>
      </c>
      <c r="X27" s="153">
        <v>0.4830209515629314</v>
      </c>
      <c r="Y27" s="138">
        <v>847.99934113082998</v>
      </c>
      <c r="Z27" s="138">
        <v>791.7</v>
      </c>
      <c r="AA27" s="138">
        <v>791.7</v>
      </c>
      <c r="AB27" s="138">
        <v>759.49701386165668</v>
      </c>
      <c r="AC27" s="138">
        <v>771.22</v>
      </c>
      <c r="AD27" s="138">
        <v>791.7</v>
      </c>
      <c r="AE27" s="138">
        <v>781.25</v>
      </c>
    </row>
    <row r="28" spans="1:32" x14ac:dyDescent="0.45">
      <c r="A28" s="120" t="s">
        <v>107</v>
      </c>
      <c r="B28" s="71">
        <v>1639565088</v>
      </c>
      <c r="C28" s="137" t="s">
        <v>64</v>
      </c>
      <c r="D28" s="149">
        <v>45078</v>
      </c>
      <c r="E28" s="149">
        <v>45443</v>
      </c>
      <c r="F28" s="71">
        <v>43</v>
      </c>
      <c r="G28" s="150">
        <v>27999</v>
      </c>
      <c r="H28" s="151">
        <v>1198</v>
      </c>
      <c r="I28" s="151">
        <v>24706</v>
      </c>
      <c r="J28" s="151">
        <v>2095</v>
      </c>
      <c r="K28" s="71">
        <v>95</v>
      </c>
      <c r="L28" s="138">
        <v>353787</v>
      </c>
      <c r="M28" s="138">
        <v>6481999.8843974285</v>
      </c>
      <c r="N28" s="152">
        <v>1.147448614629484</v>
      </c>
      <c r="O28" s="138">
        <v>7437761.7873803051</v>
      </c>
      <c r="P28" s="138">
        <v>4851608.1156025715</v>
      </c>
      <c r="Q28" s="152">
        <v>1.1293194075140089</v>
      </c>
      <c r="R28" s="110">
        <v>1061</v>
      </c>
      <c r="S28" s="138">
        <v>1061</v>
      </c>
      <c r="T28" s="138">
        <v>5465980.4529220788</v>
      </c>
      <c r="U28" s="138">
        <v>13257529.240302384</v>
      </c>
      <c r="V28" s="138" t="s">
        <v>228</v>
      </c>
      <c r="W28" s="138">
        <v>473.50009787143767</v>
      </c>
      <c r="X28" s="153">
        <v>0.92517589913925502</v>
      </c>
      <c r="Y28" s="138">
        <v>473.50009787143767</v>
      </c>
      <c r="Z28" s="138">
        <v>473.50009787143767</v>
      </c>
      <c r="AA28" s="138">
        <v>473.50009787143767</v>
      </c>
      <c r="AB28" s="138">
        <v>759.49701386165668</v>
      </c>
      <c r="AC28" s="138">
        <v>497.2409374796004</v>
      </c>
      <c r="AD28" s="138">
        <v>497.2409374796004</v>
      </c>
      <c r="AE28" s="138">
        <v>486.79093747960042</v>
      </c>
    </row>
    <row r="29" spans="1:32" x14ac:dyDescent="0.45">
      <c r="A29" s="120" t="s">
        <v>108</v>
      </c>
      <c r="B29" s="71">
        <v>1336164151</v>
      </c>
      <c r="C29" s="189" t="s">
        <v>227</v>
      </c>
      <c r="D29" s="149">
        <v>45292</v>
      </c>
      <c r="E29" s="149">
        <v>45657</v>
      </c>
      <c r="F29" s="71">
        <v>36</v>
      </c>
      <c r="G29" s="150">
        <v>27397</v>
      </c>
      <c r="H29" s="151">
        <v>0</v>
      </c>
      <c r="I29" s="151">
        <v>0</v>
      </c>
      <c r="J29" s="151">
        <v>27397</v>
      </c>
      <c r="K29" s="71">
        <v>89</v>
      </c>
      <c r="L29" s="138">
        <v>425003</v>
      </c>
      <c r="M29" s="138">
        <v>20210022.47042485</v>
      </c>
      <c r="N29" s="152">
        <v>1.1011660344527212</v>
      </c>
      <c r="O29" s="138">
        <v>22254590.299958121</v>
      </c>
      <c r="P29" s="138">
        <v>15126675.52957515</v>
      </c>
      <c r="Q29" s="152">
        <v>1.0977052592411716</v>
      </c>
      <c r="R29" s="110">
        <v>1342</v>
      </c>
      <c r="S29" s="138">
        <v>1422</v>
      </c>
      <c r="T29" s="138">
        <v>16600081.562896131</v>
      </c>
      <c r="U29" s="138">
        <v>39279674.86285425</v>
      </c>
      <c r="V29" s="138" t="s">
        <v>228</v>
      </c>
      <c r="W29" s="138">
        <v>1433.7217528508322</v>
      </c>
      <c r="X29" s="153">
        <v>0</v>
      </c>
      <c r="Y29" s="138" t="s">
        <v>228</v>
      </c>
      <c r="Z29" s="138">
        <v>791.7</v>
      </c>
      <c r="AA29" s="138" t="s">
        <v>228</v>
      </c>
      <c r="AB29" s="138" t="s">
        <v>228</v>
      </c>
      <c r="AC29" s="138">
        <v>771.22</v>
      </c>
      <c r="AD29" s="138">
        <v>791.7</v>
      </c>
      <c r="AE29" s="138">
        <v>781.25</v>
      </c>
    </row>
    <row r="30" spans="1:32" x14ac:dyDescent="0.45">
      <c r="A30" s="120" t="s">
        <v>109</v>
      </c>
      <c r="B30" s="71">
        <v>1750309837</v>
      </c>
      <c r="C30" s="189" t="s">
        <v>227</v>
      </c>
      <c r="D30" s="149">
        <v>45292</v>
      </c>
      <c r="E30" s="149">
        <v>45657</v>
      </c>
      <c r="F30" s="71">
        <v>36</v>
      </c>
      <c r="G30" s="150">
        <v>15560</v>
      </c>
      <c r="H30" s="151">
        <v>0</v>
      </c>
      <c r="I30" s="151">
        <v>0</v>
      </c>
      <c r="J30" s="151">
        <v>15560</v>
      </c>
      <c r="K30" s="71">
        <v>48</v>
      </c>
      <c r="L30" s="138">
        <v>962624</v>
      </c>
      <c r="M30" s="138">
        <v>12831859.968363183</v>
      </c>
      <c r="N30" s="152">
        <v>1.1011660344527212</v>
      </c>
      <c r="O30" s="138">
        <v>14130008.356015107</v>
      </c>
      <c r="P30" s="138">
        <v>9604313.0316368174</v>
      </c>
      <c r="Q30" s="152">
        <v>1.0977052592411716</v>
      </c>
      <c r="R30" s="110">
        <v>1342</v>
      </c>
      <c r="S30" s="138">
        <v>1422</v>
      </c>
      <c r="T30" s="138">
        <v>10540251.144246975</v>
      </c>
      <c r="U30" s="138">
        <v>25632883.500262082</v>
      </c>
      <c r="V30" s="138" t="s">
        <v>228</v>
      </c>
      <c r="W30" s="138">
        <v>1647.3575514307252</v>
      </c>
      <c r="X30" s="153">
        <v>0</v>
      </c>
      <c r="Y30" s="138" t="s">
        <v>228</v>
      </c>
      <c r="Z30" s="138">
        <v>791.7</v>
      </c>
      <c r="AA30" s="138" t="s">
        <v>228</v>
      </c>
      <c r="AB30" s="138" t="s">
        <v>228</v>
      </c>
      <c r="AC30" s="138">
        <v>771.22</v>
      </c>
      <c r="AD30" s="138">
        <v>791.7</v>
      </c>
      <c r="AE30" s="138">
        <v>781.25</v>
      </c>
    </row>
    <row r="31" spans="1:32" x14ac:dyDescent="0.45">
      <c r="A31" s="120" t="s">
        <v>110</v>
      </c>
      <c r="B31" s="71">
        <v>1275525115</v>
      </c>
      <c r="C31" s="189" t="s">
        <v>227</v>
      </c>
      <c r="D31" s="149">
        <v>45108</v>
      </c>
      <c r="E31" s="149">
        <v>45473</v>
      </c>
      <c r="F31" s="71">
        <v>42</v>
      </c>
      <c r="G31" s="150">
        <v>124146</v>
      </c>
      <c r="H31" s="151">
        <v>3175</v>
      </c>
      <c r="I31" s="151">
        <v>86821</v>
      </c>
      <c r="J31" s="151">
        <v>34150</v>
      </c>
      <c r="K31" s="71">
        <v>362</v>
      </c>
      <c r="L31" s="138">
        <v>7079926</v>
      </c>
      <c r="M31" s="138">
        <v>44934433.021636985</v>
      </c>
      <c r="N31" s="152">
        <v>1.1440216899466682</v>
      </c>
      <c r="O31" s="138">
        <v>51405966.002208516</v>
      </c>
      <c r="P31" s="138">
        <v>33632252.978363015</v>
      </c>
      <c r="Q31" s="152">
        <v>1.1255123566230012</v>
      </c>
      <c r="R31" s="110">
        <v>1061</v>
      </c>
      <c r="S31" s="138">
        <v>1061</v>
      </c>
      <c r="T31" s="138">
        <v>37805309.271261834</v>
      </c>
      <c r="U31" s="138">
        <v>96291201.273470342</v>
      </c>
      <c r="V31" s="138" t="s">
        <v>228</v>
      </c>
      <c r="W31" s="138">
        <v>775.62870550376442</v>
      </c>
      <c r="X31" s="153">
        <v>0.72492065793501204</v>
      </c>
      <c r="Y31" s="138">
        <v>775.62870550376442</v>
      </c>
      <c r="Z31" s="138">
        <v>775.62870550376442</v>
      </c>
      <c r="AA31" s="138" t="s">
        <v>228</v>
      </c>
      <c r="AB31" s="138" t="s">
        <v>228</v>
      </c>
      <c r="AC31" s="138">
        <v>755.07969665012808</v>
      </c>
      <c r="AD31" s="138">
        <v>775.62870550376442</v>
      </c>
      <c r="AE31" s="138">
        <v>765.17870550376438</v>
      </c>
    </row>
    <row r="32" spans="1:32" x14ac:dyDescent="0.45">
      <c r="A32" s="120" t="s">
        <v>111</v>
      </c>
      <c r="B32" s="71">
        <v>1841342334</v>
      </c>
      <c r="C32" s="137" t="s">
        <v>64</v>
      </c>
      <c r="D32" s="149">
        <v>45108</v>
      </c>
      <c r="E32" s="149">
        <v>45473</v>
      </c>
      <c r="F32" s="71">
        <v>42</v>
      </c>
      <c r="G32" s="150">
        <v>5822</v>
      </c>
      <c r="H32" s="151">
        <v>543</v>
      </c>
      <c r="I32" s="151">
        <v>2249</v>
      </c>
      <c r="J32" s="151">
        <v>3030</v>
      </c>
      <c r="K32" s="71">
        <v>16</v>
      </c>
      <c r="L32" s="138">
        <v>142111</v>
      </c>
      <c r="M32" s="138">
        <v>2476145.5426640343</v>
      </c>
      <c r="N32" s="152">
        <v>1.1440216899466682</v>
      </c>
      <c r="O32" s="138">
        <v>2832764.2082724185</v>
      </c>
      <c r="P32" s="138">
        <v>1853330.4573359657</v>
      </c>
      <c r="Q32" s="152">
        <v>1.1255123566230012</v>
      </c>
      <c r="R32" s="110">
        <v>1061</v>
      </c>
      <c r="S32" s="138">
        <v>1061</v>
      </c>
      <c r="T32" s="138">
        <v>2083815.6328713552</v>
      </c>
      <c r="U32" s="138">
        <v>5058690.8411437739</v>
      </c>
      <c r="V32" s="138">
        <v>0.56000000000000005</v>
      </c>
      <c r="W32" s="138">
        <v>869.45227776430329</v>
      </c>
      <c r="X32" s="153">
        <v>0.4795602885606321</v>
      </c>
      <c r="Y32" s="138">
        <v>869.45227776430329</v>
      </c>
      <c r="Z32" s="138">
        <v>791.7</v>
      </c>
      <c r="AA32" s="138">
        <v>791.7</v>
      </c>
      <c r="AB32" s="138">
        <v>759.49701386165668</v>
      </c>
      <c r="AC32" s="138">
        <v>705.62139420257563</v>
      </c>
      <c r="AD32" s="138">
        <v>791.7</v>
      </c>
      <c r="AE32" s="138">
        <v>781.25</v>
      </c>
    </row>
    <row r="33" spans="1:31" x14ac:dyDescent="0.45">
      <c r="A33" s="120" t="s">
        <v>112</v>
      </c>
      <c r="B33" s="71">
        <v>1487681631</v>
      </c>
      <c r="C33" s="189" t="s">
        <v>227</v>
      </c>
      <c r="D33" s="149">
        <v>45170</v>
      </c>
      <c r="E33" s="149">
        <v>45535</v>
      </c>
      <c r="F33" s="71">
        <v>40</v>
      </c>
      <c r="G33" s="150">
        <v>84726</v>
      </c>
      <c r="H33" s="151">
        <v>4262</v>
      </c>
      <c r="I33" s="151">
        <v>68364</v>
      </c>
      <c r="J33" s="151">
        <v>12100</v>
      </c>
      <c r="K33" s="71">
        <v>239</v>
      </c>
      <c r="L33" s="138">
        <v>3572189</v>
      </c>
      <c r="M33" s="138">
        <v>21559069.156468675</v>
      </c>
      <c r="N33" s="152">
        <v>1.135324318269413</v>
      </c>
      <c r="O33" s="138">
        <v>24476535.492590927</v>
      </c>
      <c r="P33" s="138">
        <v>16136401.843531325</v>
      </c>
      <c r="Q33" s="152">
        <v>1.1135390172877735</v>
      </c>
      <c r="R33" s="110">
        <v>1342</v>
      </c>
      <c r="S33" s="138">
        <v>1422</v>
      </c>
      <c r="T33" s="138">
        <v>17951216.774079643</v>
      </c>
      <c r="U33" s="138">
        <v>45999941.26667057</v>
      </c>
      <c r="V33" s="138" t="s">
        <v>228</v>
      </c>
      <c r="W33" s="138">
        <v>542.92591727062018</v>
      </c>
      <c r="X33" s="153">
        <v>0.85718669593749264</v>
      </c>
      <c r="Y33" s="138">
        <v>542.92591727062018</v>
      </c>
      <c r="Z33" s="138">
        <v>542.92591727062018</v>
      </c>
      <c r="AA33" s="138" t="s">
        <v>228</v>
      </c>
      <c r="AB33" s="138" t="s">
        <v>228</v>
      </c>
      <c r="AC33" s="138">
        <v>568.8506624566196</v>
      </c>
      <c r="AD33" s="138">
        <v>568.8506624566196</v>
      </c>
      <c r="AE33" s="138">
        <v>558.40066245661956</v>
      </c>
    </row>
    <row r="34" spans="1:31" x14ac:dyDescent="0.45">
      <c r="A34" s="120" t="s">
        <v>113</v>
      </c>
      <c r="B34" s="71">
        <v>1093776338</v>
      </c>
      <c r="C34" s="189" t="s">
        <v>227</v>
      </c>
      <c r="D34" s="149">
        <v>45108</v>
      </c>
      <c r="E34" s="149">
        <v>45473</v>
      </c>
      <c r="F34" s="71">
        <v>42</v>
      </c>
      <c r="G34" s="150">
        <v>4129</v>
      </c>
      <c r="H34" s="151">
        <v>414</v>
      </c>
      <c r="I34" s="151">
        <v>343</v>
      </c>
      <c r="J34" s="151">
        <v>3372</v>
      </c>
      <c r="K34" s="71">
        <v>38</v>
      </c>
      <c r="L34" s="138">
        <v>81005</v>
      </c>
      <c r="M34" s="138">
        <v>1402440.6754254559</v>
      </c>
      <c r="N34" s="152">
        <v>1.1440216899466682</v>
      </c>
      <c r="O34" s="138">
        <v>1604422.5515501769</v>
      </c>
      <c r="P34" s="138">
        <v>1049690.3245745441</v>
      </c>
      <c r="Q34" s="152">
        <v>1.1255123566230012</v>
      </c>
      <c r="R34" s="110">
        <v>1061</v>
      </c>
      <c r="S34" s="138">
        <v>1061</v>
      </c>
      <c r="T34" s="138">
        <v>1176379.0237419319</v>
      </c>
      <c r="U34" s="138">
        <v>2861806.5752921086</v>
      </c>
      <c r="V34" s="138" t="s">
        <v>228</v>
      </c>
      <c r="W34" s="138">
        <v>693.09919479101688</v>
      </c>
      <c r="X34" s="153">
        <v>0.18333736982320176</v>
      </c>
      <c r="Y34" s="138" t="s">
        <v>228</v>
      </c>
      <c r="Z34" s="138">
        <v>693.09919479101688</v>
      </c>
      <c r="AA34" s="138" t="s">
        <v>228</v>
      </c>
      <c r="AB34" s="138" t="s">
        <v>228</v>
      </c>
      <c r="AC34" s="138">
        <v>771.22</v>
      </c>
      <c r="AD34" s="138">
        <v>771.22</v>
      </c>
      <c r="AE34" s="138">
        <v>760.77</v>
      </c>
    </row>
    <row r="35" spans="1:31" x14ac:dyDescent="0.45">
      <c r="A35" s="120" t="s">
        <v>114</v>
      </c>
      <c r="B35" s="71">
        <v>1427049964</v>
      </c>
      <c r="C35" s="137" t="s">
        <v>64</v>
      </c>
      <c r="D35" s="149">
        <v>45108</v>
      </c>
      <c r="E35" s="149">
        <v>45473</v>
      </c>
      <c r="F35" s="71">
        <v>42</v>
      </c>
      <c r="G35" s="150">
        <v>15665</v>
      </c>
      <c r="H35" s="151">
        <v>755</v>
      </c>
      <c r="I35" s="151">
        <v>11663</v>
      </c>
      <c r="J35" s="151">
        <v>3247</v>
      </c>
      <c r="K35" s="71">
        <v>74</v>
      </c>
      <c r="L35" s="138">
        <v>250353</v>
      </c>
      <c r="M35" s="138">
        <v>3987337.0513650374</v>
      </c>
      <c r="N35" s="152">
        <v>1.1440216899466682</v>
      </c>
      <c r="O35" s="138">
        <v>4561600.0718895951</v>
      </c>
      <c r="P35" s="138">
        <v>2984417.9486349626</v>
      </c>
      <c r="Q35" s="152">
        <v>1.1255123566230012</v>
      </c>
      <c r="R35" s="110">
        <v>1061</v>
      </c>
      <c r="S35" s="138">
        <v>1061</v>
      </c>
      <c r="T35" s="138">
        <v>3349144.8013482215</v>
      </c>
      <c r="U35" s="138">
        <v>8161097.8732378166</v>
      </c>
      <c r="V35" s="138">
        <v>1.17</v>
      </c>
      <c r="W35" s="138">
        <v>522.14656388367803</v>
      </c>
      <c r="X35" s="153">
        <v>0.79272263006702837</v>
      </c>
      <c r="Y35" s="138">
        <v>522.14656388367803</v>
      </c>
      <c r="Z35" s="138">
        <v>522.14656388367803</v>
      </c>
      <c r="AA35" s="138">
        <v>522.14656388367803</v>
      </c>
      <c r="AB35" s="138">
        <v>759.49701386165668</v>
      </c>
      <c r="AC35" s="138">
        <v>503.36533511124509</v>
      </c>
      <c r="AD35" s="138">
        <v>522.14656388367803</v>
      </c>
      <c r="AE35" s="138">
        <v>511.69656388367804</v>
      </c>
    </row>
    <row r="36" spans="1:31" x14ac:dyDescent="0.45">
      <c r="A36" s="120" t="s">
        <v>115</v>
      </c>
      <c r="B36" s="71">
        <v>1629240577</v>
      </c>
      <c r="C36" s="189" t="s">
        <v>227</v>
      </c>
      <c r="D36" s="149">
        <v>45170</v>
      </c>
      <c r="E36" s="149">
        <v>45535</v>
      </c>
      <c r="F36" s="71">
        <v>40</v>
      </c>
      <c r="G36" s="150">
        <v>4280</v>
      </c>
      <c r="H36" s="151">
        <v>200</v>
      </c>
      <c r="I36" s="151">
        <v>731</v>
      </c>
      <c r="J36" s="151">
        <v>3349</v>
      </c>
      <c r="K36" s="71">
        <v>24</v>
      </c>
      <c r="L36" s="138">
        <v>59665</v>
      </c>
      <c r="M36" s="138">
        <v>1621172.5576105593</v>
      </c>
      <c r="N36" s="152">
        <v>1.135324318269413</v>
      </c>
      <c r="O36" s="138">
        <v>1840556.628766289</v>
      </c>
      <c r="P36" s="138">
        <v>1213405.4423894407</v>
      </c>
      <c r="Q36" s="152">
        <v>1.1135390172877735</v>
      </c>
      <c r="R36" s="110">
        <v>1061</v>
      </c>
      <c r="S36" s="138">
        <v>1061</v>
      </c>
      <c r="T36" s="138">
        <v>1348283.1463537579</v>
      </c>
      <c r="U36" s="138">
        <v>3248504.7751200469</v>
      </c>
      <c r="V36" s="138" t="s">
        <v>228</v>
      </c>
      <c r="W36" s="138">
        <v>758.99644278505764</v>
      </c>
      <c r="X36" s="153">
        <v>0.21752336448598131</v>
      </c>
      <c r="Y36" s="138">
        <v>758.99644278505764</v>
      </c>
      <c r="Z36" s="138">
        <v>758.99644278505764</v>
      </c>
      <c r="AA36" s="138" t="s">
        <v>228</v>
      </c>
      <c r="AB36" s="138" t="s">
        <v>228</v>
      </c>
      <c r="AC36" s="138">
        <v>771.22</v>
      </c>
      <c r="AD36" s="138">
        <v>771.22</v>
      </c>
      <c r="AE36" s="138">
        <v>760.77</v>
      </c>
    </row>
    <row r="37" spans="1:31" x14ac:dyDescent="0.45">
      <c r="A37" s="120" t="s">
        <v>155</v>
      </c>
      <c r="B37" s="71">
        <v>1780183335</v>
      </c>
      <c r="C37" s="189" t="s">
        <v>227</v>
      </c>
      <c r="D37" s="149">
        <v>45292</v>
      </c>
      <c r="E37" s="149">
        <v>45657</v>
      </c>
      <c r="F37" s="71">
        <v>36</v>
      </c>
      <c r="G37" s="150">
        <v>12078</v>
      </c>
      <c r="H37" s="151">
        <v>0</v>
      </c>
      <c r="I37" s="151">
        <v>0</v>
      </c>
      <c r="J37" s="151">
        <v>12078</v>
      </c>
      <c r="K37" s="71">
        <v>33</v>
      </c>
      <c r="L37" s="138">
        <v>323641</v>
      </c>
      <c r="M37" s="138">
        <v>2361096.6459009396</v>
      </c>
      <c r="N37" s="152">
        <v>1.1011660344527212</v>
      </c>
      <c r="O37" s="138">
        <v>2599959.4305263585</v>
      </c>
      <c r="P37" s="138">
        <v>1767219.3540990604</v>
      </c>
      <c r="Q37" s="152">
        <v>1.0977052592411716</v>
      </c>
      <c r="R37" s="110">
        <v>1342</v>
      </c>
      <c r="S37" s="138">
        <v>1422</v>
      </c>
      <c r="T37" s="138">
        <v>1938199.0041165703</v>
      </c>
      <c r="U37" s="138">
        <v>4861799.4346429287</v>
      </c>
      <c r="V37" s="138" t="s">
        <v>228</v>
      </c>
      <c r="W37" s="138">
        <v>402.53348523289691</v>
      </c>
      <c r="X37" s="153">
        <v>0</v>
      </c>
      <c r="Y37" s="138" t="s">
        <v>228</v>
      </c>
      <c r="Z37" s="138">
        <v>402.53348523289691</v>
      </c>
      <c r="AA37" s="138" t="s">
        <v>228</v>
      </c>
      <c r="AB37" s="138" t="s">
        <v>228</v>
      </c>
      <c r="AC37" s="138">
        <v>636.04</v>
      </c>
      <c r="AD37" s="138">
        <v>636.04</v>
      </c>
      <c r="AE37" s="138">
        <v>625.58999999999992</v>
      </c>
    </row>
    <row r="38" spans="1:31" x14ac:dyDescent="0.45">
      <c r="A38" s="120" t="s">
        <v>116</v>
      </c>
      <c r="B38" s="71">
        <v>1417997370</v>
      </c>
      <c r="C38" s="189" t="s">
        <v>227</v>
      </c>
      <c r="D38" s="149">
        <v>45108</v>
      </c>
      <c r="E38" s="149">
        <v>45473</v>
      </c>
      <c r="F38" s="71">
        <v>42</v>
      </c>
      <c r="G38" s="150">
        <v>164258</v>
      </c>
      <c r="H38" s="151">
        <v>15773</v>
      </c>
      <c r="I38" s="151">
        <v>147366</v>
      </c>
      <c r="J38" s="151">
        <v>1119</v>
      </c>
      <c r="K38" s="71">
        <v>769</v>
      </c>
      <c r="L38" s="138">
        <v>18826496</v>
      </c>
      <c r="M38" s="138">
        <v>169505875.95389763</v>
      </c>
      <c r="N38" s="152">
        <v>1.1440216899466682</v>
      </c>
      <c r="O38" s="138">
        <v>193918398.66466826</v>
      </c>
      <c r="P38" s="138">
        <v>126870734.04610237</v>
      </c>
      <c r="Q38" s="152">
        <v>1.1255123566230012</v>
      </c>
      <c r="R38" s="110">
        <v>1061</v>
      </c>
      <c r="S38" s="138">
        <v>1061</v>
      </c>
      <c r="T38" s="138">
        <v>142692172.2013388</v>
      </c>
      <c r="U38" s="138">
        <v>355437066.86600709</v>
      </c>
      <c r="V38" s="138" t="s">
        <v>228</v>
      </c>
      <c r="W38" s="138">
        <v>2163.8950119081392</v>
      </c>
      <c r="X38" s="153">
        <v>0.99318754642087448</v>
      </c>
      <c r="Y38" s="138">
        <v>2163.8950119081392</v>
      </c>
      <c r="Z38" s="138">
        <v>791.7</v>
      </c>
      <c r="AA38" s="138" t="s">
        <v>228</v>
      </c>
      <c r="AB38" s="138" t="s">
        <v>228</v>
      </c>
      <c r="AC38" s="138">
        <v>771.22</v>
      </c>
      <c r="AD38" s="138">
        <v>791.7</v>
      </c>
      <c r="AE38" s="138">
        <v>781.25</v>
      </c>
    </row>
    <row r="39" spans="1:31" x14ac:dyDescent="0.45">
      <c r="A39" s="120" t="s">
        <v>117</v>
      </c>
      <c r="B39" s="71">
        <v>1376539130</v>
      </c>
      <c r="C39" s="137" t="s">
        <v>64</v>
      </c>
      <c r="D39" s="149">
        <v>45108</v>
      </c>
      <c r="E39" s="149">
        <v>45473</v>
      </c>
      <c r="F39" s="71">
        <v>42</v>
      </c>
      <c r="G39" s="150">
        <v>32509</v>
      </c>
      <c r="H39" s="151">
        <v>1312</v>
      </c>
      <c r="I39" s="151">
        <v>25609</v>
      </c>
      <c r="J39" s="151">
        <v>5588</v>
      </c>
      <c r="K39" s="71">
        <v>110</v>
      </c>
      <c r="L39" s="138">
        <v>268109</v>
      </c>
      <c r="M39" s="138">
        <v>10052612.971269572</v>
      </c>
      <c r="N39" s="152">
        <v>1.1440216899466682</v>
      </c>
      <c r="O39" s="138">
        <v>11500407.279771613</v>
      </c>
      <c r="P39" s="138">
        <v>7524119.0287304278</v>
      </c>
      <c r="Q39" s="152">
        <v>1.1255123566230012</v>
      </c>
      <c r="R39" s="110">
        <v>1061</v>
      </c>
      <c r="S39" s="138">
        <v>1061</v>
      </c>
      <c r="T39" s="138">
        <v>8453840.3923968803</v>
      </c>
      <c r="U39" s="138">
        <v>20222356.672168493</v>
      </c>
      <c r="V39" s="138" t="s">
        <v>228</v>
      </c>
      <c r="W39" s="138">
        <v>622.05409800881273</v>
      </c>
      <c r="X39" s="153">
        <v>0.82810913900765937</v>
      </c>
      <c r="Y39" s="138">
        <v>622.05409800881273</v>
      </c>
      <c r="Z39" s="138">
        <v>622.05409800881273</v>
      </c>
      <c r="AA39" s="138">
        <v>622.05409800881273</v>
      </c>
      <c r="AB39" s="138">
        <v>759.49701386165668</v>
      </c>
      <c r="AC39" s="138">
        <v>605.96737493339617</v>
      </c>
      <c r="AD39" s="138">
        <v>622.05409800881273</v>
      </c>
      <c r="AE39" s="138">
        <v>611.60409800881268</v>
      </c>
    </row>
    <row r="40" spans="1:31" x14ac:dyDescent="0.45">
      <c r="A40" s="120" t="s">
        <v>118</v>
      </c>
      <c r="B40" s="71">
        <v>1144358953</v>
      </c>
      <c r="C40" s="189" t="s">
        <v>227</v>
      </c>
      <c r="D40" s="149">
        <v>45108</v>
      </c>
      <c r="E40" s="149">
        <v>45473</v>
      </c>
      <c r="F40" s="71">
        <v>42</v>
      </c>
      <c r="G40" s="150">
        <v>31203</v>
      </c>
      <c r="H40" s="151">
        <v>2844</v>
      </c>
      <c r="I40" s="151">
        <v>15611</v>
      </c>
      <c r="J40" s="151">
        <v>12748</v>
      </c>
      <c r="K40" s="71">
        <v>95</v>
      </c>
      <c r="L40" s="138">
        <v>678243</v>
      </c>
      <c r="M40" s="138">
        <v>10661435.879114963</v>
      </c>
      <c r="N40" s="152">
        <v>1.1440216899466682</v>
      </c>
      <c r="O40" s="138">
        <v>12196913.891683143</v>
      </c>
      <c r="P40" s="138">
        <v>7979807.1208850369</v>
      </c>
      <c r="Q40" s="152">
        <v>1.1255123566230012</v>
      </c>
      <c r="R40" s="110">
        <v>1061</v>
      </c>
      <c r="S40" s="138">
        <v>1061</v>
      </c>
      <c r="T40" s="138">
        <v>8968720.5000385083</v>
      </c>
      <c r="U40" s="138">
        <v>21843877.391721651</v>
      </c>
      <c r="V40" s="138" t="s">
        <v>228</v>
      </c>
      <c r="W40" s="138">
        <v>700.056962206251</v>
      </c>
      <c r="X40" s="153">
        <v>0.59144954010832296</v>
      </c>
      <c r="Y40" s="138">
        <v>700.056962206251</v>
      </c>
      <c r="Z40" s="138">
        <v>700.056962206251</v>
      </c>
      <c r="AA40" s="138" t="s">
        <v>228</v>
      </c>
      <c r="AB40" s="138" t="s">
        <v>228</v>
      </c>
      <c r="AC40" s="138">
        <v>641.84326042750024</v>
      </c>
      <c r="AD40" s="138">
        <v>700.056962206251</v>
      </c>
      <c r="AE40" s="138">
        <v>689.60696220625096</v>
      </c>
    </row>
    <row r="41" spans="1:31" x14ac:dyDescent="0.45">
      <c r="A41" s="120" t="s">
        <v>119</v>
      </c>
      <c r="B41" s="71">
        <v>1386763456</v>
      </c>
      <c r="C41" s="137" t="s">
        <v>64</v>
      </c>
      <c r="D41" s="149">
        <v>45108</v>
      </c>
      <c r="E41" s="149">
        <v>45473</v>
      </c>
      <c r="F41" s="71">
        <v>42</v>
      </c>
      <c r="G41" s="150">
        <v>28870</v>
      </c>
      <c r="H41" s="151">
        <v>644</v>
      </c>
      <c r="I41" s="151">
        <v>26109</v>
      </c>
      <c r="J41" s="151">
        <v>2117</v>
      </c>
      <c r="K41" s="71">
        <v>99</v>
      </c>
      <c r="L41" s="138">
        <v>1008558</v>
      </c>
      <c r="M41" s="138">
        <v>9535443.1299034823</v>
      </c>
      <c r="N41" s="152">
        <v>1.1440216899466682</v>
      </c>
      <c r="O41" s="138">
        <v>10908753.76386253</v>
      </c>
      <c r="P41" s="138">
        <v>7137030.8700965177</v>
      </c>
      <c r="Q41" s="152">
        <v>1.1255123566230012</v>
      </c>
      <c r="R41" s="110">
        <v>1061</v>
      </c>
      <c r="S41" s="138">
        <v>1061</v>
      </c>
      <c r="T41" s="138">
        <v>8019632.7414661171</v>
      </c>
      <c r="U41" s="138">
        <v>19936944.505328648</v>
      </c>
      <c r="V41" s="138">
        <v>0.33</v>
      </c>
      <c r="W41" s="138">
        <v>690.90653291751471</v>
      </c>
      <c r="X41" s="153">
        <v>0.92667128507100793</v>
      </c>
      <c r="Y41" s="138">
        <v>690.90653291751471</v>
      </c>
      <c r="Z41" s="138">
        <v>690.90653291751471</v>
      </c>
      <c r="AA41" s="138">
        <v>690.90653291751471</v>
      </c>
      <c r="AB41" s="138">
        <v>759.49701386165668</v>
      </c>
      <c r="AC41" s="138">
        <v>631.36579408406681</v>
      </c>
      <c r="AD41" s="138">
        <v>690.90653291751471</v>
      </c>
      <c r="AE41" s="138">
        <v>680.45653291751466</v>
      </c>
    </row>
    <row r="42" spans="1:31" x14ac:dyDescent="0.45">
      <c r="A42" s="120" t="s">
        <v>120</v>
      </c>
      <c r="B42" s="71">
        <v>1811107410</v>
      </c>
      <c r="C42" s="189" t="s">
        <v>227</v>
      </c>
      <c r="D42" s="149">
        <v>45292</v>
      </c>
      <c r="E42" s="149">
        <v>45657</v>
      </c>
      <c r="F42" s="71">
        <v>36</v>
      </c>
      <c r="G42" s="150">
        <v>22257</v>
      </c>
      <c r="H42" s="151">
        <v>0</v>
      </c>
      <c r="I42" s="151">
        <v>0</v>
      </c>
      <c r="J42" s="151">
        <v>22257</v>
      </c>
      <c r="K42" s="71">
        <v>69</v>
      </c>
      <c r="L42" s="138">
        <v>2065229</v>
      </c>
      <c r="M42" s="138">
        <v>9580234.1887566261</v>
      </c>
      <c r="N42" s="152">
        <v>1.1011660344527212</v>
      </c>
      <c r="O42" s="138">
        <v>10549428.490761517</v>
      </c>
      <c r="P42" s="138">
        <v>7170555.8112433739</v>
      </c>
      <c r="Q42" s="152">
        <v>1.0977052592411716</v>
      </c>
      <c r="R42" s="110">
        <v>1342</v>
      </c>
      <c r="S42" s="138">
        <v>1422</v>
      </c>
      <c r="T42" s="138">
        <v>7867629.5140889827</v>
      </c>
      <c r="U42" s="138">
        <v>20482287.004850499</v>
      </c>
      <c r="V42" s="138" t="s">
        <v>228</v>
      </c>
      <c r="W42" s="138">
        <v>920.26270408637731</v>
      </c>
      <c r="X42" s="153">
        <v>0</v>
      </c>
      <c r="Y42" s="138" t="s">
        <v>228</v>
      </c>
      <c r="Z42" s="138">
        <v>791.7</v>
      </c>
      <c r="AA42" s="138" t="s">
        <v>228</v>
      </c>
      <c r="AB42" s="138" t="s">
        <v>228</v>
      </c>
      <c r="AC42" s="138">
        <v>771.22</v>
      </c>
      <c r="AD42" s="138">
        <v>791.7</v>
      </c>
      <c r="AE42" s="138">
        <v>781.25</v>
      </c>
    </row>
    <row r="43" spans="1:31" x14ac:dyDescent="0.45">
      <c r="A43" s="120" t="s">
        <v>121</v>
      </c>
      <c r="B43" s="71">
        <v>1326146333</v>
      </c>
      <c r="C43" s="137" t="s">
        <v>64</v>
      </c>
      <c r="D43" s="149">
        <v>45108</v>
      </c>
      <c r="E43" s="149">
        <v>45473</v>
      </c>
      <c r="F43" s="71">
        <v>42</v>
      </c>
      <c r="G43" s="150">
        <v>17584</v>
      </c>
      <c r="H43" s="151">
        <v>285</v>
      </c>
      <c r="I43" s="151">
        <v>16607</v>
      </c>
      <c r="J43" s="151">
        <v>692</v>
      </c>
      <c r="K43" s="71">
        <v>50</v>
      </c>
      <c r="L43" s="138">
        <v>161366</v>
      </c>
      <c r="M43" s="138">
        <v>5005186.3540993538</v>
      </c>
      <c r="N43" s="152">
        <v>1.1440216899466682</v>
      </c>
      <c r="O43" s="138">
        <v>5726041.7513147453</v>
      </c>
      <c r="P43" s="138">
        <v>3746251.6459006462</v>
      </c>
      <c r="Q43" s="152">
        <v>1.1255123566230012</v>
      </c>
      <c r="R43" s="110">
        <v>1061</v>
      </c>
      <c r="S43" s="138">
        <v>1061</v>
      </c>
      <c r="T43" s="138">
        <v>4209794.0879615825</v>
      </c>
      <c r="U43" s="138">
        <v>10097201.839276329</v>
      </c>
      <c r="V43" s="138">
        <v>0.44</v>
      </c>
      <c r="W43" s="138">
        <v>574.66667420816248</v>
      </c>
      <c r="X43" s="153">
        <v>0.96064604185623292</v>
      </c>
      <c r="Y43" s="138">
        <v>574.66667420816248</v>
      </c>
      <c r="Z43" s="138">
        <v>574.66667420816248</v>
      </c>
      <c r="AA43" s="138">
        <v>574.66667420816248</v>
      </c>
      <c r="AB43" s="138">
        <v>759.49701386165668</v>
      </c>
      <c r="AC43" s="138">
        <v>605.33926173247994</v>
      </c>
      <c r="AD43" s="138">
        <v>605.33926173247994</v>
      </c>
      <c r="AE43" s="138">
        <v>594.88926173247989</v>
      </c>
    </row>
    <row r="44" spans="1:31" x14ac:dyDescent="0.45">
      <c r="A44" s="120" t="s">
        <v>122</v>
      </c>
      <c r="B44" s="71">
        <v>1336289966</v>
      </c>
      <c r="C44" s="189" t="s">
        <v>227</v>
      </c>
      <c r="D44" s="149">
        <v>45292</v>
      </c>
      <c r="E44" s="149">
        <v>45657</v>
      </c>
      <c r="F44" s="71">
        <v>36</v>
      </c>
      <c r="G44" s="150">
        <v>31771</v>
      </c>
      <c r="H44" s="151">
        <v>2700</v>
      </c>
      <c r="I44" s="151">
        <v>27787</v>
      </c>
      <c r="J44" s="151">
        <v>1284</v>
      </c>
      <c r="K44" s="71">
        <v>110</v>
      </c>
      <c r="L44" s="138">
        <v>749100</v>
      </c>
      <c r="M44" s="138">
        <v>13833649.552360635</v>
      </c>
      <c r="N44" s="152">
        <v>1.1011660344527212</v>
      </c>
      <c r="O44" s="138">
        <v>15233145.019581623</v>
      </c>
      <c r="P44" s="138">
        <v>10354126.447639365</v>
      </c>
      <c r="Q44" s="152">
        <v>1.0977052592411716</v>
      </c>
      <c r="R44" s="110">
        <v>1342</v>
      </c>
      <c r="S44" s="138">
        <v>1422</v>
      </c>
      <c r="T44" s="138">
        <v>11360155.806052659</v>
      </c>
      <c r="U44" s="138">
        <v>27342400.825634282</v>
      </c>
      <c r="V44" s="138" t="s">
        <v>228</v>
      </c>
      <c r="W44" s="138">
        <v>860.60875721992636</v>
      </c>
      <c r="X44" s="153">
        <v>0.95958578577948439</v>
      </c>
      <c r="Y44" s="138">
        <v>860.60875721992636</v>
      </c>
      <c r="Z44" s="138">
        <v>791.7</v>
      </c>
      <c r="AA44" s="138" t="s">
        <v>228</v>
      </c>
      <c r="AB44" s="138" t="s">
        <v>228</v>
      </c>
      <c r="AC44" s="138">
        <v>771.22</v>
      </c>
      <c r="AD44" s="138">
        <v>791.7</v>
      </c>
      <c r="AE44" s="138">
        <v>781.25</v>
      </c>
    </row>
    <row r="45" spans="1:31" x14ac:dyDescent="0.45">
      <c r="A45" s="120" t="s">
        <v>123</v>
      </c>
      <c r="B45" s="71">
        <v>1174674246</v>
      </c>
      <c r="C45" s="137" t="s">
        <v>64</v>
      </c>
      <c r="D45" s="149">
        <v>45108</v>
      </c>
      <c r="E45" s="149">
        <v>45473</v>
      </c>
      <c r="F45" s="71">
        <v>42</v>
      </c>
      <c r="G45" s="150">
        <v>7124</v>
      </c>
      <c r="H45" s="151">
        <v>0</v>
      </c>
      <c r="I45" s="151">
        <v>7044</v>
      </c>
      <c r="J45" s="151">
        <v>80</v>
      </c>
      <c r="K45" s="71">
        <v>20</v>
      </c>
      <c r="L45" s="138">
        <v>380017</v>
      </c>
      <c r="M45" s="138">
        <v>2533832.9903276335</v>
      </c>
      <c r="N45" s="152">
        <v>1.1440216899466682</v>
      </c>
      <c r="O45" s="138">
        <v>2898759.8996372391</v>
      </c>
      <c r="P45" s="138">
        <v>1896508.0096723665</v>
      </c>
      <c r="Q45" s="152">
        <v>1.1255123566230012</v>
      </c>
      <c r="R45" s="110">
        <v>1061</v>
      </c>
      <c r="S45" s="138">
        <v>1061</v>
      </c>
      <c r="T45" s="138">
        <v>2131879.8271132028</v>
      </c>
      <c r="U45" s="138">
        <v>5410656.7267504418</v>
      </c>
      <c r="V45" s="138" t="s">
        <v>228</v>
      </c>
      <c r="W45" s="138">
        <v>759.49701386165668</v>
      </c>
      <c r="X45" s="153">
        <v>0.98877035373385735</v>
      </c>
      <c r="Y45" s="138">
        <v>759.49701386165668</v>
      </c>
      <c r="Z45" s="138">
        <v>759.49701386165668</v>
      </c>
      <c r="AA45" s="138">
        <v>759.49701386165668</v>
      </c>
      <c r="AB45" s="138">
        <v>759.49701386165668</v>
      </c>
      <c r="AC45" s="138">
        <v>771.22</v>
      </c>
      <c r="AD45" s="138">
        <v>771.22</v>
      </c>
      <c r="AE45" s="138">
        <v>760.77</v>
      </c>
    </row>
    <row r="46" spans="1:31" x14ac:dyDescent="0.45">
      <c r="A46" s="120" t="s">
        <v>125</v>
      </c>
      <c r="B46" s="71">
        <v>1861533648</v>
      </c>
      <c r="C46" s="189" t="s">
        <v>227</v>
      </c>
      <c r="D46" s="149">
        <v>45108</v>
      </c>
      <c r="E46" s="149">
        <v>45473</v>
      </c>
      <c r="F46" s="71">
        <v>42</v>
      </c>
      <c r="G46" s="150">
        <v>31157</v>
      </c>
      <c r="H46" s="151">
        <v>2439</v>
      </c>
      <c r="I46" s="151">
        <v>25748</v>
      </c>
      <c r="J46" s="151">
        <v>2970</v>
      </c>
      <c r="K46" s="71">
        <v>115</v>
      </c>
      <c r="L46" s="138">
        <v>1429259</v>
      </c>
      <c r="M46" s="138">
        <v>8376729.2756929435</v>
      </c>
      <c r="N46" s="152">
        <v>1.1440216899466682</v>
      </c>
      <c r="O46" s="138">
        <v>9583159.9822039716</v>
      </c>
      <c r="P46" s="138">
        <v>6269763.7243070565</v>
      </c>
      <c r="Q46" s="152">
        <v>1.1255123566230012</v>
      </c>
      <c r="R46" s="110">
        <v>1061</v>
      </c>
      <c r="S46" s="138">
        <v>1061</v>
      </c>
      <c r="T46" s="138">
        <v>7041382.1546208849</v>
      </c>
      <c r="U46" s="138">
        <v>18053801.136824857</v>
      </c>
      <c r="V46" s="138">
        <v>2.12</v>
      </c>
      <c r="W46" s="138">
        <v>581.56606787639555</v>
      </c>
      <c r="X46" s="153">
        <v>0.90467631671855442</v>
      </c>
      <c r="Y46" s="138">
        <v>581.56606787639555</v>
      </c>
      <c r="Z46" s="138">
        <v>581.56606787639555</v>
      </c>
      <c r="AA46" s="138" t="s">
        <v>228</v>
      </c>
      <c r="AB46" s="138" t="s">
        <v>228</v>
      </c>
      <c r="AC46" s="138">
        <v>659.44775879121482</v>
      </c>
      <c r="AD46" s="138">
        <v>659.44775879121482</v>
      </c>
      <c r="AE46" s="138">
        <v>648.99775879121478</v>
      </c>
    </row>
    <row r="47" spans="1:31" x14ac:dyDescent="0.45">
      <c r="A47" s="120" t="s">
        <v>126</v>
      </c>
      <c r="B47" s="71">
        <v>1770659153</v>
      </c>
      <c r="C47" s="137" t="s">
        <v>64</v>
      </c>
      <c r="D47" s="149">
        <v>45292</v>
      </c>
      <c r="E47" s="149">
        <v>45657</v>
      </c>
      <c r="F47" s="71">
        <v>36</v>
      </c>
      <c r="G47" s="150">
        <v>26221</v>
      </c>
      <c r="H47" s="151">
        <v>4020</v>
      </c>
      <c r="I47" s="151">
        <v>16053</v>
      </c>
      <c r="J47" s="151">
        <v>6148</v>
      </c>
      <c r="K47" s="71">
        <v>75</v>
      </c>
      <c r="L47" s="138">
        <v>657492</v>
      </c>
      <c r="M47" s="138">
        <v>12040732.372271022</v>
      </c>
      <c r="N47" s="152">
        <v>1.1011660344527212</v>
      </c>
      <c r="O47" s="138">
        <v>13258845.518280188</v>
      </c>
      <c r="P47" s="138">
        <v>9012174.6277289782</v>
      </c>
      <c r="Q47" s="152">
        <v>1.0977052592411716</v>
      </c>
      <c r="R47" s="110">
        <v>1061</v>
      </c>
      <c r="S47" s="138">
        <v>1061</v>
      </c>
      <c r="T47" s="138">
        <v>9884936.5900538303</v>
      </c>
      <c r="U47" s="138">
        <v>23801274.10833402</v>
      </c>
      <c r="V47" s="138" t="s">
        <v>228</v>
      </c>
      <c r="W47" s="138">
        <v>907.71801641180809</v>
      </c>
      <c r="X47" s="153">
        <v>0.76553144426223252</v>
      </c>
      <c r="Y47" s="138">
        <v>907.71801641180809</v>
      </c>
      <c r="Z47" s="138">
        <v>791.7</v>
      </c>
      <c r="AA47" s="138">
        <v>791.7</v>
      </c>
      <c r="AB47" s="138">
        <v>759.49701386165668</v>
      </c>
      <c r="AC47" s="138">
        <v>771.22</v>
      </c>
      <c r="AD47" s="138">
        <v>791.7</v>
      </c>
      <c r="AE47" s="138">
        <v>781.25</v>
      </c>
    </row>
    <row r="48" spans="1:31" x14ac:dyDescent="0.45">
      <c r="A48" s="120" t="s">
        <v>129</v>
      </c>
      <c r="B48" s="71">
        <v>1619947090</v>
      </c>
      <c r="C48" s="189" t="s">
        <v>227</v>
      </c>
      <c r="D48" s="149">
        <v>45108</v>
      </c>
      <c r="E48" s="149">
        <v>45473</v>
      </c>
      <c r="F48" s="71">
        <v>42</v>
      </c>
      <c r="G48" s="150">
        <v>23202</v>
      </c>
      <c r="H48" s="151">
        <v>1778</v>
      </c>
      <c r="I48" s="151">
        <v>10772</v>
      </c>
      <c r="J48" s="151">
        <v>10652</v>
      </c>
      <c r="K48" s="71">
        <v>93</v>
      </c>
      <c r="L48" s="138">
        <v>742198</v>
      </c>
      <c r="M48" s="138">
        <v>8974503.1199244652</v>
      </c>
      <c r="N48" s="152">
        <v>1.1440216899466682</v>
      </c>
      <c r="O48" s="138">
        <v>10267026.225687632</v>
      </c>
      <c r="P48" s="138">
        <v>6717181.8800755348</v>
      </c>
      <c r="Q48" s="152">
        <v>1.1255123566230012</v>
      </c>
      <c r="R48" s="110">
        <v>1061</v>
      </c>
      <c r="S48" s="138">
        <v>1061</v>
      </c>
      <c r="T48" s="138">
        <v>7547886.5269440757</v>
      </c>
      <c r="U48" s="138">
        <v>18557110.752631709</v>
      </c>
      <c r="V48" s="138">
        <v>0.97</v>
      </c>
      <c r="W48" s="138">
        <v>800.77651463803591</v>
      </c>
      <c r="X48" s="153">
        <v>0.54090164640979221</v>
      </c>
      <c r="Y48" s="138">
        <v>800.77651463803591</v>
      </c>
      <c r="Z48" s="138">
        <v>791.7</v>
      </c>
      <c r="AA48" s="138" t="s">
        <v>228</v>
      </c>
      <c r="AB48" s="138" t="s">
        <v>228</v>
      </c>
      <c r="AC48" s="138">
        <v>704.86</v>
      </c>
      <c r="AD48" s="138">
        <v>791.7</v>
      </c>
      <c r="AE48" s="138">
        <v>781.25</v>
      </c>
    </row>
    <row r="49" spans="1:31" x14ac:dyDescent="0.45">
      <c r="A49" s="120" t="s">
        <v>165</v>
      </c>
      <c r="B49" s="71">
        <v>1184429185</v>
      </c>
      <c r="C49" s="189" t="s">
        <v>227</v>
      </c>
      <c r="D49" s="149">
        <v>45108</v>
      </c>
      <c r="E49" s="149">
        <v>45473</v>
      </c>
      <c r="F49" s="71">
        <v>42</v>
      </c>
      <c r="G49" s="150">
        <v>29172</v>
      </c>
      <c r="H49" s="151">
        <v>2260</v>
      </c>
      <c r="I49" s="151">
        <v>6406</v>
      </c>
      <c r="J49" s="151">
        <v>20506</v>
      </c>
      <c r="K49" s="71">
        <v>99</v>
      </c>
      <c r="L49" s="138">
        <v>118333</v>
      </c>
      <c r="M49" s="138">
        <v>10134778.90760617</v>
      </c>
      <c r="N49" s="152">
        <v>1.1440216899466682</v>
      </c>
      <c r="O49" s="138">
        <v>11594406.893115457</v>
      </c>
      <c r="P49" s="138">
        <v>7585618.0923938304</v>
      </c>
      <c r="Q49" s="152">
        <v>1.1255123566230012</v>
      </c>
      <c r="R49" s="110">
        <v>1061</v>
      </c>
      <c r="S49" s="138">
        <v>1061</v>
      </c>
      <c r="T49" s="138">
        <v>8524523.2031849306</v>
      </c>
      <c r="U49" s="138">
        <v>20237263.096300386</v>
      </c>
      <c r="V49" s="138" t="s">
        <v>228</v>
      </c>
      <c r="W49" s="138">
        <v>693.72216839093608</v>
      </c>
      <c r="X49" s="153">
        <v>0.29706567941862061</v>
      </c>
      <c r="Y49" s="138">
        <v>693.72216839093608</v>
      </c>
      <c r="Z49" s="138">
        <v>693.72216839093608</v>
      </c>
      <c r="AA49" s="138" t="s">
        <v>228</v>
      </c>
      <c r="AB49" s="138" t="s">
        <v>228</v>
      </c>
      <c r="AC49" s="138">
        <v>704.86</v>
      </c>
      <c r="AD49" s="138">
        <v>704.86</v>
      </c>
      <c r="AE49" s="138">
        <v>694.41</v>
      </c>
    </row>
    <row r="50" spans="1:31" ht="38.4" x14ac:dyDescent="0.45">
      <c r="A50" s="120" t="s">
        <v>130</v>
      </c>
      <c r="B50" s="71">
        <v>1952348518</v>
      </c>
      <c r="C50" s="189" t="s">
        <v>227</v>
      </c>
      <c r="D50" s="149">
        <v>45292</v>
      </c>
      <c r="E50" s="149">
        <v>45657</v>
      </c>
      <c r="F50" s="71">
        <v>36</v>
      </c>
      <c r="G50" s="150">
        <v>19304</v>
      </c>
      <c r="H50" s="151">
        <v>27</v>
      </c>
      <c r="I50" s="151">
        <v>478</v>
      </c>
      <c r="J50" s="151">
        <v>18799</v>
      </c>
      <c r="K50" s="71">
        <v>115</v>
      </c>
      <c r="L50" s="138">
        <v>592576</v>
      </c>
      <c r="M50" s="138">
        <v>13961323.172464099</v>
      </c>
      <c r="N50" s="152">
        <v>1.1011660344527212</v>
      </c>
      <c r="O50" s="138">
        <v>15373734.873535177</v>
      </c>
      <c r="P50" s="138">
        <v>10449686.827535901</v>
      </c>
      <c r="Q50" s="152">
        <v>1.0977052592411716</v>
      </c>
      <c r="R50" s="110">
        <v>1342</v>
      </c>
      <c r="S50" s="138">
        <v>1422</v>
      </c>
      <c r="T50" s="138">
        <v>11464797.335350662</v>
      </c>
      <c r="U50" s="138">
        <v>27431108.208885841</v>
      </c>
      <c r="V50" s="138" t="s">
        <v>228</v>
      </c>
      <c r="W50" s="138">
        <v>1421.0064343600209</v>
      </c>
      <c r="X50" s="153">
        <v>2.6160381268130958E-2</v>
      </c>
      <c r="Y50" s="138" t="s">
        <v>228</v>
      </c>
      <c r="Z50" s="138">
        <v>791.7</v>
      </c>
      <c r="AA50" s="138" t="s">
        <v>228</v>
      </c>
      <c r="AB50" s="138" t="s">
        <v>228</v>
      </c>
      <c r="AC50" s="138">
        <v>771.22</v>
      </c>
      <c r="AD50" s="138">
        <v>791.7</v>
      </c>
      <c r="AE50" s="138">
        <v>781.25</v>
      </c>
    </row>
    <row r="51" spans="1:31" x14ac:dyDescent="0.45">
      <c r="A51" s="120" t="s">
        <v>131</v>
      </c>
      <c r="B51" s="71">
        <v>1770639809</v>
      </c>
      <c r="C51" s="189" t="s">
        <v>227</v>
      </c>
      <c r="D51" s="149">
        <v>45292</v>
      </c>
      <c r="E51" s="149">
        <v>45657</v>
      </c>
      <c r="F51" s="71">
        <v>36</v>
      </c>
      <c r="G51" s="150">
        <v>37166</v>
      </c>
      <c r="H51" s="151">
        <v>0</v>
      </c>
      <c r="I51" s="151">
        <v>0</v>
      </c>
      <c r="J51" s="151">
        <v>37166</v>
      </c>
      <c r="K51" s="71">
        <v>125</v>
      </c>
      <c r="L51" s="138">
        <v>790145</v>
      </c>
      <c r="M51" s="138">
        <v>23709346.534455329</v>
      </c>
      <c r="N51" s="152">
        <v>1.1011660344527212</v>
      </c>
      <c r="O51" s="138">
        <v>26107927.102811541</v>
      </c>
      <c r="P51" s="138">
        <v>17745828.465544671</v>
      </c>
      <c r="Q51" s="152">
        <v>1.0977052592411716</v>
      </c>
      <c r="R51" s="110">
        <v>1342</v>
      </c>
      <c r="S51" s="138">
        <v>1422</v>
      </c>
      <c r="T51" s="138">
        <v>19473299.17898237</v>
      </c>
      <c r="U51" s="138">
        <v>46371371.281793907</v>
      </c>
      <c r="V51" s="138" t="s">
        <v>228</v>
      </c>
      <c r="W51" s="138">
        <v>1247.6825938167656</v>
      </c>
      <c r="X51" s="153">
        <v>0</v>
      </c>
      <c r="Y51" s="138" t="s">
        <v>228</v>
      </c>
      <c r="Z51" s="138">
        <v>791.7</v>
      </c>
      <c r="AA51" s="138" t="s">
        <v>228</v>
      </c>
      <c r="AB51" s="138" t="s">
        <v>228</v>
      </c>
      <c r="AC51" s="138">
        <v>771.22</v>
      </c>
      <c r="AD51" s="138">
        <v>791.7</v>
      </c>
      <c r="AE51" s="138">
        <v>781.25</v>
      </c>
    </row>
    <row r="52" spans="1:31" x14ac:dyDescent="0.45">
      <c r="A52" s="120" t="s">
        <v>132</v>
      </c>
      <c r="B52" s="71">
        <v>1114091055</v>
      </c>
      <c r="C52" s="189" t="s">
        <v>227</v>
      </c>
      <c r="D52" s="149">
        <v>45108</v>
      </c>
      <c r="E52" s="149">
        <v>45473</v>
      </c>
      <c r="F52" s="71">
        <v>42</v>
      </c>
      <c r="G52" s="150">
        <v>5747</v>
      </c>
      <c r="H52" s="151">
        <v>1884</v>
      </c>
      <c r="I52" s="151">
        <v>2808</v>
      </c>
      <c r="J52" s="151">
        <v>1055</v>
      </c>
      <c r="K52" s="71">
        <v>20</v>
      </c>
      <c r="L52" s="138">
        <v>559140</v>
      </c>
      <c r="M52" s="138">
        <v>4592170.7662549578</v>
      </c>
      <c r="N52" s="152">
        <v>1.1440216899466682</v>
      </c>
      <c r="O52" s="138">
        <v>5253542.9605346834</v>
      </c>
      <c r="P52" s="138">
        <v>3437120.2337450422</v>
      </c>
      <c r="Q52" s="152">
        <v>1.1255123566230012</v>
      </c>
      <c r="R52" s="110">
        <v>1061</v>
      </c>
      <c r="S52" s="138">
        <v>1061</v>
      </c>
      <c r="T52" s="138">
        <v>3865857.9220714429</v>
      </c>
      <c r="U52" s="138">
        <v>9678540.8826061264</v>
      </c>
      <c r="V52" s="138" t="s">
        <v>228</v>
      </c>
      <c r="W52" s="138">
        <v>1684.1031638430704</v>
      </c>
      <c r="X52" s="153">
        <v>0.8164259613711502</v>
      </c>
      <c r="Y52" s="138">
        <v>1684.1031638430704</v>
      </c>
      <c r="Z52" s="138">
        <v>791.7</v>
      </c>
      <c r="AA52" s="138" t="s">
        <v>228</v>
      </c>
      <c r="AB52" s="138" t="s">
        <v>228</v>
      </c>
      <c r="AC52" s="138">
        <v>771.22</v>
      </c>
      <c r="AD52" s="138">
        <v>791.7</v>
      </c>
      <c r="AE52" s="138">
        <v>781.25</v>
      </c>
    </row>
    <row r="53" spans="1:31" x14ac:dyDescent="0.45">
      <c r="A53" s="120" t="s">
        <v>133</v>
      </c>
      <c r="B53" s="71">
        <v>1669734653</v>
      </c>
      <c r="C53" s="137" t="s">
        <v>64</v>
      </c>
      <c r="D53" s="149">
        <v>45292</v>
      </c>
      <c r="E53" s="149">
        <v>45657</v>
      </c>
      <c r="F53" s="71">
        <v>36</v>
      </c>
      <c r="G53" s="150">
        <v>23169</v>
      </c>
      <c r="H53" s="151">
        <v>2463</v>
      </c>
      <c r="I53" s="151">
        <v>16729</v>
      </c>
      <c r="J53" s="151">
        <v>3977</v>
      </c>
      <c r="K53" s="71">
        <v>125</v>
      </c>
      <c r="L53" s="138">
        <v>674663</v>
      </c>
      <c r="M53" s="138">
        <v>8090263.4707968142</v>
      </c>
      <c r="N53" s="152">
        <v>1.1011660344527212</v>
      </c>
      <c r="O53" s="138">
        <v>8908723.3438150361</v>
      </c>
      <c r="P53" s="138">
        <v>6055351.5292031858</v>
      </c>
      <c r="Q53" s="152">
        <v>1.0977052592411716</v>
      </c>
      <c r="R53" s="110">
        <v>1061</v>
      </c>
      <c r="S53" s="138">
        <v>1061</v>
      </c>
      <c r="T53" s="138">
        <v>6634033.0601535477</v>
      </c>
      <c r="U53" s="138">
        <v>16217419.403968584</v>
      </c>
      <c r="V53" s="138" t="s">
        <v>228</v>
      </c>
      <c r="W53" s="138">
        <v>699.9619924886091</v>
      </c>
      <c r="X53" s="153">
        <v>0.82834822391989293</v>
      </c>
      <c r="Y53" s="138">
        <v>699.9619924886091</v>
      </c>
      <c r="Z53" s="138">
        <v>699.9619924886091</v>
      </c>
      <c r="AA53" s="138">
        <v>699.9619924886091</v>
      </c>
      <c r="AB53" s="138">
        <v>759.49701386165668</v>
      </c>
      <c r="AC53" s="138">
        <v>771.22</v>
      </c>
      <c r="AD53" s="138">
        <v>771.22</v>
      </c>
      <c r="AE53" s="138">
        <v>760.77</v>
      </c>
    </row>
    <row r="54" spans="1:31" x14ac:dyDescent="0.45">
      <c r="A54" s="120" t="s">
        <v>134</v>
      </c>
      <c r="B54" s="71">
        <v>1285677518</v>
      </c>
      <c r="C54" s="189" t="s">
        <v>227</v>
      </c>
      <c r="D54" s="149">
        <v>45108</v>
      </c>
      <c r="E54" s="149">
        <v>45473</v>
      </c>
      <c r="F54" s="71">
        <v>42</v>
      </c>
      <c r="G54" s="150">
        <v>9746</v>
      </c>
      <c r="H54" s="151">
        <v>1382</v>
      </c>
      <c r="I54" s="151">
        <v>6181</v>
      </c>
      <c r="J54" s="151">
        <v>2183</v>
      </c>
      <c r="K54" s="71">
        <v>30</v>
      </c>
      <c r="L54" s="138">
        <v>984835</v>
      </c>
      <c r="M54" s="138">
        <v>7441900.3686895585</v>
      </c>
      <c r="N54" s="152">
        <v>1.1440216899466682</v>
      </c>
      <c r="O54" s="138">
        <v>8513695.436202962</v>
      </c>
      <c r="P54" s="138">
        <v>5570068.6313104415</v>
      </c>
      <c r="Q54" s="152">
        <v>1.1255123566230012</v>
      </c>
      <c r="R54" s="110">
        <v>1061</v>
      </c>
      <c r="S54" s="138">
        <v>1061</v>
      </c>
      <c r="T54" s="138">
        <v>6265186.0134667596</v>
      </c>
      <c r="U54" s="138">
        <v>15763716.449669722</v>
      </c>
      <c r="V54" s="138" t="s">
        <v>228</v>
      </c>
      <c r="W54" s="138">
        <v>1617.4550020182355</v>
      </c>
      <c r="X54" s="153">
        <v>0.77601067104453114</v>
      </c>
      <c r="Y54" s="138">
        <v>1617.4550020182355</v>
      </c>
      <c r="Z54" s="138">
        <v>791.7</v>
      </c>
      <c r="AA54" s="138" t="s">
        <v>228</v>
      </c>
      <c r="AB54" s="138" t="s">
        <v>228</v>
      </c>
      <c r="AC54" s="138">
        <v>771.22</v>
      </c>
      <c r="AD54" s="138">
        <v>791.7</v>
      </c>
      <c r="AE54" s="138">
        <v>781.25</v>
      </c>
    </row>
    <row r="55" spans="1:31" x14ac:dyDescent="0.45">
      <c r="A55" s="120" t="s">
        <v>135</v>
      </c>
      <c r="B55" s="71">
        <v>1710174818</v>
      </c>
      <c r="C55" s="189" t="s">
        <v>227</v>
      </c>
      <c r="D55" s="149">
        <v>45108</v>
      </c>
      <c r="E55" s="149">
        <v>45473</v>
      </c>
      <c r="F55" s="71">
        <v>42</v>
      </c>
      <c r="G55" s="150">
        <v>12618</v>
      </c>
      <c r="H55" s="151">
        <v>0</v>
      </c>
      <c r="I55" s="151">
        <v>0</v>
      </c>
      <c r="J55" s="151">
        <v>12618</v>
      </c>
      <c r="K55" s="71">
        <v>44</v>
      </c>
      <c r="L55" s="138">
        <v>136817</v>
      </c>
      <c r="M55" s="138">
        <v>8644895.6945240907</v>
      </c>
      <c r="N55" s="152">
        <v>1.1440216899466682</v>
      </c>
      <c r="O55" s="138">
        <v>9889948.181862127</v>
      </c>
      <c r="P55" s="138">
        <v>6470479.3054759093</v>
      </c>
      <c r="Q55" s="152">
        <v>1.1255123566230012</v>
      </c>
      <c r="R55" s="110">
        <v>1342</v>
      </c>
      <c r="S55" s="138">
        <v>1422</v>
      </c>
      <c r="T55" s="138">
        <v>7278713.1579526756</v>
      </c>
      <c r="U55" s="138">
        <v>17305478.339814804</v>
      </c>
      <c r="V55" s="138" t="s">
        <v>228</v>
      </c>
      <c r="W55" s="138">
        <v>1371.4913884779526</v>
      </c>
      <c r="X55" s="153">
        <v>0</v>
      </c>
      <c r="Y55" s="138" t="s">
        <v>228</v>
      </c>
      <c r="Z55" s="138">
        <v>791.7</v>
      </c>
      <c r="AA55" s="138" t="s">
        <v>228</v>
      </c>
      <c r="AB55" s="138" t="s">
        <v>228</v>
      </c>
      <c r="AC55" s="138">
        <v>771.22</v>
      </c>
      <c r="AD55" s="138">
        <v>791.7</v>
      </c>
      <c r="AE55" s="138">
        <v>781.25</v>
      </c>
    </row>
    <row r="56" spans="1:31" x14ac:dyDescent="0.45">
      <c r="A56" s="120" t="s">
        <v>136</v>
      </c>
      <c r="B56" s="71">
        <v>1710066634</v>
      </c>
      <c r="C56" s="189" t="s">
        <v>227</v>
      </c>
      <c r="D56" s="149">
        <v>45108</v>
      </c>
      <c r="E56" s="149">
        <v>45473</v>
      </c>
      <c r="F56" s="71">
        <v>42</v>
      </c>
      <c r="G56" s="150">
        <v>97890</v>
      </c>
      <c r="H56" s="151">
        <v>9018</v>
      </c>
      <c r="I56" s="151">
        <v>71674</v>
      </c>
      <c r="J56" s="151">
        <v>17198</v>
      </c>
      <c r="K56" s="71">
        <v>345</v>
      </c>
      <c r="L56" s="138">
        <v>1150047</v>
      </c>
      <c r="M56" s="138">
        <v>28087504.390722401</v>
      </c>
      <c r="N56" s="152">
        <v>1.1440216899466682</v>
      </c>
      <c r="O56" s="138">
        <v>32132714.239458706</v>
      </c>
      <c r="P56" s="138">
        <v>21022765.609277599</v>
      </c>
      <c r="Q56" s="152">
        <v>1.1255123566230012</v>
      </c>
      <c r="R56" s="110">
        <v>1061</v>
      </c>
      <c r="S56" s="138">
        <v>1061</v>
      </c>
      <c r="T56" s="138">
        <v>23615439.293050949</v>
      </c>
      <c r="U56" s="138">
        <v>56898200.532509655</v>
      </c>
      <c r="V56" s="138">
        <v>1.31</v>
      </c>
      <c r="W56" s="138">
        <v>582.55630230370468</v>
      </c>
      <c r="X56" s="153">
        <v>0.82431300439268562</v>
      </c>
      <c r="Y56" s="138">
        <v>582.55630230370468</v>
      </c>
      <c r="Z56" s="138">
        <v>582.55630230370468</v>
      </c>
      <c r="AA56" s="138" t="s">
        <v>228</v>
      </c>
      <c r="AB56" s="138" t="s">
        <v>228</v>
      </c>
      <c r="AC56" s="138">
        <v>771.22</v>
      </c>
      <c r="AD56" s="138">
        <v>771.22</v>
      </c>
      <c r="AE56" s="138">
        <v>760.77</v>
      </c>
    </row>
    <row r="57" spans="1:31" x14ac:dyDescent="0.45">
      <c r="A57" s="120" t="s">
        <v>137</v>
      </c>
      <c r="B57" s="71">
        <v>1447724646</v>
      </c>
      <c r="C57" s="189" t="s">
        <v>227</v>
      </c>
      <c r="D57" s="149">
        <v>45108</v>
      </c>
      <c r="E57" s="149">
        <v>45473</v>
      </c>
      <c r="F57" s="71">
        <v>42</v>
      </c>
      <c r="G57" s="150">
        <v>8299</v>
      </c>
      <c r="H57" s="151">
        <v>0</v>
      </c>
      <c r="I57" s="151">
        <v>0</v>
      </c>
      <c r="J57" s="151">
        <v>8299</v>
      </c>
      <c r="K57" s="71">
        <v>24</v>
      </c>
      <c r="L57" s="138">
        <v>361926</v>
      </c>
      <c r="M57" s="138">
        <v>9530403.8784152158</v>
      </c>
      <c r="N57" s="152">
        <v>1.1440216899466682</v>
      </c>
      <c r="O57" s="138">
        <v>10902988.750858856</v>
      </c>
      <c r="P57" s="138">
        <v>7133259.1215847842</v>
      </c>
      <c r="Q57" s="152">
        <v>1.1255123566230012</v>
      </c>
      <c r="R57" s="110">
        <v>1061</v>
      </c>
      <c r="S57" s="138">
        <v>1061</v>
      </c>
      <c r="T57" s="138">
        <v>8025375.2376883617</v>
      </c>
      <c r="U57" s="138">
        <v>19290289.988547217</v>
      </c>
      <c r="V57" s="138" t="s">
        <v>228</v>
      </c>
      <c r="W57" s="138">
        <v>2324.4113734844218</v>
      </c>
      <c r="X57" s="153">
        <v>0</v>
      </c>
      <c r="Y57" s="138" t="s">
        <v>228</v>
      </c>
      <c r="Z57" s="138">
        <v>791.7</v>
      </c>
      <c r="AA57" s="138" t="s">
        <v>228</v>
      </c>
      <c r="AB57" s="138" t="s">
        <v>228</v>
      </c>
      <c r="AC57" s="138">
        <v>771.22</v>
      </c>
      <c r="AD57" s="138">
        <v>791.7</v>
      </c>
      <c r="AE57" s="138">
        <v>781.25</v>
      </c>
    </row>
    <row r="58" spans="1:31" x14ac:dyDescent="0.45">
      <c r="A58" s="120" t="s">
        <v>138</v>
      </c>
      <c r="B58" s="71">
        <v>1326234022</v>
      </c>
      <c r="C58" s="137" t="s">
        <v>64</v>
      </c>
      <c r="D58" s="149">
        <v>45108</v>
      </c>
      <c r="E58" s="149">
        <v>45473</v>
      </c>
      <c r="F58" s="71">
        <v>42</v>
      </c>
      <c r="G58" s="150">
        <v>5098</v>
      </c>
      <c r="H58" s="151">
        <v>179</v>
      </c>
      <c r="I58" s="151">
        <v>4764</v>
      </c>
      <c r="J58" s="151">
        <v>155</v>
      </c>
      <c r="K58" s="71">
        <v>16</v>
      </c>
      <c r="L58" s="138">
        <v>71811</v>
      </c>
      <c r="M58" s="138">
        <v>2254777.6475281403</v>
      </c>
      <c r="N58" s="152">
        <v>1.1440216899466682</v>
      </c>
      <c r="O58" s="138">
        <v>2579514.534779116</v>
      </c>
      <c r="P58" s="138">
        <v>1687642.3524718597</v>
      </c>
      <c r="Q58" s="152">
        <v>1.1255123566230012</v>
      </c>
      <c r="R58" s="110">
        <v>1061</v>
      </c>
      <c r="S58" s="138">
        <v>1061</v>
      </c>
      <c r="T58" s="138">
        <v>1897331.6235013562</v>
      </c>
      <c r="U58" s="138">
        <v>4548657.1582804723</v>
      </c>
      <c r="V58" s="138" t="s">
        <v>228</v>
      </c>
      <c r="W58" s="138">
        <v>892.24345984316835</v>
      </c>
      <c r="X58" s="153">
        <v>0.96959591996861516</v>
      </c>
      <c r="Y58" s="138">
        <v>892.24345984316835</v>
      </c>
      <c r="Z58" s="138">
        <v>791.7</v>
      </c>
      <c r="AA58" s="138">
        <v>791.7</v>
      </c>
      <c r="AB58" s="138">
        <v>759.49701386165668</v>
      </c>
      <c r="AC58" s="138">
        <v>771.22</v>
      </c>
      <c r="AD58" s="138">
        <v>791.7</v>
      </c>
      <c r="AE58" s="138">
        <v>781.25</v>
      </c>
    </row>
    <row r="59" spans="1:31" x14ac:dyDescent="0.45">
      <c r="A59" s="120" t="s">
        <v>139</v>
      </c>
      <c r="B59" s="71">
        <v>1386252112</v>
      </c>
      <c r="C59" s="189" t="s">
        <v>227</v>
      </c>
      <c r="D59" s="149">
        <v>45108</v>
      </c>
      <c r="E59" s="149">
        <v>45473</v>
      </c>
      <c r="F59" s="71">
        <v>42</v>
      </c>
      <c r="G59" s="150">
        <v>20750</v>
      </c>
      <c r="H59" s="151">
        <v>1166</v>
      </c>
      <c r="I59" s="151">
        <v>10080</v>
      </c>
      <c r="J59" s="151">
        <v>9504</v>
      </c>
      <c r="K59" s="71">
        <v>142</v>
      </c>
      <c r="L59" s="138">
        <v>346293</v>
      </c>
      <c r="M59" s="138">
        <v>10536556.695825899</v>
      </c>
      <c r="N59" s="152">
        <v>1.1440216899466682</v>
      </c>
      <c r="O59" s="138">
        <v>12054049.397377627</v>
      </c>
      <c r="P59" s="138">
        <v>7886338.304174101</v>
      </c>
      <c r="Q59" s="152">
        <v>1.1255123566230012</v>
      </c>
      <c r="R59" s="110">
        <v>1061</v>
      </c>
      <c r="S59" s="138">
        <v>1061</v>
      </c>
      <c r="T59" s="138">
        <v>8857261.2671837006</v>
      </c>
      <c r="U59" s="138">
        <v>21257603.664561328</v>
      </c>
      <c r="V59" s="138" t="s">
        <v>228</v>
      </c>
      <c r="W59" s="138">
        <v>1024.4628272077748</v>
      </c>
      <c r="X59" s="153">
        <v>0.5419759036144578</v>
      </c>
      <c r="Y59" s="138">
        <v>1024.4628272077748</v>
      </c>
      <c r="Z59" s="138">
        <v>791.7</v>
      </c>
      <c r="AA59" s="138" t="s">
        <v>228</v>
      </c>
      <c r="AB59" s="138" t="s">
        <v>228</v>
      </c>
      <c r="AC59" s="138">
        <v>636.04</v>
      </c>
      <c r="AD59" s="138">
        <v>791.7</v>
      </c>
      <c r="AE59" s="138">
        <v>781.25</v>
      </c>
    </row>
    <row r="60" spans="1:31" x14ac:dyDescent="0.45">
      <c r="A60" s="120" t="s">
        <v>140</v>
      </c>
      <c r="B60" s="71">
        <v>1538142369</v>
      </c>
      <c r="C60" s="189" t="s">
        <v>227</v>
      </c>
      <c r="D60" s="149">
        <v>45200</v>
      </c>
      <c r="E60" s="149">
        <v>45565</v>
      </c>
      <c r="F60" s="71">
        <v>39</v>
      </c>
      <c r="G60" s="150">
        <v>29487</v>
      </c>
      <c r="H60" s="151">
        <v>2323</v>
      </c>
      <c r="I60" s="151">
        <v>16275</v>
      </c>
      <c r="J60" s="151">
        <v>10889</v>
      </c>
      <c r="K60" s="71">
        <v>100</v>
      </c>
      <c r="L60" s="138">
        <v>1711346</v>
      </c>
      <c r="M60" s="138">
        <v>15049591.596608499</v>
      </c>
      <c r="N60" s="152">
        <v>1.1282015967745742</v>
      </c>
      <c r="O60" s="138">
        <v>16978973.270098921</v>
      </c>
      <c r="P60" s="138">
        <v>11264227.403391501</v>
      </c>
      <c r="Q60" s="152">
        <v>1.1095049001676238</v>
      </c>
      <c r="R60" s="110">
        <v>1061</v>
      </c>
      <c r="S60" s="138">
        <v>1061</v>
      </c>
      <c r="T60" s="138">
        <v>12486097.030757515</v>
      </c>
      <c r="U60" s="138">
        <v>31176416.300856434</v>
      </c>
      <c r="V60" s="138" t="s">
        <v>228</v>
      </c>
      <c r="W60" s="138">
        <v>1057.293597207462</v>
      </c>
      <c r="X60" s="153">
        <v>0.63071862176552373</v>
      </c>
      <c r="Y60" s="138">
        <v>1057.293597207462</v>
      </c>
      <c r="Z60" s="138">
        <v>791.7</v>
      </c>
      <c r="AA60" s="138" t="s">
        <v>228</v>
      </c>
      <c r="AB60" s="138" t="s">
        <v>228</v>
      </c>
      <c r="AC60" s="138">
        <v>771.22</v>
      </c>
      <c r="AD60" s="138">
        <v>791.7</v>
      </c>
      <c r="AE60" s="138">
        <v>781.25</v>
      </c>
    </row>
    <row r="61" spans="1:31" x14ac:dyDescent="0.45">
      <c r="A61" s="120" t="s">
        <v>141</v>
      </c>
      <c r="B61" s="71">
        <v>1184607418</v>
      </c>
      <c r="C61" s="189" t="s">
        <v>227</v>
      </c>
      <c r="D61" s="149">
        <v>45200</v>
      </c>
      <c r="E61" s="149">
        <v>45565</v>
      </c>
      <c r="F61" s="71">
        <v>39</v>
      </c>
      <c r="G61" s="150">
        <v>16084</v>
      </c>
      <c r="H61" s="151">
        <v>936</v>
      </c>
      <c r="I61" s="151">
        <v>11942</v>
      </c>
      <c r="J61" s="151">
        <v>3206</v>
      </c>
      <c r="K61" s="71">
        <v>51</v>
      </c>
      <c r="L61" s="138">
        <v>1004188</v>
      </c>
      <c r="M61" s="138">
        <v>7101905.027640407</v>
      </c>
      <c r="N61" s="152">
        <v>1.1282015967745742</v>
      </c>
      <c r="O61" s="138">
        <v>8012380.5923252841</v>
      </c>
      <c r="P61" s="138">
        <v>5315590.972359593</v>
      </c>
      <c r="Q61" s="152">
        <v>1.1095049001676238</v>
      </c>
      <c r="R61" s="110">
        <v>1061</v>
      </c>
      <c r="S61" s="138">
        <v>1061</v>
      </c>
      <c r="T61" s="138">
        <v>5891748.8114667824</v>
      </c>
      <c r="U61" s="138">
        <v>14908317.403792068</v>
      </c>
      <c r="V61" s="138" t="s">
        <v>228</v>
      </c>
      <c r="W61" s="138">
        <v>926.90359386919101</v>
      </c>
      <c r="X61" s="153">
        <v>0.80067147475752298</v>
      </c>
      <c r="Y61" s="138">
        <v>926.90359386919101</v>
      </c>
      <c r="Z61" s="138">
        <v>791.7</v>
      </c>
      <c r="AA61" s="138" t="s">
        <v>228</v>
      </c>
      <c r="AB61" s="138" t="s">
        <v>228</v>
      </c>
      <c r="AC61" s="138">
        <v>771.22</v>
      </c>
      <c r="AD61" s="138">
        <v>791.7</v>
      </c>
      <c r="AE61" s="138">
        <v>781.25</v>
      </c>
    </row>
    <row r="62" spans="1:31" x14ac:dyDescent="0.45">
      <c r="A62" s="120" t="s">
        <v>142</v>
      </c>
      <c r="B62" s="71">
        <v>1396031639</v>
      </c>
      <c r="C62" s="189" t="s">
        <v>227</v>
      </c>
      <c r="D62" s="149">
        <v>45292</v>
      </c>
      <c r="E62" s="149">
        <v>45657</v>
      </c>
      <c r="F62" s="71">
        <v>36</v>
      </c>
      <c r="G62" s="150">
        <v>6884</v>
      </c>
      <c r="H62" s="151">
        <v>0</v>
      </c>
      <c r="I62" s="151">
        <v>0</v>
      </c>
      <c r="J62" s="151">
        <v>6884</v>
      </c>
      <c r="K62" s="71">
        <v>22</v>
      </c>
      <c r="L62" s="138">
        <v>454758</v>
      </c>
      <c r="M62" s="138">
        <v>3645933.6252898825</v>
      </c>
      <c r="N62" s="152">
        <v>1.1011660344527212</v>
      </c>
      <c r="O62" s="138">
        <v>4014778.2720382935</v>
      </c>
      <c r="P62" s="138">
        <v>2728886.3747101175</v>
      </c>
      <c r="Q62" s="152">
        <v>1.0977052592411716</v>
      </c>
      <c r="R62" s="110">
        <v>1342</v>
      </c>
      <c r="S62" s="138">
        <v>1422</v>
      </c>
      <c r="T62" s="138">
        <v>2994388.2753170342</v>
      </c>
      <c r="U62" s="138">
        <v>7463924.5473553278</v>
      </c>
      <c r="V62" s="138" t="s">
        <v>228</v>
      </c>
      <c r="W62" s="138">
        <v>1084.2423804990308</v>
      </c>
      <c r="X62" s="153">
        <v>0</v>
      </c>
      <c r="Y62" s="138" t="s">
        <v>228</v>
      </c>
      <c r="Z62" s="138">
        <v>791.7</v>
      </c>
      <c r="AA62" s="138" t="s">
        <v>228</v>
      </c>
      <c r="AB62" s="138" t="s">
        <v>228</v>
      </c>
      <c r="AC62" s="138">
        <v>771.22</v>
      </c>
      <c r="AD62" s="138">
        <v>791.7</v>
      </c>
      <c r="AE62" s="138">
        <v>781.25</v>
      </c>
    </row>
    <row r="63" spans="1:31" x14ac:dyDescent="0.45">
      <c r="A63" s="120" t="s">
        <v>143</v>
      </c>
      <c r="B63" s="71">
        <v>1235352618</v>
      </c>
      <c r="C63" s="189" t="s">
        <v>227</v>
      </c>
      <c r="D63" s="149">
        <v>45108</v>
      </c>
      <c r="E63" s="149">
        <v>45473</v>
      </c>
      <c r="F63" s="71">
        <v>42</v>
      </c>
      <c r="G63" s="150">
        <v>12200</v>
      </c>
      <c r="H63" s="151">
        <v>0</v>
      </c>
      <c r="I63" s="151">
        <v>0</v>
      </c>
      <c r="J63" s="151">
        <v>12200</v>
      </c>
      <c r="K63" s="71">
        <v>35</v>
      </c>
      <c r="L63" s="138">
        <v>713868</v>
      </c>
      <c r="M63" s="138">
        <v>5757885.0106841289</v>
      </c>
      <c r="N63" s="152">
        <v>1.1440216899466682</v>
      </c>
      <c r="O63" s="138">
        <v>6587145.3404414468</v>
      </c>
      <c r="P63" s="138">
        <v>4309626.9893158711</v>
      </c>
      <c r="Q63" s="152">
        <v>1.1255123566230012</v>
      </c>
      <c r="R63" s="110">
        <v>1061</v>
      </c>
      <c r="S63" s="138">
        <v>1061</v>
      </c>
      <c r="T63" s="138">
        <v>4845877.5275478009</v>
      </c>
      <c r="U63" s="138">
        <v>12146890.867989248</v>
      </c>
      <c r="V63" s="138">
        <v>2.74</v>
      </c>
      <c r="W63" s="138">
        <v>998.38679245813512</v>
      </c>
      <c r="X63" s="153">
        <v>0</v>
      </c>
      <c r="Y63" s="138" t="s">
        <v>228</v>
      </c>
      <c r="Z63" s="138">
        <v>791.7</v>
      </c>
      <c r="AA63" s="138" t="s">
        <v>228</v>
      </c>
      <c r="AB63" s="138" t="s">
        <v>228</v>
      </c>
      <c r="AC63" s="138">
        <v>771.22</v>
      </c>
      <c r="AD63" s="138">
        <v>791.7</v>
      </c>
      <c r="AE63" s="138">
        <v>781.25</v>
      </c>
    </row>
    <row r="64" spans="1:31" x14ac:dyDescent="0.45">
      <c r="A64" s="120" t="s">
        <v>144</v>
      </c>
      <c r="B64" s="71">
        <v>1407938574</v>
      </c>
      <c r="C64" s="189" t="s">
        <v>227</v>
      </c>
      <c r="D64" s="149">
        <v>45108</v>
      </c>
      <c r="E64" s="149">
        <v>45473</v>
      </c>
      <c r="F64" s="71">
        <v>42</v>
      </c>
      <c r="G64" s="150">
        <v>9582</v>
      </c>
      <c r="H64" s="151">
        <v>415</v>
      </c>
      <c r="I64" s="151">
        <v>6122</v>
      </c>
      <c r="J64" s="151">
        <v>3045</v>
      </c>
      <c r="K64" s="71">
        <v>27</v>
      </c>
      <c r="L64" s="138">
        <v>591947</v>
      </c>
      <c r="M64" s="138">
        <v>3977773.2829634044</v>
      </c>
      <c r="N64" s="152">
        <v>1.1440216899466682</v>
      </c>
      <c r="O64" s="138">
        <v>4550658.9134005001</v>
      </c>
      <c r="P64" s="138">
        <v>2977259.7170365956</v>
      </c>
      <c r="Q64" s="152">
        <v>1.1255123566230012</v>
      </c>
      <c r="R64" s="110">
        <v>1061</v>
      </c>
      <c r="S64" s="138">
        <v>1061</v>
      </c>
      <c r="T64" s="138">
        <v>3347347.0479204091</v>
      </c>
      <c r="U64" s="138">
        <v>8489952.9613209087</v>
      </c>
      <c r="V64" s="138" t="s">
        <v>228</v>
      </c>
      <c r="W64" s="138">
        <v>886.03140902952498</v>
      </c>
      <c r="X64" s="153">
        <v>0.68221665623043204</v>
      </c>
      <c r="Y64" s="138">
        <v>886.03140902952498</v>
      </c>
      <c r="Z64" s="138">
        <v>791.7</v>
      </c>
      <c r="AA64" s="138" t="s">
        <v>228</v>
      </c>
      <c r="AB64" s="138" t="s">
        <v>228</v>
      </c>
      <c r="AC64" s="138">
        <v>771.22</v>
      </c>
      <c r="AD64" s="138">
        <v>791.7</v>
      </c>
      <c r="AE64" s="138">
        <v>781.25</v>
      </c>
    </row>
    <row r="65" spans="1:31" x14ac:dyDescent="0.45">
      <c r="A65" s="120" t="s">
        <v>145</v>
      </c>
      <c r="B65" s="71">
        <v>1801887401</v>
      </c>
      <c r="C65" s="137" t="s">
        <v>64</v>
      </c>
      <c r="D65" s="149">
        <v>45292</v>
      </c>
      <c r="E65" s="149">
        <v>45657</v>
      </c>
      <c r="F65" s="71">
        <v>36</v>
      </c>
      <c r="G65" s="150">
        <v>21613</v>
      </c>
      <c r="H65" s="151">
        <v>1714</v>
      </c>
      <c r="I65" s="151">
        <v>1379</v>
      </c>
      <c r="J65" s="151">
        <v>18520</v>
      </c>
      <c r="K65" s="71">
        <v>68</v>
      </c>
      <c r="L65" s="138">
        <v>178900</v>
      </c>
      <c r="M65" s="138">
        <v>8833030.6097225565</v>
      </c>
      <c r="N65" s="152">
        <v>1.1011660344527212</v>
      </c>
      <c r="O65" s="138">
        <v>9726633.2887076903</v>
      </c>
      <c r="P65" s="138">
        <v>6611293.3902774435</v>
      </c>
      <c r="Q65" s="152">
        <v>1.0977052592411716</v>
      </c>
      <c r="R65" s="110">
        <v>1061</v>
      </c>
      <c r="S65" s="138">
        <v>1061</v>
      </c>
      <c r="T65" s="138">
        <v>7250202.2858502129</v>
      </c>
      <c r="U65" s="138">
        <v>17155735.574557904</v>
      </c>
      <c r="V65" s="138" t="s">
        <v>228</v>
      </c>
      <c r="W65" s="138">
        <v>793.76928582602625</v>
      </c>
      <c r="X65" s="153">
        <v>0.14310831444038311</v>
      </c>
      <c r="Y65" s="138" t="s">
        <v>228</v>
      </c>
      <c r="Z65" s="138">
        <v>791.7</v>
      </c>
      <c r="AA65" s="138">
        <v>791.7</v>
      </c>
      <c r="AB65" s="138">
        <v>759.49701386165668</v>
      </c>
      <c r="AC65" s="138">
        <v>771.22</v>
      </c>
      <c r="AD65" s="138">
        <v>791.7</v>
      </c>
      <c r="AE65" s="138">
        <v>781.25</v>
      </c>
    </row>
    <row r="66" spans="1:31" x14ac:dyDescent="0.45">
      <c r="A66" s="120" t="s">
        <v>146</v>
      </c>
      <c r="B66" s="71">
        <v>1831128602</v>
      </c>
      <c r="C66" s="137" t="s">
        <v>64</v>
      </c>
      <c r="D66" s="149">
        <v>45108</v>
      </c>
      <c r="E66" s="149">
        <v>45473</v>
      </c>
      <c r="F66" s="71">
        <v>42</v>
      </c>
      <c r="G66" s="150">
        <v>10830</v>
      </c>
      <c r="H66" s="151">
        <v>523</v>
      </c>
      <c r="I66" s="151">
        <v>9440</v>
      </c>
      <c r="J66" s="151">
        <v>867</v>
      </c>
      <c r="K66" s="71">
        <v>33</v>
      </c>
      <c r="L66" s="138">
        <v>43457</v>
      </c>
      <c r="M66" s="138">
        <v>3106208.114851696</v>
      </c>
      <c r="N66" s="152">
        <v>1.1440216899466682</v>
      </c>
      <c r="O66" s="138">
        <v>3553569.4568786914</v>
      </c>
      <c r="P66" s="138">
        <v>2324915.885148304</v>
      </c>
      <c r="Q66" s="152">
        <v>1.1255123566230012</v>
      </c>
      <c r="R66" s="110">
        <v>1061</v>
      </c>
      <c r="S66" s="138">
        <v>1061</v>
      </c>
      <c r="T66" s="138">
        <v>2612326.9927010774</v>
      </c>
      <c r="U66" s="138">
        <v>6209353.4495797688</v>
      </c>
      <c r="V66" s="138" t="s">
        <v>228</v>
      </c>
      <c r="W66" s="138">
        <v>573.34750226960011</v>
      </c>
      <c r="X66" s="153">
        <v>0.91994459833795017</v>
      </c>
      <c r="Y66" s="138">
        <v>573.34750226960011</v>
      </c>
      <c r="Z66" s="138">
        <v>573.34750226960011</v>
      </c>
      <c r="AA66" s="138">
        <v>573.34750226960011</v>
      </c>
      <c r="AB66" s="138">
        <v>759.49701386165668</v>
      </c>
      <c r="AC66" s="138">
        <v>618.59192977394298</v>
      </c>
      <c r="AD66" s="138">
        <v>618.59192977394298</v>
      </c>
      <c r="AE66" s="138">
        <v>608.14192977394293</v>
      </c>
    </row>
    <row r="67" spans="1:31" x14ac:dyDescent="0.45">
      <c r="A67" s="120" t="s">
        <v>147</v>
      </c>
      <c r="B67" s="71">
        <v>1700963956</v>
      </c>
      <c r="C67" s="137" t="s">
        <v>64</v>
      </c>
      <c r="D67" s="149">
        <v>45108</v>
      </c>
      <c r="E67" s="149">
        <v>45473</v>
      </c>
      <c r="F67" s="71">
        <v>42</v>
      </c>
      <c r="G67" s="150">
        <v>7432</v>
      </c>
      <c r="H67" s="151">
        <v>148</v>
      </c>
      <c r="I67" s="151">
        <v>6279</v>
      </c>
      <c r="J67" s="151">
        <v>1005</v>
      </c>
      <c r="K67" s="71">
        <v>22</v>
      </c>
      <c r="L67" s="138">
        <v>196183</v>
      </c>
      <c r="M67" s="138">
        <v>2696210.0154708219</v>
      </c>
      <c r="N67" s="152">
        <v>1.1440216899466682</v>
      </c>
      <c r="O67" s="138">
        <v>3084522.7383500622</v>
      </c>
      <c r="P67" s="138">
        <v>2018042.9845291781</v>
      </c>
      <c r="Q67" s="152">
        <v>1.1255123566230012</v>
      </c>
      <c r="R67" s="110">
        <v>1061</v>
      </c>
      <c r="S67" s="138">
        <v>1061</v>
      </c>
      <c r="T67" s="138">
        <v>2268402.6058556559</v>
      </c>
      <c r="U67" s="138">
        <v>5549108.3442057185</v>
      </c>
      <c r="V67" s="138">
        <v>0.49</v>
      </c>
      <c r="W67" s="138">
        <v>747.14074599108164</v>
      </c>
      <c r="X67" s="153">
        <v>0.86477395048439187</v>
      </c>
      <c r="Y67" s="138">
        <v>747.14074599108164</v>
      </c>
      <c r="Z67" s="138">
        <v>747.14074599108164</v>
      </c>
      <c r="AA67" s="138">
        <v>747.14074599108164</v>
      </c>
      <c r="AB67" s="138">
        <v>759.49701386165668</v>
      </c>
      <c r="AC67" s="138">
        <v>711.31121536869057</v>
      </c>
      <c r="AD67" s="138">
        <v>747.14074599108164</v>
      </c>
      <c r="AE67" s="138">
        <v>736.6907459910816</v>
      </c>
    </row>
    <row r="68" spans="1:31" x14ac:dyDescent="0.45">
      <c r="A68" s="120" t="s">
        <v>148</v>
      </c>
      <c r="B68" s="71">
        <v>1295897395</v>
      </c>
      <c r="C68" s="137" t="s">
        <v>64</v>
      </c>
      <c r="D68" s="149">
        <v>45108</v>
      </c>
      <c r="E68" s="149">
        <v>45473</v>
      </c>
      <c r="F68" s="71">
        <v>42</v>
      </c>
      <c r="G68" s="150">
        <v>10948</v>
      </c>
      <c r="H68" s="151">
        <v>1201</v>
      </c>
      <c r="I68" s="151">
        <v>1017</v>
      </c>
      <c r="J68" s="151">
        <v>8730</v>
      </c>
      <c r="K68" s="71">
        <v>37</v>
      </c>
      <c r="L68" s="138">
        <v>814001</v>
      </c>
      <c r="M68" s="138">
        <v>5397211.0659793476</v>
      </c>
      <c r="N68" s="152">
        <v>1.1440216899466682</v>
      </c>
      <c r="O68" s="138">
        <v>6174526.5247005513</v>
      </c>
      <c r="P68" s="138">
        <v>4039671.9340206524</v>
      </c>
      <c r="Q68" s="152">
        <v>1.1255123566230012</v>
      </c>
      <c r="R68" s="110">
        <v>1061</v>
      </c>
      <c r="S68" s="138">
        <v>1061</v>
      </c>
      <c r="T68" s="138">
        <v>4541773.4398594322</v>
      </c>
      <c r="U68" s="138">
        <v>11530300.964559983</v>
      </c>
      <c r="V68" s="138" t="s">
        <v>228</v>
      </c>
      <c r="W68" s="138">
        <v>1053.1878849616353</v>
      </c>
      <c r="X68" s="153">
        <v>0.20259408111070515</v>
      </c>
      <c r="Y68" s="138">
        <v>1053.1878849616353</v>
      </c>
      <c r="Z68" s="138">
        <v>791.7</v>
      </c>
      <c r="AA68" s="138">
        <v>791.7</v>
      </c>
      <c r="AB68" s="138">
        <v>759.49701386165668</v>
      </c>
      <c r="AC68" s="138">
        <v>771.22</v>
      </c>
      <c r="AD68" s="138">
        <v>791.7</v>
      </c>
      <c r="AE68" s="138">
        <v>781.25</v>
      </c>
    </row>
    <row r="69" spans="1:31" x14ac:dyDescent="0.45">
      <c r="A69" s="120" t="s">
        <v>149</v>
      </c>
      <c r="B69" s="71">
        <v>1740268713</v>
      </c>
      <c r="C69" s="189" t="s">
        <v>227</v>
      </c>
      <c r="D69" s="149">
        <v>45108</v>
      </c>
      <c r="E69" s="149">
        <v>45473</v>
      </c>
      <c r="F69" s="71">
        <v>42</v>
      </c>
      <c r="G69" s="150">
        <v>9844</v>
      </c>
      <c r="H69" s="151">
        <v>14</v>
      </c>
      <c r="I69" s="151">
        <v>0</v>
      </c>
      <c r="J69" s="151">
        <v>9830</v>
      </c>
      <c r="K69" s="71">
        <v>40</v>
      </c>
      <c r="L69" s="138">
        <v>844767</v>
      </c>
      <c r="M69" s="138">
        <v>7328797.7405468887</v>
      </c>
      <c r="N69" s="152">
        <v>1.1440216899466682</v>
      </c>
      <c r="O69" s="138">
        <v>8384303.5764177749</v>
      </c>
      <c r="P69" s="138">
        <v>5485414.2594531113</v>
      </c>
      <c r="Q69" s="152">
        <v>1.1255123566230012</v>
      </c>
      <c r="R69" s="110">
        <v>1342</v>
      </c>
      <c r="S69" s="138">
        <v>1422</v>
      </c>
      <c r="T69" s="138">
        <v>6170364.0269069634</v>
      </c>
      <c r="U69" s="138">
        <v>15399434.603324737</v>
      </c>
      <c r="V69" s="138" t="s">
        <v>228</v>
      </c>
      <c r="W69" s="138">
        <v>1564.3472778672021</v>
      </c>
      <c r="X69" s="153">
        <v>1.4221861032100772E-3</v>
      </c>
      <c r="Y69" s="138" t="s">
        <v>228</v>
      </c>
      <c r="Z69" s="138">
        <v>791.7</v>
      </c>
      <c r="AA69" s="138" t="s">
        <v>228</v>
      </c>
      <c r="AB69" s="138" t="s">
        <v>228</v>
      </c>
      <c r="AC69" s="138">
        <v>771.22</v>
      </c>
      <c r="AD69" s="138">
        <v>791.7</v>
      </c>
      <c r="AE69" s="138">
        <v>781.25</v>
      </c>
    </row>
    <row r="70" spans="1:31" x14ac:dyDescent="0.45">
      <c r="A70" s="120" t="s">
        <v>150</v>
      </c>
      <c r="B70" s="71">
        <v>1154404010</v>
      </c>
      <c r="C70" s="137" t="s">
        <v>64</v>
      </c>
      <c r="D70" s="149">
        <v>45292</v>
      </c>
      <c r="E70" s="149">
        <v>45657</v>
      </c>
      <c r="F70" s="71">
        <v>36</v>
      </c>
      <c r="G70" s="150">
        <v>4305</v>
      </c>
      <c r="H70" s="151">
        <v>0</v>
      </c>
      <c r="I70" s="151">
        <v>4305</v>
      </c>
      <c r="J70" s="151">
        <v>0</v>
      </c>
      <c r="K70" s="71">
        <v>13</v>
      </c>
      <c r="L70" s="138">
        <v>22159</v>
      </c>
      <c r="M70" s="138">
        <v>2050073.4263636596</v>
      </c>
      <c r="N70" s="152">
        <v>1.1011660344527212</v>
      </c>
      <c r="O70" s="138">
        <v>2257471.2252457738</v>
      </c>
      <c r="P70" s="138">
        <v>1534426.5736363404</v>
      </c>
      <c r="Q70" s="152">
        <v>1.0977052592411716</v>
      </c>
      <c r="R70" s="110">
        <v>1061</v>
      </c>
      <c r="S70" s="138">
        <v>1061</v>
      </c>
      <c r="T70" s="138">
        <v>1683000.4711593082</v>
      </c>
      <c r="U70" s="138">
        <v>3962630.696405082</v>
      </c>
      <c r="V70" s="138" t="s">
        <v>228</v>
      </c>
      <c r="W70" s="138">
        <v>920.47170648201677</v>
      </c>
      <c r="X70" s="153">
        <v>1</v>
      </c>
      <c r="Y70" s="138">
        <v>920.47170648201677</v>
      </c>
      <c r="Z70" s="138">
        <v>791.7</v>
      </c>
      <c r="AA70" s="138">
        <v>791.7</v>
      </c>
      <c r="AB70" s="138">
        <v>759.49701386165668</v>
      </c>
      <c r="AC70" s="138">
        <v>771.22</v>
      </c>
      <c r="AD70" s="138">
        <v>791.7</v>
      </c>
      <c r="AE70" s="138">
        <v>781.25</v>
      </c>
    </row>
    <row r="71" spans="1:31" x14ac:dyDescent="0.45">
      <c r="A71" s="120" t="s">
        <v>151</v>
      </c>
      <c r="B71" s="71">
        <v>1942281936</v>
      </c>
      <c r="C71" s="189" t="s">
        <v>227</v>
      </c>
      <c r="D71" s="149">
        <v>45292</v>
      </c>
      <c r="E71" s="149">
        <v>45657</v>
      </c>
      <c r="F71" s="71">
        <v>36</v>
      </c>
      <c r="G71" s="150">
        <v>1507</v>
      </c>
      <c r="H71" s="151">
        <v>0</v>
      </c>
      <c r="I71" s="151">
        <v>324</v>
      </c>
      <c r="J71" s="151">
        <v>1183</v>
      </c>
      <c r="K71" s="71">
        <v>14</v>
      </c>
      <c r="L71" s="138">
        <v>115757</v>
      </c>
      <c r="M71" s="138">
        <v>1724539.2672326572</v>
      </c>
      <c r="N71" s="152">
        <v>1.1011660344527212</v>
      </c>
      <c r="O71" s="138">
        <v>1899004.0661565869</v>
      </c>
      <c r="P71" s="138">
        <v>1290772.7327673428</v>
      </c>
      <c r="Q71" s="152">
        <v>1.0977052592411716</v>
      </c>
      <c r="R71" s="110">
        <v>1342</v>
      </c>
      <c r="S71" s="138">
        <v>1422</v>
      </c>
      <c r="T71" s="138">
        <v>1416172.3308331885</v>
      </c>
      <c r="U71" s="138">
        <v>3430933.3969897754</v>
      </c>
      <c r="V71" s="138" t="s">
        <v>228</v>
      </c>
      <c r="W71" s="138">
        <v>2276.6644970071502</v>
      </c>
      <c r="X71" s="153">
        <v>0.21499668214996681</v>
      </c>
      <c r="Y71" s="138">
        <v>2276.6644970071502</v>
      </c>
      <c r="Z71" s="138">
        <v>791.7</v>
      </c>
      <c r="AA71" s="138" t="s">
        <v>228</v>
      </c>
      <c r="AB71" s="138" t="s">
        <v>228</v>
      </c>
      <c r="AC71" s="138">
        <v>771.22</v>
      </c>
      <c r="AD71" s="138">
        <v>791.7</v>
      </c>
      <c r="AE71" s="138">
        <v>781.25</v>
      </c>
    </row>
    <row r="72" spans="1:31" hidden="1" x14ac:dyDescent="0.45">
      <c r="C72" s="113"/>
      <c r="D72" s="154"/>
      <c r="E72" s="154"/>
      <c r="G72" s="155"/>
      <c r="H72" s="156"/>
      <c r="I72" s="156"/>
      <c r="J72" s="156"/>
      <c r="N72" s="157"/>
      <c r="Q72" s="157"/>
      <c r="R72" s="118"/>
      <c r="X72" s="158"/>
      <c r="AE72" s="114"/>
    </row>
  </sheetData>
  <sheetProtection sheet="1" objects="1" scenarios="1" selectLockedCells="1"/>
  <autoFilter ref="A9:AE72" xr:uid="{262D7AD0-156C-46C1-A396-AF8B07C04E4C}"/>
  <mergeCells count="4">
    <mergeCell ref="D7:E7"/>
    <mergeCell ref="P7:T7"/>
    <mergeCell ref="X7:AB7"/>
    <mergeCell ref="M7:O7"/>
  </mergeCells>
  <pageMargins left="0.7" right="0.7" top="0.75" bottom="0.75" header="0.3" footer="0.3"/>
  <pageSetup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9996A-AAD3-4C02-BBCE-33797D961FA3}">
  <sheetPr codeName="Sheet2"/>
  <dimension ref="A1:M15"/>
  <sheetViews>
    <sheetView zoomScale="86" zoomScaleNormal="86" workbookViewId="0"/>
  </sheetViews>
  <sheetFormatPr defaultColWidth="0" defaultRowHeight="19.2" zeroHeight="1" x14ac:dyDescent="0.45"/>
  <cols>
    <col min="1" max="1" width="36.44140625" style="106" customWidth="1"/>
    <col min="2" max="2" width="15.33203125" style="106" bestFit="1" customWidth="1"/>
    <col min="3" max="3" width="13.88671875" style="113" customWidth="1"/>
    <col min="4" max="4" width="14.44140625" style="106" bestFit="1" customWidth="1"/>
    <col min="5" max="5" width="15.77734375" style="106" customWidth="1"/>
    <col min="6" max="6" width="11" style="106" customWidth="1"/>
    <col min="7" max="7" width="9" style="106" customWidth="1"/>
    <col min="8" max="8" width="8.6640625" style="113" customWidth="1"/>
    <col min="9" max="9" width="18.109375" style="106" customWidth="1"/>
    <col min="10" max="10" width="17.33203125" style="106" customWidth="1"/>
    <col min="11" max="11" width="16.33203125" style="106" bestFit="1" customWidth="1"/>
    <col min="12" max="12" width="27" style="106" customWidth="1"/>
    <col min="13" max="13" width="0" style="106" hidden="1" customWidth="1"/>
    <col min="14" max="16384" width="8.6640625" style="106" hidden="1"/>
  </cols>
  <sheetData>
    <row r="1" spans="1:12" x14ac:dyDescent="0.45">
      <c r="A1" s="85" t="s">
        <v>0</v>
      </c>
      <c r="B1" s="127"/>
      <c r="C1" s="125"/>
      <c r="D1" s="127"/>
      <c r="E1" s="127"/>
      <c r="F1" s="127"/>
      <c r="G1" s="127"/>
      <c r="H1" s="125"/>
      <c r="I1" s="127"/>
      <c r="J1" s="127"/>
      <c r="K1" s="127"/>
      <c r="L1" s="127"/>
    </row>
    <row r="2" spans="1:12" x14ac:dyDescent="0.45">
      <c r="A2" s="92" t="s">
        <v>3</v>
      </c>
      <c r="B2" s="127"/>
      <c r="C2" s="125"/>
      <c r="D2" s="127"/>
      <c r="E2" s="127"/>
      <c r="F2" s="127"/>
      <c r="G2" s="127"/>
      <c r="H2" s="125"/>
      <c r="I2" s="127"/>
      <c r="J2" s="127"/>
      <c r="K2" s="127"/>
      <c r="L2" s="127"/>
    </row>
    <row r="3" spans="1:12" s="191" customFormat="1" ht="65.400000000000006" customHeight="1" x14ac:dyDescent="0.3">
      <c r="A3" s="161" t="s">
        <v>83</v>
      </c>
      <c r="B3" s="161" t="s">
        <v>229</v>
      </c>
      <c r="C3" s="161" t="s">
        <v>230</v>
      </c>
      <c r="D3" s="161" t="s">
        <v>84</v>
      </c>
      <c r="E3" s="161" t="s">
        <v>231</v>
      </c>
      <c r="F3" s="161" t="s">
        <v>232</v>
      </c>
      <c r="G3" s="161" t="s">
        <v>233</v>
      </c>
      <c r="H3" s="161" t="s">
        <v>234</v>
      </c>
      <c r="I3" s="161" t="s">
        <v>235</v>
      </c>
      <c r="J3" s="160" t="s">
        <v>236</v>
      </c>
      <c r="K3" s="160" t="s">
        <v>237</v>
      </c>
      <c r="L3" s="190" t="s">
        <v>238</v>
      </c>
    </row>
    <row r="4" spans="1:12" x14ac:dyDescent="0.45">
      <c r="A4" s="192" t="s">
        <v>152</v>
      </c>
      <c r="B4" s="193" t="s">
        <v>239</v>
      </c>
      <c r="C4" s="194">
        <v>12</v>
      </c>
      <c r="D4" s="195">
        <v>1245458421</v>
      </c>
      <c r="E4" s="139">
        <v>1003819376</v>
      </c>
      <c r="F4" s="196" t="s">
        <v>166</v>
      </c>
      <c r="G4" s="196" t="s">
        <v>166</v>
      </c>
      <c r="H4" s="137" t="s">
        <v>64</v>
      </c>
      <c r="I4" s="197">
        <v>704.86</v>
      </c>
      <c r="J4" s="197">
        <v>704.86</v>
      </c>
      <c r="K4" s="110">
        <v>648.54999999999995</v>
      </c>
      <c r="L4" s="204"/>
    </row>
    <row r="5" spans="1:12" x14ac:dyDescent="0.45">
      <c r="A5" s="71" t="s">
        <v>154</v>
      </c>
      <c r="B5" s="71" t="s">
        <v>240</v>
      </c>
      <c r="C5" s="137">
        <v>33</v>
      </c>
      <c r="D5" s="137">
        <v>1184936023</v>
      </c>
      <c r="E5" s="204"/>
      <c r="F5" s="196" t="s">
        <v>166</v>
      </c>
      <c r="G5" s="196" t="s">
        <v>166</v>
      </c>
      <c r="H5" s="189"/>
      <c r="I5" s="197">
        <v>704.86</v>
      </c>
      <c r="J5" s="197">
        <v>704.86</v>
      </c>
      <c r="K5" s="198" t="s">
        <v>227</v>
      </c>
      <c r="L5" s="204"/>
    </row>
    <row r="6" spans="1:12" x14ac:dyDescent="0.45">
      <c r="A6" s="71" t="s">
        <v>156</v>
      </c>
      <c r="B6" s="71" t="s">
        <v>241</v>
      </c>
      <c r="C6" s="137">
        <v>19</v>
      </c>
      <c r="D6" s="137">
        <v>1083895627</v>
      </c>
      <c r="E6" s="204"/>
      <c r="F6" s="196" t="s">
        <v>166</v>
      </c>
      <c r="G6" s="196" t="s">
        <v>166</v>
      </c>
      <c r="H6" s="189"/>
      <c r="I6" s="197">
        <v>704.86</v>
      </c>
      <c r="J6" s="197">
        <v>704.86</v>
      </c>
      <c r="K6" s="198" t="s">
        <v>227</v>
      </c>
      <c r="L6" s="204"/>
    </row>
    <row r="7" spans="1:12" x14ac:dyDescent="0.45">
      <c r="A7" s="71" t="s">
        <v>157</v>
      </c>
      <c r="B7" s="71" t="s">
        <v>242</v>
      </c>
      <c r="C7" s="137">
        <v>75</v>
      </c>
      <c r="D7" s="137">
        <v>1073298196</v>
      </c>
      <c r="E7" s="204"/>
      <c r="F7" s="196" t="s">
        <v>166</v>
      </c>
      <c r="G7" s="196" t="s">
        <v>166</v>
      </c>
      <c r="H7" s="189"/>
      <c r="I7" s="197">
        <v>704.86</v>
      </c>
      <c r="J7" s="197">
        <v>704.86</v>
      </c>
      <c r="K7" s="198" t="s">
        <v>227</v>
      </c>
      <c r="L7" s="204"/>
    </row>
    <row r="8" spans="1:12" x14ac:dyDescent="0.45">
      <c r="A8" s="71" t="s">
        <v>158</v>
      </c>
      <c r="B8" s="71" t="s">
        <v>243</v>
      </c>
      <c r="C8" s="137">
        <v>10</v>
      </c>
      <c r="D8" s="199">
        <v>1801452941</v>
      </c>
      <c r="E8" s="204"/>
      <c r="F8" s="196" t="s">
        <v>166</v>
      </c>
      <c r="G8" s="196" t="s">
        <v>166</v>
      </c>
      <c r="H8" s="137" t="s">
        <v>64</v>
      </c>
      <c r="I8" s="197">
        <v>557.88441387764328</v>
      </c>
      <c r="J8" s="197">
        <v>557.88441387764328</v>
      </c>
      <c r="K8" s="110">
        <v>705.62</v>
      </c>
      <c r="L8" s="204"/>
    </row>
    <row r="9" spans="1:12" x14ac:dyDescent="0.45">
      <c r="A9" s="71" t="s">
        <v>159</v>
      </c>
      <c r="B9" s="200" t="s">
        <v>244</v>
      </c>
      <c r="C9" s="137">
        <v>19</v>
      </c>
      <c r="D9" s="199">
        <v>1922350206</v>
      </c>
      <c r="E9" s="204"/>
      <c r="F9" s="196" t="s">
        <v>166</v>
      </c>
      <c r="G9" s="196" t="s">
        <v>166</v>
      </c>
      <c r="H9" s="189"/>
      <c r="I9" s="197">
        <v>771.22</v>
      </c>
      <c r="J9" s="197">
        <v>771.22</v>
      </c>
      <c r="K9" s="198" t="s">
        <v>227</v>
      </c>
      <c r="L9" s="204"/>
    </row>
    <row r="10" spans="1:12" x14ac:dyDescent="0.45">
      <c r="A10" s="127"/>
      <c r="B10" s="207"/>
      <c r="C10" s="207"/>
      <c r="D10" s="207"/>
      <c r="E10" s="207"/>
      <c r="F10" s="207"/>
      <c r="G10" s="207"/>
      <c r="H10" s="207"/>
      <c r="I10" s="207"/>
      <c r="J10" s="207"/>
      <c r="K10" s="130"/>
      <c r="L10" s="127"/>
    </row>
    <row r="11" spans="1:12" x14ac:dyDescent="0.45">
      <c r="A11" s="9" t="s">
        <v>245</v>
      </c>
      <c r="B11" s="207"/>
      <c r="C11" s="207"/>
      <c r="D11" s="207"/>
      <c r="E11" s="207"/>
      <c r="F11" s="207"/>
      <c r="G11" s="207"/>
      <c r="H11" s="207"/>
      <c r="I11" s="207"/>
      <c r="J11" s="127"/>
      <c r="K11" s="127"/>
      <c r="L11" s="127"/>
    </row>
    <row r="12" spans="1:12" x14ac:dyDescent="0.45">
      <c r="A12" s="71" t="s">
        <v>96</v>
      </c>
      <c r="B12" s="151" t="s">
        <v>246</v>
      </c>
      <c r="C12" s="201">
        <v>6</v>
      </c>
      <c r="D12" s="74">
        <v>1215476734</v>
      </c>
      <c r="E12" s="71">
        <v>1215475124</v>
      </c>
      <c r="F12" s="204"/>
      <c r="G12" s="204"/>
      <c r="H12" s="137" t="s">
        <v>64</v>
      </c>
      <c r="I12" s="197">
        <v>636.04</v>
      </c>
      <c r="J12" s="202">
        <v>636.04</v>
      </c>
      <c r="K12" s="138">
        <v>759.49701386165668</v>
      </c>
      <c r="L12" s="204"/>
    </row>
    <row r="13" spans="1:12" x14ac:dyDescent="0.45">
      <c r="A13" s="71" t="s">
        <v>124</v>
      </c>
      <c r="B13" s="71" t="s">
        <v>247</v>
      </c>
      <c r="C13" s="137">
        <v>45</v>
      </c>
      <c r="D13" s="71">
        <v>1770524928</v>
      </c>
      <c r="E13" s="206"/>
      <c r="F13" s="206"/>
      <c r="G13" s="204"/>
      <c r="H13" s="189"/>
      <c r="I13" s="197">
        <v>771.22</v>
      </c>
      <c r="J13" s="202">
        <v>771.22</v>
      </c>
      <c r="K13" s="205"/>
      <c r="L13" s="204"/>
    </row>
    <row r="14" spans="1:12" x14ac:dyDescent="0.45">
      <c r="A14" s="71" t="s">
        <v>127</v>
      </c>
      <c r="B14" s="71" t="s">
        <v>248</v>
      </c>
      <c r="C14" s="137">
        <v>4</v>
      </c>
      <c r="D14" s="203">
        <v>1427006485</v>
      </c>
      <c r="E14" s="206"/>
      <c r="F14" s="206"/>
      <c r="G14" s="204"/>
      <c r="H14" s="189"/>
      <c r="I14" s="197">
        <v>582.74249299206542</v>
      </c>
      <c r="J14" s="202">
        <v>582.74249299206542</v>
      </c>
      <c r="K14" s="205"/>
      <c r="L14" s="204"/>
    </row>
    <row r="15" spans="1:12" x14ac:dyDescent="0.45">
      <c r="A15" s="71" t="s">
        <v>128</v>
      </c>
      <c r="B15" s="71" t="s">
        <v>249</v>
      </c>
      <c r="C15" s="137">
        <v>19</v>
      </c>
      <c r="D15" s="203">
        <v>1891872883</v>
      </c>
      <c r="E15" s="206"/>
      <c r="F15" s="206"/>
      <c r="G15" s="204"/>
      <c r="H15" s="189"/>
      <c r="I15" s="197">
        <v>771.22</v>
      </c>
      <c r="J15" s="202">
        <v>771.22</v>
      </c>
      <c r="K15" s="205"/>
      <c r="L15" s="204"/>
    </row>
  </sheetData>
  <sheetProtection sheet="1" objects="1" scenarios="1" selectLockedCells="1"/>
  <autoFilter ref="A3:K4" xr:uid="{6A89996A-AAD3-4C02-BBCE-33797D961FA3}"/>
  <dataValidations count="1">
    <dataValidation type="date" errorStyle="warning" operator="greaterThan" allowBlank="1" showInputMessage="1" showErrorMessage="1" error="Fiscal vperiod should be greater than 6/30/96." sqref="F4:G10" xr:uid="{69F8599C-E6F2-4F04-94E1-FBA4C5CCE221}">
      <formula1>34880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5A94-6906-47DD-973C-83A5DA4BA45A}">
  <dimension ref="A1:J4"/>
  <sheetViews>
    <sheetView workbookViewId="0">
      <selection activeCell="N5" sqref="N5"/>
    </sheetView>
  </sheetViews>
  <sheetFormatPr defaultRowHeight="14.4" x14ac:dyDescent="0.3"/>
  <cols>
    <col min="1" max="1" width="16.6640625" bestFit="1" customWidth="1"/>
    <col min="2" max="2" width="22.33203125" customWidth="1"/>
    <col min="3" max="3" width="0" hidden="1" customWidth="1"/>
    <col min="4" max="4" width="9" bestFit="1" customWidth="1"/>
    <col min="5" max="5" width="9.109375" customWidth="1"/>
    <col min="6" max="6" width="0.33203125" hidden="1" customWidth="1"/>
    <col min="7" max="7" width="16.109375" customWidth="1"/>
    <col min="8" max="8" width="16.33203125" customWidth="1"/>
    <col min="9" max="9" width="15.6640625" hidden="1" customWidth="1"/>
    <col min="10" max="10" width="15.6640625" bestFit="1" customWidth="1"/>
  </cols>
  <sheetData>
    <row r="1" spans="1:10" x14ac:dyDescent="0.3">
      <c r="A1" s="61" t="s">
        <v>250</v>
      </c>
      <c r="B1" s="61"/>
      <c r="C1" s="87" t="s">
        <v>251</v>
      </c>
      <c r="D1" s="87"/>
      <c r="E1" s="87"/>
      <c r="F1" s="88" t="s">
        <v>252</v>
      </c>
      <c r="G1" s="89"/>
      <c r="H1" s="90"/>
      <c r="I1" s="87" t="s">
        <v>253</v>
      </c>
      <c r="J1" s="87"/>
    </row>
    <row r="2" spans="1:10" x14ac:dyDescent="0.3">
      <c r="B2" s="62" t="s">
        <v>254</v>
      </c>
      <c r="C2" s="62" t="s">
        <v>255</v>
      </c>
      <c r="D2" s="62" t="s">
        <v>256</v>
      </c>
      <c r="E2" s="62" t="s">
        <v>257</v>
      </c>
      <c r="F2" s="62" t="s">
        <v>255</v>
      </c>
      <c r="G2" s="62" t="s">
        <v>256</v>
      </c>
      <c r="H2" s="62" t="s">
        <v>257</v>
      </c>
      <c r="I2" s="62" t="s">
        <v>258</v>
      </c>
      <c r="J2" s="62" t="s">
        <v>259</v>
      </c>
    </row>
    <row r="3" spans="1:10" x14ac:dyDescent="0.3">
      <c r="A3" s="63" t="s">
        <v>260</v>
      </c>
      <c r="B3" s="63" t="e">
        <f>Data!#REF!</f>
        <v>#REF!</v>
      </c>
      <c r="C3" s="63"/>
      <c r="D3" s="65">
        <v>771.22</v>
      </c>
      <c r="E3" s="65">
        <f>'2027 Calcs'!D4</f>
        <v>791.7</v>
      </c>
      <c r="F3" s="67"/>
      <c r="G3" s="67">
        <v>579730690.71349514</v>
      </c>
      <c r="H3" s="66" t="e">
        <f>'2027 Calcs'!#REF!</f>
        <v>#REF!</v>
      </c>
      <c r="I3" s="67">
        <f t="shared" ref="I3:J4" si="0">(F3*(7/12)+G3*(5/12))</f>
        <v>241554454.46395633</v>
      </c>
      <c r="J3" s="67" t="e">
        <f>(G3*(7/12)+H3*(5/12))</f>
        <v>#REF!</v>
      </c>
    </row>
    <row r="4" spans="1:10" x14ac:dyDescent="0.3">
      <c r="A4" s="64" t="s">
        <v>188</v>
      </c>
      <c r="B4" s="64" t="e">
        <f>Data!#REF!</f>
        <v>#REF!</v>
      </c>
      <c r="C4" s="64"/>
      <c r="D4" s="68">
        <v>711.31</v>
      </c>
      <c r="E4" s="69">
        <f>'2027 Calcs'!D5</f>
        <v>759.49701386165668</v>
      </c>
      <c r="F4" s="64" t="e">
        <f>$B$4*C4</f>
        <v>#REF!</v>
      </c>
      <c r="G4" s="70">
        <v>173978898.85581261</v>
      </c>
      <c r="H4" s="68" t="e">
        <f t="shared" ref="H4" si="1">$B$4*E4</f>
        <v>#REF!</v>
      </c>
      <c r="I4" s="70" t="e">
        <f t="shared" si="0"/>
        <v>#REF!</v>
      </c>
      <c r="J4" s="70" t="e">
        <f t="shared" si="0"/>
        <v>#REF!</v>
      </c>
    </row>
  </sheetData>
  <mergeCells count="3">
    <mergeCell ref="C1:E1"/>
    <mergeCell ref="F1:H1"/>
    <mergeCell ref="I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B2891-734C-46AE-A89C-BF3BABC19A8B}">
  <sheetPr codeName="Sheet4"/>
  <dimension ref="A1:XFC70"/>
  <sheetViews>
    <sheetView zoomScale="84" zoomScaleNormal="84" workbookViewId="0"/>
  </sheetViews>
  <sheetFormatPr defaultColWidth="0" defaultRowHeight="19.2" zeroHeight="1" x14ac:dyDescent="0.45"/>
  <cols>
    <col min="1" max="1" width="49" style="106" customWidth="1"/>
    <col min="2" max="2" width="16.6640625" style="106" bestFit="1" customWidth="1"/>
    <col min="3" max="3" width="13.44140625" style="113" customWidth="1"/>
    <col min="4" max="4" width="13" style="106" customWidth="1"/>
    <col min="5" max="5" width="12.5546875" style="106" customWidth="1"/>
    <col min="6" max="6" width="13" style="106" customWidth="1"/>
    <col min="7" max="7" width="18.5546875" style="106" customWidth="1"/>
    <col min="8" max="8" width="20" style="106" customWidth="1"/>
    <col min="9" max="9" width="16.33203125" style="106" customWidth="1"/>
    <col min="10" max="10" width="20.33203125" style="106" customWidth="1"/>
    <col min="11" max="11" width="16.33203125" style="106" customWidth="1"/>
    <col min="12" max="12" width="14.33203125" style="106" customWidth="1"/>
    <col min="13" max="14" width="8.6640625" style="113" customWidth="1"/>
    <col min="15" max="15" width="11.21875" style="113" customWidth="1"/>
    <col min="16" max="16" width="21.33203125" style="113" customWidth="1"/>
    <col min="17" max="17" width="22.44140625" style="113" customWidth="1"/>
    <col min="18" max="18" width="13.21875" style="106" customWidth="1"/>
    <col min="19" max="19" width="14.77734375" style="106" customWidth="1"/>
    <col min="20" max="20" width="11.44140625" style="113" bestFit="1" customWidth="1"/>
    <col min="21" max="22" width="0" style="106" hidden="1"/>
    <col min="23" max="16383" width="8.6640625" style="106" hidden="1"/>
    <col min="16384" max="16384" width="0" style="106" hidden="1"/>
  </cols>
  <sheetData>
    <row r="1" spans="1:20" x14ac:dyDescent="0.45">
      <c r="A1" s="85" t="s">
        <v>0</v>
      </c>
      <c r="B1" s="127"/>
      <c r="C1" s="125"/>
      <c r="D1" s="127"/>
      <c r="E1" s="127"/>
      <c r="F1" s="127"/>
      <c r="G1" s="127"/>
      <c r="H1" s="127"/>
      <c r="I1" s="127"/>
      <c r="J1" s="127"/>
      <c r="K1" s="127"/>
      <c r="L1" s="127"/>
      <c r="M1" s="125"/>
      <c r="N1" s="125"/>
      <c r="O1" s="125"/>
      <c r="P1" s="125"/>
      <c r="Q1" s="125"/>
      <c r="R1" s="127"/>
      <c r="S1" s="127"/>
      <c r="T1" s="125"/>
    </row>
    <row r="2" spans="1:20" x14ac:dyDescent="0.45">
      <c r="A2" s="92" t="s">
        <v>3</v>
      </c>
      <c r="B2" s="127"/>
      <c r="C2" s="125"/>
      <c r="D2" s="127"/>
      <c r="E2" s="127"/>
      <c r="F2" s="127"/>
      <c r="G2" s="127"/>
      <c r="H2" s="127"/>
      <c r="I2" s="127"/>
      <c r="J2" s="127"/>
      <c r="K2" s="127"/>
      <c r="L2" s="127"/>
      <c r="M2" s="125"/>
      <c r="N2" s="125"/>
      <c r="O2" s="125"/>
      <c r="P2" s="125"/>
      <c r="Q2" s="125"/>
      <c r="R2" s="127"/>
      <c r="S2" s="127"/>
      <c r="T2" s="125"/>
    </row>
    <row r="3" spans="1:20" s="191" customFormat="1" ht="87.6" customHeight="1" x14ac:dyDescent="0.3">
      <c r="A3" s="161" t="s">
        <v>83</v>
      </c>
      <c r="B3" s="161" t="s">
        <v>229</v>
      </c>
      <c r="C3" s="161" t="s">
        <v>230</v>
      </c>
      <c r="D3" s="161" t="s">
        <v>84</v>
      </c>
      <c r="E3" s="161" t="s">
        <v>232</v>
      </c>
      <c r="F3" s="161" t="s">
        <v>233</v>
      </c>
      <c r="G3" s="161" t="s">
        <v>452</v>
      </c>
      <c r="H3" s="161" t="s">
        <v>453</v>
      </c>
      <c r="I3" s="161" t="s">
        <v>454</v>
      </c>
      <c r="J3" s="161" t="s">
        <v>455</v>
      </c>
      <c r="K3" s="161" t="s">
        <v>456</v>
      </c>
      <c r="L3" s="161" t="s">
        <v>457</v>
      </c>
      <c r="M3" s="161" t="s">
        <v>261</v>
      </c>
      <c r="N3" s="161" t="s">
        <v>262</v>
      </c>
      <c r="O3" s="161" t="s">
        <v>263</v>
      </c>
      <c r="P3" s="218" t="s">
        <v>458</v>
      </c>
      <c r="Q3" s="218" t="s">
        <v>459</v>
      </c>
      <c r="R3" s="161" t="s">
        <v>264</v>
      </c>
      <c r="S3" s="161" t="s">
        <v>265</v>
      </c>
      <c r="T3" s="161" t="s">
        <v>234</v>
      </c>
    </row>
    <row r="4" spans="1:20" x14ac:dyDescent="0.45">
      <c r="A4" s="120" t="s">
        <v>88</v>
      </c>
      <c r="B4" s="120" t="s">
        <v>266</v>
      </c>
      <c r="C4" s="137">
        <v>1</v>
      </c>
      <c r="D4" s="73">
        <v>1235261652</v>
      </c>
      <c r="E4" s="208">
        <v>45108</v>
      </c>
      <c r="F4" s="208">
        <v>45473</v>
      </c>
      <c r="G4" s="209">
        <v>41970</v>
      </c>
      <c r="H4" s="200">
        <v>41356</v>
      </c>
      <c r="I4" s="73">
        <v>135</v>
      </c>
      <c r="J4" s="210">
        <v>2876558</v>
      </c>
      <c r="K4" s="210">
        <v>42262873</v>
      </c>
      <c r="L4" s="210">
        <v>19324200</v>
      </c>
      <c r="M4" s="137">
        <v>1</v>
      </c>
      <c r="N4" s="211">
        <v>1</v>
      </c>
      <c r="O4" s="189"/>
      <c r="P4" s="193">
        <v>3590</v>
      </c>
      <c r="Q4" s="193">
        <v>37766</v>
      </c>
      <c r="R4" s="212" t="s">
        <v>267</v>
      </c>
      <c r="S4" s="138">
        <v>771.22</v>
      </c>
      <c r="T4" s="189"/>
    </row>
    <row r="5" spans="1:20" x14ac:dyDescent="0.45">
      <c r="A5" s="120" t="s">
        <v>89</v>
      </c>
      <c r="B5" s="120" t="s">
        <v>268</v>
      </c>
      <c r="C5" s="137">
        <v>1</v>
      </c>
      <c r="D5" s="73">
        <v>1396176160</v>
      </c>
      <c r="E5" s="208">
        <v>45108</v>
      </c>
      <c r="F5" s="208">
        <v>45473</v>
      </c>
      <c r="G5" s="209">
        <v>46651</v>
      </c>
      <c r="H5" s="200">
        <v>32295</v>
      </c>
      <c r="I5" s="73">
        <v>146</v>
      </c>
      <c r="J5" s="210">
        <v>329263</v>
      </c>
      <c r="K5" s="210">
        <v>30114339</v>
      </c>
      <c r="L5" s="210">
        <v>13719530</v>
      </c>
      <c r="M5" s="137">
        <v>1</v>
      </c>
      <c r="N5" s="211">
        <v>1</v>
      </c>
      <c r="O5" s="189"/>
      <c r="P5" s="193">
        <v>3715</v>
      </c>
      <c r="Q5" s="193">
        <v>28580</v>
      </c>
      <c r="R5" s="212">
        <v>41122</v>
      </c>
      <c r="S5" s="138">
        <v>684.45130876654935</v>
      </c>
      <c r="T5" s="189"/>
    </row>
    <row r="6" spans="1:20" ht="38.4" x14ac:dyDescent="0.45">
      <c r="A6" s="120" t="s">
        <v>90</v>
      </c>
      <c r="B6" s="120" t="s">
        <v>269</v>
      </c>
      <c r="C6" s="137">
        <v>9</v>
      </c>
      <c r="D6" s="73">
        <v>1891759502</v>
      </c>
      <c r="E6" s="208">
        <v>45292</v>
      </c>
      <c r="F6" s="208">
        <v>45657</v>
      </c>
      <c r="G6" s="209">
        <v>15864</v>
      </c>
      <c r="H6" s="200">
        <v>14605</v>
      </c>
      <c r="I6" s="73">
        <v>48</v>
      </c>
      <c r="J6" s="210">
        <v>404688</v>
      </c>
      <c r="K6" s="210">
        <v>12091201</v>
      </c>
      <c r="L6" s="210">
        <v>5683359</v>
      </c>
      <c r="M6" s="137">
        <v>1</v>
      </c>
      <c r="N6" s="211">
        <v>1</v>
      </c>
      <c r="O6" s="189"/>
      <c r="P6" s="193">
        <v>1360</v>
      </c>
      <c r="Q6" s="193">
        <v>13245</v>
      </c>
      <c r="R6" s="212">
        <v>35524</v>
      </c>
      <c r="S6" s="138">
        <v>771.22</v>
      </c>
      <c r="T6" s="137" t="s">
        <v>64</v>
      </c>
    </row>
    <row r="7" spans="1:20" x14ac:dyDescent="0.45">
      <c r="A7" s="120" t="s">
        <v>91</v>
      </c>
      <c r="B7" s="120" t="s">
        <v>270</v>
      </c>
      <c r="C7" s="137">
        <v>36</v>
      </c>
      <c r="D7" s="73">
        <v>1073553756</v>
      </c>
      <c r="E7" s="208">
        <v>45108</v>
      </c>
      <c r="F7" s="208">
        <v>45473</v>
      </c>
      <c r="G7" s="209">
        <v>7120</v>
      </c>
      <c r="H7" s="200">
        <v>2516</v>
      </c>
      <c r="I7" s="73">
        <v>21</v>
      </c>
      <c r="J7" s="210">
        <v>166958</v>
      </c>
      <c r="K7" s="210">
        <v>4612102</v>
      </c>
      <c r="L7" s="210">
        <v>2311403</v>
      </c>
      <c r="M7" s="137">
        <v>1</v>
      </c>
      <c r="N7" s="211">
        <v>1</v>
      </c>
      <c r="O7" s="189"/>
      <c r="P7" s="193">
        <v>2516</v>
      </c>
      <c r="Q7" s="193">
        <v>0</v>
      </c>
      <c r="R7" s="212" t="s">
        <v>271</v>
      </c>
      <c r="S7" s="138">
        <v>771.22</v>
      </c>
      <c r="T7" s="137" t="s">
        <v>64</v>
      </c>
    </row>
    <row r="8" spans="1:20" x14ac:dyDescent="0.45">
      <c r="A8" s="120" t="s">
        <v>92</v>
      </c>
      <c r="B8" s="120" t="s">
        <v>272</v>
      </c>
      <c r="C8" s="137">
        <v>34</v>
      </c>
      <c r="D8" s="73">
        <v>1467560599</v>
      </c>
      <c r="E8" s="208">
        <v>45292</v>
      </c>
      <c r="F8" s="208">
        <v>45657</v>
      </c>
      <c r="G8" s="209">
        <v>59945</v>
      </c>
      <c r="H8" s="200">
        <v>43298</v>
      </c>
      <c r="I8" s="73">
        <v>171</v>
      </c>
      <c r="J8" s="210">
        <v>522764</v>
      </c>
      <c r="K8" s="210">
        <v>42725216</v>
      </c>
      <c r="L8" s="210">
        <v>30346808</v>
      </c>
      <c r="M8" s="137">
        <v>1</v>
      </c>
      <c r="N8" s="211">
        <v>1</v>
      </c>
      <c r="O8" s="189"/>
      <c r="P8" s="193">
        <v>6275</v>
      </c>
      <c r="Q8" s="193">
        <v>37023</v>
      </c>
      <c r="R8" s="212" t="s">
        <v>273</v>
      </c>
      <c r="S8" s="138">
        <v>771.22</v>
      </c>
      <c r="T8" s="189"/>
    </row>
    <row r="9" spans="1:20" ht="38.4" x14ac:dyDescent="0.45">
      <c r="A9" s="120" t="s">
        <v>93</v>
      </c>
      <c r="B9" s="120" t="s">
        <v>274</v>
      </c>
      <c r="C9" s="137">
        <v>38</v>
      </c>
      <c r="D9" s="73">
        <v>1215095419</v>
      </c>
      <c r="E9" s="208">
        <v>45292</v>
      </c>
      <c r="F9" s="208">
        <v>45657</v>
      </c>
      <c r="G9" s="209">
        <v>8434</v>
      </c>
      <c r="H9" s="200">
        <v>3130</v>
      </c>
      <c r="I9" s="73">
        <v>29</v>
      </c>
      <c r="J9" s="210">
        <v>666494</v>
      </c>
      <c r="K9" s="210">
        <v>13574372</v>
      </c>
      <c r="L9" s="210">
        <v>9230808</v>
      </c>
      <c r="M9" s="137">
        <v>1</v>
      </c>
      <c r="N9" s="211">
        <v>1</v>
      </c>
      <c r="O9" s="189"/>
      <c r="P9" s="193">
        <v>490</v>
      </c>
      <c r="Q9" s="193">
        <v>2640</v>
      </c>
      <c r="R9" s="212" t="s">
        <v>275</v>
      </c>
      <c r="S9" s="138">
        <v>771.22</v>
      </c>
      <c r="T9" s="189"/>
    </row>
    <row r="10" spans="1:20" ht="20.399999999999999" customHeight="1" x14ac:dyDescent="0.45">
      <c r="A10" s="120" t="s">
        <v>94</v>
      </c>
      <c r="B10" s="120" t="s">
        <v>276</v>
      </c>
      <c r="C10" s="137">
        <v>19</v>
      </c>
      <c r="D10" s="203">
        <v>1346250347</v>
      </c>
      <c r="E10" s="208">
        <v>45108</v>
      </c>
      <c r="F10" s="208">
        <v>45473</v>
      </c>
      <c r="G10" s="209">
        <v>1130</v>
      </c>
      <c r="H10" s="200">
        <v>203</v>
      </c>
      <c r="I10" s="73">
        <v>4</v>
      </c>
      <c r="J10" s="210">
        <v>26581</v>
      </c>
      <c r="K10" s="210">
        <v>871863</v>
      </c>
      <c r="L10" s="210">
        <v>556859</v>
      </c>
      <c r="M10" s="137">
        <v>1</v>
      </c>
      <c r="N10" s="211">
        <v>1</v>
      </c>
      <c r="O10" s="189"/>
      <c r="P10" s="193">
        <v>203</v>
      </c>
      <c r="Q10" s="193">
        <v>0</v>
      </c>
      <c r="R10" s="212"/>
      <c r="S10" s="138">
        <v>704.86</v>
      </c>
      <c r="T10" s="137" t="s">
        <v>64</v>
      </c>
    </row>
    <row r="11" spans="1:20" x14ac:dyDescent="0.45">
      <c r="A11" s="120" t="s">
        <v>95</v>
      </c>
      <c r="B11" s="120" t="s">
        <v>277</v>
      </c>
      <c r="C11" s="137">
        <v>30</v>
      </c>
      <c r="D11" s="73">
        <v>1477672665</v>
      </c>
      <c r="E11" s="208">
        <v>45292</v>
      </c>
      <c r="F11" s="208">
        <v>45657</v>
      </c>
      <c r="G11" s="209">
        <v>8500</v>
      </c>
      <c r="H11" s="200">
        <v>0</v>
      </c>
      <c r="I11" s="73">
        <v>27</v>
      </c>
      <c r="J11" s="210">
        <v>389372</v>
      </c>
      <c r="K11" s="210">
        <v>13733797</v>
      </c>
      <c r="L11" s="210">
        <v>3971718</v>
      </c>
      <c r="M11" s="137">
        <v>1</v>
      </c>
      <c r="N11" s="211">
        <v>5</v>
      </c>
      <c r="O11" s="137">
        <v>5</v>
      </c>
      <c r="P11" s="200">
        <v>0</v>
      </c>
      <c r="Q11" s="200">
        <v>0</v>
      </c>
      <c r="R11" s="212" t="s">
        <v>278</v>
      </c>
      <c r="S11" s="138">
        <v>771.22</v>
      </c>
      <c r="T11" s="137"/>
    </row>
    <row r="12" spans="1:20" ht="38.4" x14ac:dyDescent="0.45">
      <c r="A12" s="120" t="s">
        <v>97</v>
      </c>
      <c r="B12" s="120" t="s">
        <v>279</v>
      </c>
      <c r="C12" s="137">
        <v>36</v>
      </c>
      <c r="D12" s="73">
        <v>1235290818</v>
      </c>
      <c r="E12" s="208">
        <v>45292</v>
      </c>
      <c r="F12" s="208">
        <v>45657</v>
      </c>
      <c r="G12" s="209">
        <v>32023</v>
      </c>
      <c r="H12" s="200">
        <v>0</v>
      </c>
      <c r="I12" s="73">
        <v>88</v>
      </c>
      <c r="J12" s="210">
        <v>384400</v>
      </c>
      <c r="K12" s="210">
        <v>28409087</v>
      </c>
      <c r="L12" s="210">
        <v>19914399</v>
      </c>
      <c r="M12" s="137">
        <v>1</v>
      </c>
      <c r="N12" s="211">
        <v>5</v>
      </c>
      <c r="O12" s="137">
        <v>5</v>
      </c>
      <c r="P12" s="213">
        <v>0</v>
      </c>
      <c r="Q12" s="213">
        <v>0</v>
      </c>
      <c r="R12" s="212">
        <v>34918</v>
      </c>
      <c r="S12" s="138">
        <v>771.22</v>
      </c>
      <c r="T12" s="189"/>
    </row>
    <row r="13" spans="1:20" ht="38.4" x14ac:dyDescent="0.45">
      <c r="A13" s="120" t="s">
        <v>98</v>
      </c>
      <c r="B13" s="120" t="s">
        <v>280</v>
      </c>
      <c r="C13" s="137">
        <v>10</v>
      </c>
      <c r="D13" s="73">
        <v>1295816569</v>
      </c>
      <c r="E13" s="208">
        <v>45170</v>
      </c>
      <c r="F13" s="208">
        <v>45535</v>
      </c>
      <c r="G13" s="209">
        <v>19694</v>
      </c>
      <c r="H13" s="200">
        <v>17026</v>
      </c>
      <c r="I13" s="73">
        <v>58</v>
      </c>
      <c r="J13" s="210">
        <v>404571</v>
      </c>
      <c r="K13" s="210">
        <v>7748774</v>
      </c>
      <c r="L13" s="210">
        <v>4084098</v>
      </c>
      <c r="M13" s="137">
        <v>1</v>
      </c>
      <c r="N13" s="211">
        <v>1</v>
      </c>
      <c r="O13" s="189"/>
      <c r="P13" s="193">
        <v>3520</v>
      </c>
      <c r="Q13" s="193">
        <v>13506</v>
      </c>
      <c r="R13" s="212" t="s">
        <v>281</v>
      </c>
      <c r="S13" s="138">
        <v>485.20741463837794</v>
      </c>
      <c r="T13" s="189"/>
    </row>
    <row r="14" spans="1:20" x14ac:dyDescent="0.45">
      <c r="A14" s="120" t="s">
        <v>99</v>
      </c>
      <c r="B14" s="120" t="s">
        <v>282</v>
      </c>
      <c r="C14" s="137">
        <v>15</v>
      </c>
      <c r="D14" s="73">
        <v>1033247622</v>
      </c>
      <c r="E14" s="208">
        <v>45292</v>
      </c>
      <c r="F14" s="208">
        <v>45657</v>
      </c>
      <c r="G14" s="209">
        <v>2599</v>
      </c>
      <c r="H14" s="200">
        <v>1901</v>
      </c>
      <c r="I14" s="73">
        <v>8</v>
      </c>
      <c r="J14" s="210">
        <v>51594</v>
      </c>
      <c r="K14" s="210">
        <v>1833560</v>
      </c>
      <c r="L14" s="210">
        <v>1106733</v>
      </c>
      <c r="M14" s="137">
        <v>1</v>
      </c>
      <c r="N14" s="211">
        <v>5</v>
      </c>
      <c r="O14" s="137">
        <v>5</v>
      </c>
      <c r="P14" s="193">
        <v>0</v>
      </c>
      <c r="Q14" s="193">
        <v>1901</v>
      </c>
      <c r="R14" s="212" t="s">
        <v>283</v>
      </c>
      <c r="S14" s="138">
        <v>771.22</v>
      </c>
      <c r="T14" s="189"/>
    </row>
    <row r="15" spans="1:20" x14ac:dyDescent="0.45">
      <c r="A15" s="120" t="s">
        <v>100</v>
      </c>
      <c r="B15" s="120" t="s">
        <v>284</v>
      </c>
      <c r="C15" s="137">
        <v>33</v>
      </c>
      <c r="D15" s="73">
        <v>1104856095</v>
      </c>
      <c r="E15" s="208">
        <v>45078</v>
      </c>
      <c r="F15" s="208">
        <v>45443</v>
      </c>
      <c r="G15" s="209">
        <v>5039</v>
      </c>
      <c r="H15" s="200">
        <v>0</v>
      </c>
      <c r="I15" s="73">
        <v>0</v>
      </c>
      <c r="J15" s="210">
        <v>247719</v>
      </c>
      <c r="K15" s="210">
        <v>6988554</v>
      </c>
      <c r="L15" s="210">
        <v>4098016</v>
      </c>
      <c r="M15" s="137">
        <v>1</v>
      </c>
      <c r="N15" s="211">
        <v>0</v>
      </c>
      <c r="O15" s="189"/>
      <c r="P15" s="193">
        <v>0</v>
      </c>
      <c r="Q15" s="193">
        <v>0</v>
      </c>
      <c r="R15" s="212">
        <v>35971</v>
      </c>
      <c r="S15" s="138">
        <v>771.22</v>
      </c>
      <c r="T15" s="189"/>
    </row>
    <row r="16" spans="1:20" x14ac:dyDescent="0.45">
      <c r="A16" s="120" t="s">
        <v>101</v>
      </c>
      <c r="B16" s="120" t="s">
        <v>285</v>
      </c>
      <c r="C16" s="137">
        <v>32</v>
      </c>
      <c r="D16" s="73">
        <v>1609872415</v>
      </c>
      <c r="E16" s="208">
        <v>45108</v>
      </c>
      <c r="F16" s="208">
        <v>45473</v>
      </c>
      <c r="G16" s="209">
        <v>21580</v>
      </c>
      <c r="H16" s="200">
        <v>20013</v>
      </c>
      <c r="I16" s="73">
        <v>66</v>
      </c>
      <c r="J16" s="210">
        <v>153925</v>
      </c>
      <c r="K16" s="210">
        <v>10324765</v>
      </c>
      <c r="L16" s="210">
        <v>5476963</v>
      </c>
      <c r="M16" s="137">
        <v>1</v>
      </c>
      <c r="N16" s="211">
        <v>1</v>
      </c>
      <c r="O16" s="189"/>
      <c r="P16" s="193">
        <v>2520</v>
      </c>
      <c r="Q16" s="193">
        <v>17493</v>
      </c>
      <c r="R16" s="212" t="s">
        <v>286</v>
      </c>
      <c r="S16" s="138">
        <v>609.82410006076293</v>
      </c>
      <c r="T16" s="137" t="s">
        <v>64</v>
      </c>
    </row>
    <row r="17" spans="1:20" x14ac:dyDescent="0.45">
      <c r="A17" s="120" t="s">
        <v>102</v>
      </c>
      <c r="B17" s="120" t="s">
        <v>287</v>
      </c>
      <c r="C17" s="137">
        <v>37</v>
      </c>
      <c r="D17" s="73">
        <v>1962556290</v>
      </c>
      <c r="E17" s="208">
        <v>45108</v>
      </c>
      <c r="F17" s="208">
        <v>45473</v>
      </c>
      <c r="G17" s="209">
        <v>56848</v>
      </c>
      <c r="H17" s="200">
        <v>50366</v>
      </c>
      <c r="I17" s="73">
        <v>192</v>
      </c>
      <c r="J17" s="210">
        <v>0</v>
      </c>
      <c r="K17" s="210">
        <v>63981928</v>
      </c>
      <c r="L17" s="210">
        <v>51008178</v>
      </c>
      <c r="M17" s="137">
        <v>1</v>
      </c>
      <c r="N17" s="211">
        <v>0</v>
      </c>
      <c r="O17" s="189"/>
      <c r="P17" s="193">
        <v>3235</v>
      </c>
      <c r="Q17" s="193">
        <v>47131</v>
      </c>
      <c r="R17" s="212" t="s">
        <v>288</v>
      </c>
      <c r="S17" s="138">
        <v>818.96</v>
      </c>
      <c r="T17" s="189"/>
    </row>
    <row r="18" spans="1:20" x14ac:dyDescent="0.45">
      <c r="A18" s="120" t="s">
        <v>103</v>
      </c>
      <c r="B18" s="120" t="s">
        <v>289</v>
      </c>
      <c r="C18" s="137">
        <v>19</v>
      </c>
      <c r="D18" s="73">
        <v>1619141298</v>
      </c>
      <c r="E18" s="208">
        <v>45292</v>
      </c>
      <c r="F18" s="208">
        <v>45657</v>
      </c>
      <c r="G18" s="209">
        <v>9097</v>
      </c>
      <c r="H18" s="200">
        <v>0</v>
      </c>
      <c r="I18" s="73">
        <v>28</v>
      </c>
      <c r="J18" s="210">
        <v>412430</v>
      </c>
      <c r="K18" s="210">
        <v>12122911</v>
      </c>
      <c r="L18" s="210">
        <v>4696984</v>
      </c>
      <c r="M18" s="137">
        <v>1</v>
      </c>
      <c r="N18" s="211">
        <v>5</v>
      </c>
      <c r="O18" s="137">
        <v>5</v>
      </c>
      <c r="P18" s="193">
        <v>0</v>
      </c>
      <c r="Q18" s="193">
        <v>0</v>
      </c>
      <c r="R18" s="212" t="s">
        <v>290</v>
      </c>
      <c r="S18" s="138">
        <v>771.22</v>
      </c>
      <c r="T18" s="189"/>
    </row>
    <row r="19" spans="1:20" x14ac:dyDescent="0.45">
      <c r="A19" s="120" t="s">
        <v>104</v>
      </c>
      <c r="B19" s="120" t="s">
        <v>291</v>
      </c>
      <c r="C19" s="137">
        <v>27</v>
      </c>
      <c r="D19" s="73">
        <v>1225228646</v>
      </c>
      <c r="E19" s="208">
        <v>45200</v>
      </c>
      <c r="F19" s="208">
        <v>45565</v>
      </c>
      <c r="G19" s="209">
        <v>11400</v>
      </c>
      <c r="H19" s="200">
        <v>2415</v>
      </c>
      <c r="I19" s="73">
        <v>48</v>
      </c>
      <c r="J19" s="210">
        <v>270625</v>
      </c>
      <c r="K19" s="210">
        <v>8519720</v>
      </c>
      <c r="L19" s="210">
        <v>5356553</v>
      </c>
      <c r="M19" s="137">
        <v>1</v>
      </c>
      <c r="N19" s="211">
        <v>1</v>
      </c>
      <c r="O19" s="189"/>
      <c r="P19" s="193">
        <v>49</v>
      </c>
      <c r="Q19" s="193">
        <v>2366</v>
      </c>
      <c r="R19" s="212" t="s">
        <v>292</v>
      </c>
      <c r="S19" s="138">
        <v>744.43277291523327</v>
      </c>
      <c r="T19" s="137" t="s">
        <v>64</v>
      </c>
    </row>
    <row r="20" spans="1:20" x14ac:dyDescent="0.45">
      <c r="A20" s="120" t="s">
        <v>105</v>
      </c>
      <c r="B20" s="120" t="s">
        <v>293</v>
      </c>
      <c r="C20" s="137">
        <v>37</v>
      </c>
      <c r="D20" s="73">
        <v>1417930249</v>
      </c>
      <c r="E20" s="208">
        <v>45200</v>
      </c>
      <c r="F20" s="208">
        <v>45565</v>
      </c>
      <c r="G20" s="209">
        <v>5197</v>
      </c>
      <c r="H20" s="200">
        <v>1411</v>
      </c>
      <c r="I20" s="73">
        <v>30</v>
      </c>
      <c r="J20" s="210">
        <v>571933</v>
      </c>
      <c r="K20" s="210">
        <v>6235261</v>
      </c>
      <c r="L20" s="210">
        <v>3622943</v>
      </c>
      <c r="M20" s="137">
        <v>1</v>
      </c>
      <c r="N20" s="211">
        <v>1</v>
      </c>
      <c r="O20" s="189"/>
      <c r="P20" s="193">
        <v>102</v>
      </c>
      <c r="Q20" s="193">
        <v>1309</v>
      </c>
      <c r="R20" s="212" t="s">
        <v>294</v>
      </c>
      <c r="S20" s="138">
        <v>771.22</v>
      </c>
      <c r="T20" s="189"/>
    </row>
    <row r="21" spans="1:20" ht="21.6" customHeight="1" x14ac:dyDescent="0.45">
      <c r="A21" s="120" t="s">
        <v>106</v>
      </c>
      <c r="B21" s="120" t="s">
        <v>295</v>
      </c>
      <c r="C21" s="137">
        <v>35</v>
      </c>
      <c r="D21" s="73">
        <v>1467585471</v>
      </c>
      <c r="E21" s="208">
        <v>45108</v>
      </c>
      <c r="F21" s="208">
        <v>45473</v>
      </c>
      <c r="G21" s="209">
        <v>32599</v>
      </c>
      <c r="H21" s="200">
        <v>15746</v>
      </c>
      <c r="I21" s="73">
        <v>119</v>
      </c>
      <c r="J21" s="210">
        <v>154807</v>
      </c>
      <c r="K21" s="210">
        <v>24364833</v>
      </c>
      <c r="L21" s="210">
        <v>1939552</v>
      </c>
      <c r="M21" s="137">
        <v>1</v>
      </c>
      <c r="N21" s="211">
        <v>1</v>
      </c>
      <c r="O21" s="189"/>
      <c r="P21" s="193">
        <v>15746</v>
      </c>
      <c r="Q21" s="193">
        <v>0</v>
      </c>
      <c r="R21" s="212" t="s">
        <v>296</v>
      </c>
      <c r="S21" s="138">
        <v>771.22</v>
      </c>
      <c r="T21" s="137" t="s">
        <v>64</v>
      </c>
    </row>
    <row r="22" spans="1:20" x14ac:dyDescent="0.45">
      <c r="A22" s="120" t="s">
        <v>107</v>
      </c>
      <c r="B22" s="120" t="s">
        <v>297</v>
      </c>
      <c r="C22" s="137">
        <v>36</v>
      </c>
      <c r="D22" s="73">
        <v>1639565088</v>
      </c>
      <c r="E22" s="208">
        <v>45078</v>
      </c>
      <c r="F22" s="208">
        <v>45443</v>
      </c>
      <c r="G22" s="209">
        <v>27999</v>
      </c>
      <c r="H22" s="200">
        <v>25904</v>
      </c>
      <c r="I22" s="73">
        <v>95</v>
      </c>
      <c r="J22" s="210">
        <v>353787</v>
      </c>
      <c r="K22" s="210">
        <v>11687395</v>
      </c>
      <c r="L22" s="210">
        <v>4774456</v>
      </c>
      <c r="M22" s="137">
        <v>1</v>
      </c>
      <c r="N22" s="211">
        <v>1</v>
      </c>
      <c r="O22" s="189" t="s">
        <v>298</v>
      </c>
      <c r="P22" s="193">
        <v>1198</v>
      </c>
      <c r="Q22" s="193">
        <v>24706</v>
      </c>
      <c r="R22" s="212" t="s">
        <v>299</v>
      </c>
      <c r="S22" s="138">
        <v>497.2409374796004</v>
      </c>
      <c r="T22" s="137" t="s">
        <v>64</v>
      </c>
    </row>
    <row r="23" spans="1:20" x14ac:dyDescent="0.45">
      <c r="A23" s="120" t="s">
        <v>108</v>
      </c>
      <c r="B23" s="120" t="s">
        <v>300</v>
      </c>
      <c r="C23" s="137">
        <v>19</v>
      </c>
      <c r="D23" s="73">
        <v>1336164151</v>
      </c>
      <c r="E23" s="208">
        <v>45292</v>
      </c>
      <c r="F23" s="208">
        <v>45657</v>
      </c>
      <c r="G23" s="209">
        <v>27397</v>
      </c>
      <c r="H23" s="200">
        <v>0</v>
      </c>
      <c r="I23" s="73">
        <v>89</v>
      </c>
      <c r="J23" s="210">
        <v>425003</v>
      </c>
      <c r="K23" s="210">
        <v>35761701</v>
      </c>
      <c r="L23" s="210">
        <v>12744858</v>
      </c>
      <c r="M23" s="137">
        <v>1</v>
      </c>
      <c r="N23" s="211">
        <v>5</v>
      </c>
      <c r="O23" s="137">
        <v>5</v>
      </c>
      <c r="P23" s="193">
        <v>0</v>
      </c>
      <c r="Q23" s="193">
        <v>0</v>
      </c>
      <c r="R23" s="212" t="s">
        <v>275</v>
      </c>
      <c r="S23" s="138">
        <v>771.22</v>
      </c>
      <c r="T23" s="189"/>
    </row>
    <row r="24" spans="1:20" ht="38.4" x14ac:dyDescent="0.45">
      <c r="A24" s="120" t="s">
        <v>109</v>
      </c>
      <c r="B24" s="120" t="s">
        <v>301</v>
      </c>
      <c r="C24" s="137">
        <v>19</v>
      </c>
      <c r="D24" s="73">
        <v>1750309837</v>
      </c>
      <c r="E24" s="208">
        <v>45292</v>
      </c>
      <c r="F24" s="208">
        <v>45657</v>
      </c>
      <c r="G24" s="209">
        <v>15560</v>
      </c>
      <c r="H24" s="200">
        <v>0</v>
      </c>
      <c r="I24" s="73">
        <v>48</v>
      </c>
      <c r="J24" s="210">
        <v>962624</v>
      </c>
      <c r="K24" s="210">
        <v>23398797</v>
      </c>
      <c r="L24" s="210">
        <v>13084876</v>
      </c>
      <c r="M24" s="137">
        <v>1</v>
      </c>
      <c r="N24" s="211">
        <v>5</v>
      </c>
      <c r="O24" s="137">
        <v>5</v>
      </c>
      <c r="P24" s="193">
        <v>0</v>
      </c>
      <c r="Q24" s="193">
        <v>0</v>
      </c>
      <c r="R24" s="212" t="s">
        <v>302</v>
      </c>
      <c r="S24" s="138">
        <v>771.22</v>
      </c>
      <c r="T24" s="189"/>
    </row>
    <row r="25" spans="1:20" ht="38.4" x14ac:dyDescent="0.45">
      <c r="A25" s="120" t="s">
        <v>110</v>
      </c>
      <c r="B25" s="120" t="s">
        <v>274</v>
      </c>
      <c r="C25" s="137">
        <v>38</v>
      </c>
      <c r="D25" s="73">
        <v>1275525115</v>
      </c>
      <c r="E25" s="208">
        <v>45108</v>
      </c>
      <c r="F25" s="208">
        <v>45473</v>
      </c>
      <c r="G25" s="209">
        <v>124146</v>
      </c>
      <c r="H25" s="200">
        <v>89996</v>
      </c>
      <c r="I25" s="73">
        <v>362</v>
      </c>
      <c r="J25" s="210">
        <v>7079926</v>
      </c>
      <c r="K25" s="210">
        <v>85646612</v>
      </c>
      <c r="L25" s="210">
        <v>54356312</v>
      </c>
      <c r="M25" s="137">
        <v>1</v>
      </c>
      <c r="N25" s="211">
        <v>1</v>
      </c>
      <c r="O25" s="189"/>
      <c r="P25" s="193">
        <v>3175</v>
      </c>
      <c r="Q25" s="193">
        <v>86821</v>
      </c>
      <c r="R25" s="212" t="s">
        <v>303</v>
      </c>
      <c r="S25" s="138">
        <v>755.07969665012808</v>
      </c>
      <c r="T25" s="189"/>
    </row>
    <row r="26" spans="1:20" x14ac:dyDescent="0.45">
      <c r="A26" s="219" t="s">
        <v>111</v>
      </c>
      <c r="B26" s="220" t="s">
        <v>304</v>
      </c>
      <c r="C26" s="214">
        <v>22</v>
      </c>
      <c r="D26" s="76">
        <v>1841342334</v>
      </c>
      <c r="E26" s="208">
        <v>45108</v>
      </c>
      <c r="F26" s="208">
        <v>45473</v>
      </c>
      <c r="G26" s="209">
        <v>5822</v>
      </c>
      <c r="H26" s="200">
        <v>2792</v>
      </c>
      <c r="I26" s="73">
        <v>16</v>
      </c>
      <c r="J26" s="210">
        <v>142111</v>
      </c>
      <c r="K26" s="210">
        <v>4471587</v>
      </c>
      <c r="L26" s="210">
        <v>2711709</v>
      </c>
      <c r="M26" s="137">
        <v>1</v>
      </c>
      <c r="N26" s="211">
        <v>1</v>
      </c>
      <c r="O26" s="189"/>
      <c r="P26" s="193">
        <v>543</v>
      </c>
      <c r="Q26" s="193">
        <v>2249</v>
      </c>
      <c r="R26" s="212"/>
      <c r="S26" s="138">
        <v>705.62139420257563</v>
      </c>
      <c r="T26" s="137" t="s">
        <v>64</v>
      </c>
    </row>
    <row r="27" spans="1:20" x14ac:dyDescent="0.45">
      <c r="A27" s="120" t="s">
        <v>112</v>
      </c>
      <c r="B27" s="120" t="s">
        <v>305</v>
      </c>
      <c r="C27" s="137">
        <v>19</v>
      </c>
      <c r="D27" s="73">
        <v>1487681631</v>
      </c>
      <c r="E27" s="208">
        <v>45170</v>
      </c>
      <c r="F27" s="208">
        <v>45535</v>
      </c>
      <c r="G27" s="209">
        <v>84726</v>
      </c>
      <c r="H27" s="200">
        <v>72626</v>
      </c>
      <c r="I27" s="73">
        <v>239</v>
      </c>
      <c r="J27" s="210">
        <v>3572189</v>
      </c>
      <c r="K27" s="210">
        <v>41267660</v>
      </c>
      <c r="L27" s="210">
        <v>27055970</v>
      </c>
      <c r="M27" s="137">
        <v>1</v>
      </c>
      <c r="N27" s="211">
        <v>1</v>
      </c>
      <c r="O27" s="189"/>
      <c r="P27" s="193">
        <v>4262</v>
      </c>
      <c r="Q27" s="193">
        <v>68364</v>
      </c>
      <c r="R27" s="212">
        <v>39402</v>
      </c>
      <c r="S27" s="138">
        <v>568.8506624566196</v>
      </c>
      <c r="T27" s="189"/>
    </row>
    <row r="28" spans="1:20" x14ac:dyDescent="0.45">
      <c r="A28" s="120" t="s">
        <v>113</v>
      </c>
      <c r="B28" s="120" t="s">
        <v>306</v>
      </c>
      <c r="C28" s="137">
        <v>54</v>
      </c>
      <c r="D28" s="73">
        <v>1093776338</v>
      </c>
      <c r="E28" s="208">
        <v>45108</v>
      </c>
      <c r="F28" s="208">
        <v>45473</v>
      </c>
      <c r="G28" s="209">
        <v>4129</v>
      </c>
      <c r="H28" s="200">
        <v>757</v>
      </c>
      <c r="I28" s="73">
        <v>38</v>
      </c>
      <c r="J28" s="210">
        <v>81005</v>
      </c>
      <c r="K28" s="210">
        <v>2533136</v>
      </c>
      <c r="L28" s="210">
        <v>2946365</v>
      </c>
      <c r="M28" s="137">
        <v>1</v>
      </c>
      <c r="N28" s="211">
        <v>1</v>
      </c>
      <c r="O28" s="189"/>
      <c r="P28" s="193">
        <v>414</v>
      </c>
      <c r="Q28" s="193">
        <v>343</v>
      </c>
      <c r="R28" s="212">
        <v>1</v>
      </c>
      <c r="S28" s="138">
        <v>771.22</v>
      </c>
      <c r="T28" s="189"/>
    </row>
    <row r="29" spans="1:20" x14ac:dyDescent="0.45">
      <c r="A29" s="120" t="s">
        <v>114</v>
      </c>
      <c r="B29" s="120" t="s">
        <v>307</v>
      </c>
      <c r="C29" s="137">
        <v>15</v>
      </c>
      <c r="D29" s="73">
        <v>1427049964</v>
      </c>
      <c r="E29" s="208">
        <v>45108</v>
      </c>
      <c r="F29" s="208">
        <v>45473</v>
      </c>
      <c r="G29" s="209">
        <v>15665</v>
      </c>
      <c r="H29" s="200">
        <v>12418</v>
      </c>
      <c r="I29" s="73">
        <v>74</v>
      </c>
      <c r="J29" s="210">
        <v>250353</v>
      </c>
      <c r="K29" s="210">
        <v>7222108</v>
      </c>
      <c r="L29" s="210">
        <v>3840962</v>
      </c>
      <c r="M29" s="137">
        <v>1</v>
      </c>
      <c r="N29" s="211">
        <v>1</v>
      </c>
      <c r="O29" s="189"/>
      <c r="P29" s="193">
        <v>755</v>
      </c>
      <c r="Q29" s="193">
        <v>11663</v>
      </c>
      <c r="R29" s="212" t="s">
        <v>308</v>
      </c>
      <c r="S29" s="138">
        <v>503.36533511124509</v>
      </c>
      <c r="T29" s="137" t="s">
        <v>64</v>
      </c>
    </row>
    <row r="30" spans="1:20" x14ac:dyDescent="0.45">
      <c r="A30" s="120" t="s">
        <v>115</v>
      </c>
      <c r="B30" s="120" t="s">
        <v>309</v>
      </c>
      <c r="C30" s="137">
        <v>30</v>
      </c>
      <c r="D30" s="73">
        <v>1629240577</v>
      </c>
      <c r="E30" s="208">
        <v>45170</v>
      </c>
      <c r="F30" s="208">
        <v>45535</v>
      </c>
      <c r="G30" s="209">
        <v>4280</v>
      </c>
      <c r="H30" s="200">
        <v>931</v>
      </c>
      <c r="I30" s="73">
        <v>24</v>
      </c>
      <c r="J30" s="210">
        <v>59665</v>
      </c>
      <c r="K30" s="210">
        <v>2894243</v>
      </c>
      <c r="L30" s="210">
        <v>1729059</v>
      </c>
      <c r="M30" s="137">
        <v>1</v>
      </c>
      <c r="N30" s="211">
        <v>1</v>
      </c>
      <c r="O30" s="189"/>
      <c r="P30" s="193">
        <v>200</v>
      </c>
      <c r="Q30" s="193">
        <v>731</v>
      </c>
      <c r="R30" s="212">
        <v>42066</v>
      </c>
      <c r="S30" s="138">
        <v>771.22</v>
      </c>
      <c r="T30" s="189"/>
    </row>
    <row r="31" spans="1:20" x14ac:dyDescent="0.45">
      <c r="A31" s="120" t="s">
        <v>155</v>
      </c>
      <c r="B31" s="120" t="s">
        <v>300</v>
      </c>
      <c r="C31" s="137">
        <v>19</v>
      </c>
      <c r="D31" s="73">
        <v>1780183335</v>
      </c>
      <c r="E31" s="208">
        <v>45292</v>
      </c>
      <c r="F31" s="208">
        <v>45657</v>
      </c>
      <c r="G31" s="209">
        <v>12078</v>
      </c>
      <c r="H31" s="200">
        <v>0</v>
      </c>
      <c r="I31" s="73">
        <v>33</v>
      </c>
      <c r="J31" s="210">
        <v>323641</v>
      </c>
      <c r="K31" s="210">
        <v>4451957</v>
      </c>
      <c r="L31" s="210">
        <v>485188</v>
      </c>
      <c r="M31" s="137">
        <v>1</v>
      </c>
      <c r="N31" s="211">
        <v>3</v>
      </c>
      <c r="O31" s="137">
        <v>3</v>
      </c>
      <c r="P31" s="193">
        <v>0</v>
      </c>
      <c r="Q31" s="193">
        <v>0</v>
      </c>
      <c r="R31" s="212">
        <v>42098</v>
      </c>
      <c r="S31" s="138">
        <v>636.04</v>
      </c>
      <c r="T31" s="189"/>
    </row>
    <row r="32" spans="1:20" ht="38.4" x14ac:dyDescent="0.45">
      <c r="A32" s="120" t="s">
        <v>116</v>
      </c>
      <c r="B32" s="120" t="s">
        <v>274</v>
      </c>
      <c r="C32" s="137">
        <v>38</v>
      </c>
      <c r="D32" s="73">
        <v>1417997370</v>
      </c>
      <c r="E32" s="208">
        <v>45108</v>
      </c>
      <c r="F32" s="208">
        <v>45473</v>
      </c>
      <c r="G32" s="209">
        <v>164258</v>
      </c>
      <c r="H32" s="200">
        <v>163139</v>
      </c>
      <c r="I32" s="73">
        <v>769</v>
      </c>
      <c r="J32" s="210">
        <v>18826496</v>
      </c>
      <c r="K32" s="210">
        <v>315203106</v>
      </c>
      <c r="L32" s="210">
        <v>158877363</v>
      </c>
      <c r="M32" s="137">
        <v>1</v>
      </c>
      <c r="N32" s="211">
        <v>1</v>
      </c>
      <c r="O32" s="189"/>
      <c r="P32" s="193">
        <v>15773</v>
      </c>
      <c r="Q32" s="193">
        <v>147366</v>
      </c>
      <c r="R32" s="212" t="s">
        <v>310</v>
      </c>
      <c r="S32" s="138">
        <v>771.22</v>
      </c>
      <c r="T32" s="189"/>
    </row>
    <row r="33" spans="1:20" x14ac:dyDescent="0.45">
      <c r="A33" s="120" t="s">
        <v>117</v>
      </c>
      <c r="B33" s="120" t="s">
        <v>311</v>
      </c>
      <c r="C33" s="137">
        <v>42</v>
      </c>
      <c r="D33" s="73">
        <v>1376539130</v>
      </c>
      <c r="E33" s="208">
        <v>45108</v>
      </c>
      <c r="F33" s="208">
        <v>45473</v>
      </c>
      <c r="G33" s="209">
        <v>32509</v>
      </c>
      <c r="H33" s="200">
        <v>26921</v>
      </c>
      <c r="I33" s="73">
        <v>110</v>
      </c>
      <c r="J33" s="210">
        <v>268109</v>
      </c>
      <c r="K33" s="210">
        <v>17844841</v>
      </c>
      <c r="L33" s="210">
        <v>9660155</v>
      </c>
      <c r="M33" s="137">
        <v>1</v>
      </c>
      <c r="N33" s="211">
        <v>1</v>
      </c>
      <c r="O33" s="189"/>
      <c r="P33" s="193">
        <v>1312</v>
      </c>
      <c r="Q33" s="193">
        <v>25609</v>
      </c>
      <c r="R33" s="212" t="s">
        <v>281</v>
      </c>
      <c r="S33" s="138">
        <v>605.96737493339617</v>
      </c>
      <c r="T33" s="137" t="s">
        <v>64</v>
      </c>
    </row>
    <row r="34" spans="1:20" x14ac:dyDescent="0.45">
      <c r="A34" s="120" t="s">
        <v>118</v>
      </c>
      <c r="B34" s="120" t="s">
        <v>312</v>
      </c>
      <c r="C34" s="137">
        <v>42</v>
      </c>
      <c r="D34" s="73">
        <v>1144358953</v>
      </c>
      <c r="E34" s="208">
        <v>45108</v>
      </c>
      <c r="F34" s="208">
        <v>45473</v>
      </c>
      <c r="G34" s="209">
        <v>31203</v>
      </c>
      <c r="H34" s="200">
        <v>18455</v>
      </c>
      <c r="I34" s="73">
        <v>95</v>
      </c>
      <c r="J34" s="210">
        <v>678243</v>
      </c>
      <c r="K34" s="210">
        <v>19319486</v>
      </c>
      <c r="L34" s="210">
        <v>13443540</v>
      </c>
      <c r="M34" s="137">
        <v>1</v>
      </c>
      <c r="N34" s="211">
        <v>1</v>
      </c>
      <c r="O34" s="189"/>
      <c r="P34" s="193">
        <v>2844</v>
      </c>
      <c r="Q34" s="193">
        <v>15611</v>
      </c>
      <c r="R34" s="212">
        <v>31670</v>
      </c>
      <c r="S34" s="138">
        <v>641.84326042750024</v>
      </c>
      <c r="T34" s="189"/>
    </row>
    <row r="35" spans="1:20" ht="38.4" x14ac:dyDescent="0.45">
      <c r="A35" s="120" t="s">
        <v>119</v>
      </c>
      <c r="B35" s="120" t="s">
        <v>313</v>
      </c>
      <c r="C35" s="137">
        <v>45</v>
      </c>
      <c r="D35" s="73">
        <v>1386763456</v>
      </c>
      <c r="E35" s="208">
        <v>45108</v>
      </c>
      <c r="F35" s="208">
        <v>45473</v>
      </c>
      <c r="G35" s="209">
        <v>28870</v>
      </c>
      <c r="H35" s="200">
        <v>26753</v>
      </c>
      <c r="I35" s="73">
        <v>99</v>
      </c>
      <c r="J35" s="210">
        <v>1008558</v>
      </c>
      <c r="K35" s="210">
        <v>17681032</v>
      </c>
      <c r="L35" s="210">
        <v>8314723</v>
      </c>
      <c r="M35" s="137">
        <v>1</v>
      </c>
      <c r="N35" s="211">
        <v>1</v>
      </c>
      <c r="O35" s="189"/>
      <c r="P35" s="193">
        <v>644</v>
      </c>
      <c r="Q35" s="193">
        <v>26109</v>
      </c>
      <c r="R35" s="212" t="s">
        <v>314</v>
      </c>
      <c r="S35" s="138">
        <v>631.36579408406681</v>
      </c>
      <c r="T35" s="137" t="s">
        <v>64</v>
      </c>
    </row>
    <row r="36" spans="1:20" x14ac:dyDescent="0.45">
      <c r="A36" s="120" t="s">
        <v>120</v>
      </c>
      <c r="B36" s="120" t="s">
        <v>315</v>
      </c>
      <c r="C36" s="137">
        <v>19</v>
      </c>
      <c r="D36" s="73">
        <v>1811107410</v>
      </c>
      <c r="E36" s="208">
        <v>45292</v>
      </c>
      <c r="F36" s="208">
        <v>45657</v>
      </c>
      <c r="G36" s="209">
        <v>22257</v>
      </c>
      <c r="H36" s="200">
        <v>0</v>
      </c>
      <c r="I36" s="73">
        <v>69</v>
      </c>
      <c r="J36" s="210">
        <v>2065229</v>
      </c>
      <c r="K36" s="210">
        <v>18816019</v>
      </c>
      <c r="L36" s="210">
        <v>12077298</v>
      </c>
      <c r="M36" s="137">
        <v>1</v>
      </c>
      <c r="N36" s="211">
        <v>5</v>
      </c>
      <c r="O36" s="137">
        <v>5</v>
      </c>
      <c r="P36" s="193">
        <v>0</v>
      </c>
      <c r="Q36" s="193">
        <v>0</v>
      </c>
      <c r="R36" s="212" t="s">
        <v>316</v>
      </c>
      <c r="S36" s="138">
        <v>771.22</v>
      </c>
      <c r="T36" s="189"/>
    </row>
    <row r="37" spans="1:20" x14ac:dyDescent="0.45">
      <c r="A37" s="120" t="s">
        <v>121</v>
      </c>
      <c r="B37" s="120" t="s">
        <v>317</v>
      </c>
      <c r="C37" s="137">
        <v>25</v>
      </c>
      <c r="D37" s="73">
        <v>1326146333</v>
      </c>
      <c r="E37" s="208">
        <v>45108</v>
      </c>
      <c r="F37" s="208">
        <v>45473</v>
      </c>
      <c r="G37" s="209">
        <v>17584</v>
      </c>
      <c r="H37" s="200">
        <v>16892</v>
      </c>
      <c r="I37" s="73">
        <v>50</v>
      </c>
      <c r="J37" s="210">
        <v>161366</v>
      </c>
      <c r="K37" s="210">
        <v>8912804</v>
      </c>
      <c r="L37" s="210">
        <v>5674310</v>
      </c>
      <c r="M37" s="137">
        <v>1</v>
      </c>
      <c r="N37" s="211">
        <v>1</v>
      </c>
      <c r="O37" s="189"/>
      <c r="P37" s="193">
        <v>285</v>
      </c>
      <c r="Q37" s="193">
        <v>16607</v>
      </c>
      <c r="R37" s="212" t="s">
        <v>318</v>
      </c>
      <c r="S37" s="138">
        <v>605.33926173247994</v>
      </c>
      <c r="T37" s="137" t="s">
        <v>64</v>
      </c>
    </row>
    <row r="38" spans="1:20" ht="38.4" x14ac:dyDescent="0.45">
      <c r="A38" s="120" t="s">
        <v>122</v>
      </c>
      <c r="B38" s="120" t="s">
        <v>319</v>
      </c>
      <c r="C38" s="137">
        <v>19</v>
      </c>
      <c r="D38" s="73">
        <v>1336289966</v>
      </c>
      <c r="E38" s="208">
        <v>45292</v>
      </c>
      <c r="F38" s="208">
        <v>45657</v>
      </c>
      <c r="G38" s="209">
        <v>31771</v>
      </c>
      <c r="H38" s="200">
        <v>30487</v>
      </c>
      <c r="I38" s="73">
        <v>110</v>
      </c>
      <c r="J38" s="210">
        <v>749100</v>
      </c>
      <c r="K38" s="210">
        <v>24936876</v>
      </c>
      <c r="L38" s="210">
        <v>18698737</v>
      </c>
      <c r="M38" s="137">
        <v>1</v>
      </c>
      <c r="N38" s="211">
        <v>1</v>
      </c>
      <c r="O38" s="189"/>
      <c r="P38" s="193">
        <v>2700</v>
      </c>
      <c r="Q38" s="193">
        <v>27787</v>
      </c>
      <c r="R38" s="212" t="s">
        <v>320</v>
      </c>
      <c r="S38" s="138">
        <v>771.22</v>
      </c>
      <c r="T38" s="189"/>
    </row>
    <row r="39" spans="1:20" ht="38.4" x14ac:dyDescent="0.45">
      <c r="A39" s="120" t="s">
        <v>123</v>
      </c>
      <c r="B39" s="120" t="s">
        <v>321</v>
      </c>
      <c r="C39" s="137">
        <v>36</v>
      </c>
      <c r="D39" s="73">
        <v>1174674246</v>
      </c>
      <c r="E39" s="208">
        <v>45108</v>
      </c>
      <c r="F39" s="208">
        <v>45473</v>
      </c>
      <c r="G39" s="209">
        <v>7124</v>
      </c>
      <c r="H39" s="200">
        <v>7044</v>
      </c>
      <c r="I39" s="73">
        <v>20</v>
      </c>
      <c r="J39" s="210">
        <v>380017</v>
      </c>
      <c r="K39" s="210">
        <v>4810358</v>
      </c>
      <c r="L39" s="210">
        <v>2952119</v>
      </c>
      <c r="M39" s="137">
        <v>1</v>
      </c>
      <c r="N39" s="211">
        <v>1</v>
      </c>
      <c r="O39" s="189"/>
      <c r="P39" s="193">
        <v>0</v>
      </c>
      <c r="Q39" s="193">
        <v>7044</v>
      </c>
      <c r="R39" s="212" t="s">
        <v>322</v>
      </c>
      <c r="S39" s="138">
        <v>771.22</v>
      </c>
      <c r="T39" s="137" t="s">
        <v>64</v>
      </c>
    </row>
    <row r="40" spans="1:20" ht="38.4" x14ac:dyDescent="0.45">
      <c r="A40" s="120" t="s">
        <v>125</v>
      </c>
      <c r="B40" s="120" t="s">
        <v>323</v>
      </c>
      <c r="C40" s="137">
        <v>50</v>
      </c>
      <c r="D40" s="73">
        <v>1861533648</v>
      </c>
      <c r="E40" s="208">
        <v>45108</v>
      </c>
      <c r="F40" s="208">
        <v>45473</v>
      </c>
      <c r="G40" s="209">
        <v>31157</v>
      </c>
      <c r="H40" s="200">
        <v>28187</v>
      </c>
      <c r="I40" s="73">
        <v>115</v>
      </c>
      <c r="J40" s="210">
        <v>1429259</v>
      </c>
      <c r="K40" s="210">
        <v>16075752</v>
      </c>
      <c r="L40" s="210">
        <v>8160824</v>
      </c>
      <c r="M40" s="137">
        <v>1</v>
      </c>
      <c r="N40" s="211">
        <v>1</v>
      </c>
      <c r="O40" s="189"/>
      <c r="P40" s="193">
        <v>2439</v>
      </c>
      <c r="Q40" s="193">
        <v>25748</v>
      </c>
      <c r="R40" s="212" t="s">
        <v>324</v>
      </c>
      <c r="S40" s="138">
        <v>659.44775879121482</v>
      </c>
      <c r="T40" s="189"/>
    </row>
    <row r="41" spans="1:20" x14ac:dyDescent="0.45">
      <c r="A41" s="120" t="s">
        <v>126</v>
      </c>
      <c r="B41" s="120" t="s">
        <v>325</v>
      </c>
      <c r="C41" s="137">
        <v>56</v>
      </c>
      <c r="D41" s="73">
        <v>1770659153</v>
      </c>
      <c r="E41" s="208">
        <v>45292</v>
      </c>
      <c r="F41" s="208">
        <v>45657</v>
      </c>
      <c r="G41" s="209">
        <v>26221</v>
      </c>
      <c r="H41" s="200">
        <v>20073</v>
      </c>
      <c r="I41" s="73">
        <v>75</v>
      </c>
      <c r="J41" s="210">
        <v>657492</v>
      </c>
      <c r="K41" s="210">
        <v>21710399</v>
      </c>
      <c r="L41" s="210">
        <v>12436998</v>
      </c>
      <c r="M41" s="137">
        <v>1</v>
      </c>
      <c r="N41" s="211">
        <v>1</v>
      </c>
      <c r="O41" s="189"/>
      <c r="P41" s="193">
        <v>4020</v>
      </c>
      <c r="Q41" s="193">
        <v>16053</v>
      </c>
      <c r="R41" s="212" t="s">
        <v>302</v>
      </c>
      <c r="S41" s="138">
        <v>771.22</v>
      </c>
      <c r="T41" s="137" t="s">
        <v>64</v>
      </c>
    </row>
    <row r="42" spans="1:20" ht="38.4" x14ac:dyDescent="0.45">
      <c r="A42" s="120" t="s">
        <v>129</v>
      </c>
      <c r="B42" s="120" t="s">
        <v>326</v>
      </c>
      <c r="C42" s="137">
        <v>37</v>
      </c>
      <c r="D42" s="73">
        <v>1619947090</v>
      </c>
      <c r="E42" s="208">
        <v>45108</v>
      </c>
      <c r="F42" s="208">
        <v>45473</v>
      </c>
      <c r="G42" s="209">
        <v>23202</v>
      </c>
      <c r="H42" s="200">
        <v>12550</v>
      </c>
      <c r="I42" s="73">
        <v>93</v>
      </c>
      <c r="J42" s="210">
        <v>742198</v>
      </c>
      <c r="K42" s="210">
        <v>16433883</v>
      </c>
      <c r="L42" s="210">
        <v>4416213</v>
      </c>
      <c r="M42" s="137">
        <v>1</v>
      </c>
      <c r="N42" s="211">
        <v>1</v>
      </c>
      <c r="O42" s="189"/>
      <c r="P42" s="193">
        <v>1778</v>
      </c>
      <c r="Q42" s="193">
        <v>10772</v>
      </c>
      <c r="R42" s="212" t="s">
        <v>327</v>
      </c>
      <c r="S42" s="138">
        <v>704.86</v>
      </c>
      <c r="T42" s="189"/>
    </row>
    <row r="43" spans="1:20" x14ac:dyDescent="0.45">
      <c r="A43" s="120" t="s">
        <v>165</v>
      </c>
      <c r="B43" s="120" t="s">
        <v>328</v>
      </c>
      <c r="C43" s="137">
        <v>13</v>
      </c>
      <c r="D43" s="215">
        <v>1184429185</v>
      </c>
      <c r="E43" s="208">
        <v>45108</v>
      </c>
      <c r="F43" s="208">
        <v>45473</v>
      </c>
      <c r="G43" s="209">
        <v>29172</v>
      </c>
      <c r="H43" s="200">
        <v>8666</v>
      </c>
      <c r="I43" s="73">
        <v>99</v>
      </c>
      <c r="J43" s="210">
        <v>118333</v>
      </c>
      <c r="K43" s="210">
        <v>17838730</v>
      </c>
      <c r="L43" s="210">
        <v>10982582</v>
      </c>
      <c r="M43" s="137">
        <v>1</v>
      </c>
      <c r="N43" s="211">
        <v>1</v>
      </c>
      <c r="O43" s="189"/>
      <c r="P43" s="193">
        <v>2260</v>
      </c>
      <c r="Q43" s="193">
        <v>6406</v>
      </c>
      <c r="R43" s="212">
        <v>45678</v>
      </c>
      <c r="S43" s="138">
        <v>704.86</v>
      </c>
      <c r="T43" s="189"/>
    </row>
    <row r="44" spans="1:20" ht="38.4" x14ac:dyDescent="0.45">
      <c r="A44" s="120" t="s">
        <v>130</v>
      </c>
      <c r="B44" s="120" t="s">
        <v>329</v>
      </c>
      <c r="C44" s="137">
        <v>19</v>
      </c>
      <c r="D44" s="73">
        <v>1952348518</v>
      </c>
      <c r="E44" s="208">
        <v>45292</v>
      </c>
      <c r="F44" s="208">
        <v>45657</v>
      </c>
      <c r="G44" s="209">
        <v>19304</v>
      </c>
      <c r="H44" s="200">
        <v>505</v>
      </c>
      <c r="I44" s="73">
        <v>115</v>
      </c>
      <c r="J44" s="210">
        <v>592576</v>
      </c>
      <c r="K44" s="210">
        <v>25003586</v>
      </c>
      <c r="L44" s="210">
        <v>13624359</v>
      </c>
      <c r="M44" s="137">
        <v>1</v>
      </c>
      <c r="N44" s="211">
        <v>1</v>
      </c>
      <c r="O44" s="189"/>
      <c r="P44" s="193">
        <v>27</v>
      </c>
      <c r="Q44" s="193">
        <v>478</v>
      </c>
      <c r="R44" s="212" t="s">
        <v>330</v>
      </c>
      <c r="S44" s="138">
        <v>771.22</v>
      </c>
      <c r="T44" s="189"/>
    </row>
    <row r="45" spans="1:20" ht="38.4" x14ac:dyDescent="0.45">
      <c r="A45" s="120" t="s">
        <v>131</v>
      </c>
      <c r="B45" s="120" t="s">
        <v>331</v>
      </c>
      <c r="C45" s="137">
        <v>19</v>
      </c>
      <c r="D45" s="73">
        <v>1770639809</v>
      </c>
      <c r="E45" s="208">
        <v>45292</v>
      </c>
      <c r="F45" s="208">
        <v>45657</v>
      </c>
      <c r="G45" s="209">
        <v>37166</v>
      </c>
      <c r="H45" s="200">
        <v>0</v>
      </c>
      <c r="I45" s="73">
        <v>125</v>
      </c>
      <c r="J45" s="210">
        <v>790145</v>
      </c>
      <c r="K45" s="210">
        <v>42245320</v>
      </c>
      <c r="L45" s="210">
        <v>23400150</v>
      </c>
      <c r="M45" s="137">
        <v>1</v>
      </c>
      <c r="N45" s="211">
        <v>5</v>
      </c>
      <c r="O45" s="137">
        <v>5</v>
      </c>
      <c r="P45" s="193">
        <v>0</v>
      </c>
      <c r="Q45" s="193">
        <v>0</v>
      </c>
      <c r="R45" s="212">
        <v>39528</v>
      </c>
      <c r="S45" s="138">
        <v>771.22</v>
      </c>
      <c r="T45" s="189"/>
    </row>
    <row r="46" spans="1:20" x14ac:dyDescent="0.45">
      <c r="A46" s="120" t="s">
        <v>132</v>
      </c>
      <c r="B46" s="120" t="s">
        <v>332</v>
      </c>
      <c r="C46" s="137">
        <v>37</v>
      </c>
      <c r="D46" s="73">
        <v>1114091055</v>
      </c>
      <c r="E46" s="208">
        <v>45108</v>
      </c>
      <c r="F46" s="208">
        <v>45473</v>
      </c>
      <c r="G46" s="209">
        <v>5747</v>
      </c>
      <c r="H46" s="200">
        <v>4692</v>
      </c>
      <c r="I46" s="73">
        <v>20</v>
      </c>
      <c r="J46" s="210">
        <v>559140</v>
      </c>
      <c r="K46" s="210">
        <v>8588431</v>
      </c>
      <c r="L46" s="210">
        <v>4515057</v>
      </c>
      <c r="M46" s="137">
        <v>1</v>
      </c>
      <c r="N46" s="211">
        <v>1</v>
      </c>
      <c r="O46" s="189"/>
      <c r="P46" s="193">
        <v>1884</v>
      </c>
      <c r="Q46" s="193">
        <v>2808</v>
      </c>
      <c r="R46" s="212" t="s">
        <v>333</v>
      </c>
      <c r="S46" s="138">
        <v>771.22</v>
      </c>
      <c r="T46" s="189"/>
    </row>
    <row r="47" spans="1:20" x14ac:dyDescent="0.45">
      <c r="A47" s="120" t="s">
        <v>133</v>
      </c>
      <c r="B47" s="120" t="s">
        <v>334</v>
      </c>
      <c r="C47" s="137">
        <v>15</v>
      </c>
      <c r="D47" s="73">
        <v>1669734653</v>
      </c>
      <c r="E47" s="208">
        <v>45292</v>
      </c>
      <c r="F47" s="208">
        <v>45657</v>
      </c>
      <c r="G47" s="209">
        <v>23169</v>
      </c>
      <c r="H47" s="200">
        <v>19192</v>
      </c>
      <c r="I47" s="73">
        <v>125</v>
      </c>
      <c r="J47" s="210">
        <v>674663</v>
      </c>
      <c r="K47" s="210">
        <v>14820278</v>
      </c>
      <c r="L47" s="210">
        <v>9701428</v>
      </c>
      <c r="M47" s="137">
        <v>1</v>
      </c>
      <c r="N47" s="211">
        <v>1</v>
      </c>
      <c r="O47" s="189"/>
      <c r="P47" s="193">
        <v>2463</v>
      </c>
      <c r="Q47" s="193">
        <v>16729</v>
      </c>
      <c r="R47" s="212">
        <v>41163</v>
      </c>
      <c r="S47" s="138">
        <v>771.22</v>
      </c>
      <c r="T47" s="137" t="s">
        <v>64</v>
      </c>
    </row>
    <row r="48" spans="1:20" ht="38.4" x14ac:dyDescent="0.45">
      <c r="A48" s="120" t="s">
        <v>134</v>
      </c>
      <c r="B48" s="120" t="s">
        <v>242</v>
      </c>
      <c r="C48" s="137">
        <v>38</v>
      </c>
      <c r="D48" s="73">
        <v>1285677518</v>
      </c>
      <c r="E48" s="208">
        <v>45108</v>
      </c>
      <c r="F48" s="208">
        <v>45473</v>
      </c>
      <c r="G48" s="209">
        <v>9746</v>
      </c>
      <c r="H48" s="200">
        <v>7563</v>
      </c>
      <c r="I48" s="73">
        <v>30</v>
      </c>
      <c r="J48" s="210">
        <v>984835</v>
      </c>
      <c r="K48" s="210">
        <v>13996804</v>
      </c>
      <c r="L48" s="210">
        <v>7792264</v>
      </c>
      <c r="M48" s="137">
        <v>1</v>
      </c>
      <c r="N48" s="211">
        <v>1</v>
      </c>
      <c r="O48" s="189"/>
      <c r="P48" s="193">
        <v>1382</v>
      </c>
      <c r="Q48" s="193">
        <v>6181</v>
      </c>
      <c r="R48" s="212">
        <v>35144</v>
      </c>
      <c r="S48" s="138">
        <v>771.22</v>
      </c>
      <c r="T48" s="189"/>
    </row>
    <row r="49" spans="1:20" x14ac:dyDescent="0.45">
      <c r="A49" s="120" t="s">
        <v>135</v>
      </c>
      <c r="B49" s="120" t="s">
        <v>335</v>
      </c>
      <c r="C49" s="137">
        <v>19</v>
      </c>
      <c r="D49" s="73">
        <v>1710174818</v>
      </c>
      <c r="E49" s="208">
        <v>45108</v>
      </c>
      <c r="F49" s="208">
        <v>45473</v>
      </c>
      <c r="G49" s="209">
        <v>12618</v>
      </c>
      <c r="H49" s="200">
        <v>0</v>
      </c>
      <c r="I49" s="73">
        <v>44</v>
      </c>
      <c r="J49" s="210">
        <v>136817</v>
      </c>
      <c r="K49" s="210">
        <v>15252192</v>
      </c>
      <c r="L49" s="210">
        <v>6776032</v>
      </c>
      <c r="M49" s="137">
        <v>1</v>
      </c>
      <c r="N49" s="211">
        <v>5</v>
      </c>
      <c r="O49" s="137">
        <v>5</v>
      </c>
      <c r="P49" s="193">
        <v>0</v>
      </c>
      <c r="Q49" s="193">
        <v>0</v>
      </c>
      <c r="R49" s="212" t="s">
        <v>336</v>
      </c>
      <c r="S49" s="138">
        <v>771.22</v>
      </c>
      <c r="T49" s="189"/>
    </row>
    <row r="50" spans="1:20" x14ac:dyDescent="0.45">
      <c r="A50" s="120" t="s">
        <v>136</v>
      </c>
      <c r="B50" s="120" t="s">
        <v>337</v>
      </c>
      <c r="C50" s="137">
        <v>41</v>
      </c>
      <c r="D50" s="73">
        <v>1710066634</v>
      </c>
      <c r="E50" s="208">
        <v>45108</v>
      </c>
      <c r="F50" s="208">
        <v>45473</v>
      </c>
      <c r="G50" s="209">
        <v>97890</v>
      </c>
      <c r="H50" s="200">
        <v>80692</v>
      </c>
      <c r="I50" s="73">
        <v>345</v>
      </c>
      <c r="J50" s="210">
        <v>1150047</v>
      </c>
      <c r="K50" s="210">
        <v>50260317</v>
      </c>
      <c r="L50" s="210">
        <v>8227248</v>
      </c>
      <c r="M50" s="137">
        <v>1</v>
      </c>
      <c r="N50" s="211">
        <v>1</v>
      </c>
      <c r="O50" s="189"/>
      <c r="P50" s="193">
        <v>9018</v>
      </c>
      <c r="Q50" s="193">
        <v>71674</v>
      </c>
      <c r="R50" s="212" t="s">
        <v>338</v>
      </c>
      <c r="S50" s="138">
        <v>771.22</v>
      </c>
      <c r="T50" s="189"/>
    </row>
    <row r="51" spans="1:20" x14ac:dyDescent="0.45">
      <c r="A51" s="120" t="s">
        <v>137</v>
      </c>
      <c r="B51" s="120" t="s">
        <v>339</v>
      </c>
      <c r="C51" s="137">
        <v>43</v>
      </c>
      <c r="D51" s="73">
        <v>1447724646</v>
      </c>
      <c r="E51" s="208">
        <v>45108</v>
      </c>
      <c r="F51" s="208">
        <v>45473</v>
      </c>
      <c r="G51" s="209">
        <v>8299</v>
      </c>
      <c r="H51" s="200">
        <v>0</v>
      </c>
      <c r="I51" s="73">
        <v>24</v>
      </c>
      <c r="J51" s="210">
        <v>361926</v>
      </c>
      <c r="K51" s="210">
        <v>17025589</v>
      </c>
      <c r="L51" s="210">
        <v>1479804</v>
      </c>
      <c r="M51" s="137">
        <v>1</v>
      </c>
      <c r="N51" s="211">
        <v>5</v>
      </c>
      <c r="O51" s="137">
        <v>5</v>
      </c>
      <c r="P51" s="193">
        <v>0</v>
      </c>
      <c r="Q51" s="193">
        <v>0</v>
      </c>
      <c r="R51" s="212">
        <v>40801</v>
      </c>
      <c r="S51" s="138">
        <v>771.22</v>
      </c>
      <c r="T51" s="189"/>
    </row>
    <row r="52" spans="1:20" x14ac:dyDescent="0.45">
      <c r="A52" s="120" t="s">
        <v>138</v>
      </c>
      <c r="B52" s="120" t="s">
        <v>340</v>
      </c>
      <c r="C52" s="137">
        <v>32</v>
      </c>
      <c r="D52" s="73">
        <v>1326234022</v>
      </c>
      <c r="E52" s="208">
        <v>45108</v>
      </c>
      <c r="F52" s="208">
        <v>45473</v>
      </c>
      <c r="G52" s="209">
        <v>5098</v>
      </c>
      <c r="H52" s="200">
        <v>4943</v>
      </c>
      <c r="I52" s="73">
        <v>16</v>
      </c>
      <c r="J52" s="210">
        <v>71811</v>
      </c>
      <c r="K52" s="210">
        <v>4014231</v>
      </c>
      <c r="L52" s="210">
        <v>2246694</v>
      </c>
      <c r="M52" s="137">
        <v>1</v>
      </c>
      <c r="N52" s="211">
        <v>1</v>
      </c>
      <c r="O52" s="189"/>
      <c r="P52" s="193">
        <v>179</v>
      </c>
      <c r="Q52" s="193">
        <v>4764</v>
      </c>
      <c r="R52" s="212" t="s">
        <v>341</v>
      </c>
      <c r="S52" s="138">
        <v>771.22</v>
      </c>
      <c r="T52" s="137" t="s">
        <v>64</v>
      </c>
    </row>
    <row r="53" spans="1:20" x14ac:dyDescent="0.45">
      <c r="A53" s="120" t="s">
        <v>139</v>
      </c>
      <c r="B53" s="221" t="s">
        <v>342</v>
      </c>
      <c r="C53" s="201">
        <v>41</v>
      </c>
      <c r="D53" s="75">
        <v>1386252112</v>
      </c>
      <c r="E53" s="208">
        <v>45108</v>
      </c>
      <c r="F53" s="208">
        <v>45473</v>
      </c>
      <c r="G53" s="209">
        <v>20750</v>
      </c>
      <c r="H53" s="200">
        <v>11246</v>
      </c>
      <c r="I53" s="73">
        <v>142</v>
      </c>
      <c r="J53" s="210">
        <v>346293</v>
      </c>
      <c r="K53" s="210">
        <v>18769188</v>
      </c>
      <c r="L53" s="210">
        <v>14363723</v>
      </c>
      <c r="M53" s="137">
        <v>1</v>
      </c>
      <c r="N53" s="211">
        <v>1</v>
      </c>
      <c r="O53" s="189"/>
      <c r="P53" s="193">
        <v>1166</v>
      </c>
      <c r="Q53" s="193">
        <v>10080</v>
      </c>
      <c r="R53" s="222"/>
      <c r="S53" s="138">
        <v>636.04</v>
      </c>
      <c r="T53" s="189"/>
    </row>
    <row r="54" spans="1:20" x14ac:dyDescent="0.45">
      <c r="A54" s="120" t="s">
        <v>140</v>
      </c>
      <c r="B54" s="120" t="s">
        <v>343</v>
      </c>
      <c r="C54" s="137">
        <v>37</v>
      </c>
      <c r="D54" s="73">
        <v>1538142369</v>
      </c>
      <c r="E54" s="208">
        <v>45200</v>
      </c>
      <c r="F54" s="208">
        <v>45565</v>
      </c>
      <c r="G54" s="209">
        <v>29487</v>
      </c>
      <c r="H54" s="200">
        <v>18598</v>
      </c>
      <c r="I54" s="73">
        <v>100</v>
      </c>
      <c r="J54" s="210">
        <v>1711346</v>
      </c>
      <c r="K54" s="210">
        <v>28025165</v>
      </c>
      <c r="L54" s="210">
        <v>16055963</v>
      </c>
      <c r="M54" s="137">
        <v>1</v>
      </c>
      <c r="N54" s="211">
        <v>1</v>
      </c>
      <c r="O54" s="189"/>
      <c r="P54" s="193">
        <v>2323</v>
      </c>
      <c r="Q54" s="193">
        <v>16275</v>
      </c>
      <c r="R54" s="212" t="s">
        <v>344</v>
      </c>
      <c r="S54" s="138">
        <v>771.22</v>
      </c>
      <c r="T54" s="189"/>
    </row>
    <row r="55" spans="1:20" x14ac:dyDescent="0.45">
      <c r="A55" s="120" t="s">
        <v>141</v>
      </c>
      <c r="B55" s="120" t="s">
        <v>345</v>
      </c>
      <c r="C55" s="137">
        <v>37</v>
      </c>
      <c r="D55" s="73">
        <v>1184607418</v>
      </c>
      <c r="E55" s="208">
        <v>45200</v>
      </c>
      <c r="F55" s="208">
        <v>45565</v>
      </c>
      <c r="G55" s="209">
        <v>16084</v>
      </c>
      <c r="H55" s="200">
        <v>12878</v>
      </c>
      <c r="I55" s="73">
        <v>51</v>
      </c>
      <c r="J55" s="210">
        <v>1004188</v>
      </c>
      <c r="K55" s="210">
        <v>13421684</v>
      </c>
      <c r="L55" s="210">
        <v>8379935</v>
      </c>
      <c r="M55" s="137">
        <v>1</v>
      </c>
      <c r="N55" s="211">
        <v>1</v>
      </c>
      <c r="O55" s="189"/>
      <c r="P55" s="193">
        <v>936</v>
      </c>
      <c r="Q55" s="193">
        <v>11942</v>
      </c>
      <c r="R55" s="212" t="s">
        <v>346</v>
      </c>
      <c r="S55" s="138">
        <v>771.22</v>
      </c>
      <c r="T55" s="189"/>
    </row>
    <row r="56" spans="1:20" ht="38.4" x14ac:dyDescent="0.45">
      <c r="A56" s="120" t="s">
        <v>142</v>
      </c>
      <c r="B56" s="120" t="s">
        <v>347</v>
      </c>
      <c r="C56" s="137">
        <v>19</v>
      </c>
      <c r="D56" s="73">
        <v>1396031639</v>
      </c>
      <c r="E56" s="208">
        <v>45292</v>
      </c>
      <c r="F56" s="208">
        <v>45657</v>
      </c>
      <c r="G56" s="209">
        <v>6884</v>
      </c>
      <c r="H56" s="200">
        <v>0</v>
      </c>
      <c r="I56" s="73">
        <v>22</v>
      </c>
      <c r="J56" s="210">
        <v>454758</v>
      </c>
      <c r="K56" s="210">
        <v>6829578</v>
      </c>
      <c r="L56" s="210">
        <v>3712996</v>
      </c>
      <c r="M56" s="137">
        <v>1</v>
      </c>
      <c r="N56" s="211">
        <v>5</v>
      </c>
      <c r="O56" s="137">
        <v>5</v>
      </c>
      <c r="P56" s="193">
        <v>0</v>
      </c>
      <c r="Q56" s="193">
        <v>0</v>
      </c>
      <c r="R56" s="212">
        <v>41787</v>
      </c>
      <c r="S56" s="138">
        <v>771.22</v>
      </c>
      <c r="T56" s="189"/>
    </row>
    <row r="57" spans="1:20" x14ac:dyDescent="0.45">
      <c r="A57" s="120" t="s">
        <v>143</v>
      </c>
      <c r="B57" s="120" t="s">
        <v>348</v>
      </c>
      <c r="C57" s="137">
        <v>54</v>
      </c>
      <c r="D57" s="73">
        <v>1235352618</v>
      </c>
      <c r="E57" s="208">
        <v>45108</v>
      </c>
      <c r="F57" s="208">
        <v>45473</v>
      </c>
      <c r="G57" s="209">
        <v>12200</v>
      </c>
      <c r="H57" s="200">
        <v>0</v>
      </c>
      <c r="I57" s="73">
        <v>35</v>
      </c>
      <c r="J57" s="210">
        <v>713868</v>
      </c>
      <c r="K57" s="210">
        <v>10781380</v>
      </c>
      <c r="L57" s="210">
        <v>8060945</v>
      </c>
      <c r="M57" s="137">
        <v>1</v>
      </c>
      <c r="N57" s="211">
        <v>5</v>
      </c>
      <c r="O57" s="137">
        <v>5</v>
      </c>
      <c r="P57" s="193">
        <v>0</v>
      </c>
      <c r="Q57" s="193">
        <v>0</v>
      </c>
      <c r="R57" s="212">
        <v>36826</v>
      </c>
      <c r="S57" s="138">
        <v>771.22</v>
      </c>
      <c r="T57" s="189"/>
    </row>
    <row r="58" spans="1:20" x14ac:dyDescent="0.45">
      <c r="A58" s="120" t="s">
        <v>144</v>
      </c>
      <c r="B58" s="120" t="s">
        <v>349</v>
      </c>
      <c r="C58" s="137">
        <v>49</v>
      </c>
      <c r="D58" s="73">
        <v>1407938574</v>
      </c>
      <c r="E58" s="208">
        <v>45108</v>
      </c>
      <c r="F58" s="208">
        <v>45473</v>
      </c>
      <c r="G58" s="209">
        <v>9582</v>
      </c>
      <c r="H58" s="200">
        <v>6537</v>
      </c>
      <c r="I58" s="73">
        <v>27</v>
      </c>
      <c r="J58" s="210">
        <v>591947</v>
      </c>
      <c r="K58" s="210">
        <v>7546980</v>
      </c>
      <c r="L58" s="210">
        <v>918052</v>
      </c>
      <c r="M58" s="137">
        <v>1</v>
      </c>
      <c r="N58" s="211">
        <v>1</v>
      </c>
      <c r="O58" s="189"/>
      <c r="P58" s="193">
        <v>415</v>
      </c>
      <c r="Q58" s="193">
        <v>6122</v>
      </c>
      <c r="R58" s="212" t="s">
        <v>350</v>
      </c>
      <c r="S58" s="138">
        <v>771.22</v>
      </c>
      <c r="T58" s="189"/>
    </row>
    <row r="59" spans="1:20" x14ac:dyDescent="0.45">
      <c r="A59" s="120" t="s">
        <v>145</v>
      </c>
      <c r="B59" s="120" t="s">
        <v>351</v>
      </c>
      <c r="C59" s="137">
        <v>55</v>
      </c>
      <c r="D59" s="73">
        <v>1801887401</v>
      </c>
      <c r="E59" s="208">
        <v>45292</v>
      </c>
      <c r="F59" s="208">
        <v>45657</v>
      </c>
      <c r="G59" s="209">
        <v>21613</v>
      </c>
      <c r="H59" s="200">
        <v>3093</v>
      </c>
      <c r="I59" s="73">
        <v>68</v>
      </c>
      <c r="J59" s="210">
        <v>178900</v>
      </c>
      <c r="K59" s="210">
        <v>15623224</v>
      </c>
      <c r="L59" s="210">
        <v>7954460</v>
      </c>
      <c r="M59" s="137">
        <v>1</v>
      </c>
      <c r="N59" s="211">
        <v>1</v>
      </c>
      <c r="O59" s="189"/>
      <c r="P59" s="193">
        <v>1714</v>
      </c>
      <c r="Q59" s="193">
        <v>1379</v>
      </c>
      <c r="R59" s="212" t="s">
        <v>352</v>
      </c>
      <c r="S59" s="138">
        <v>771.22</v>
      </c>
      <c r="T59" s="137" t="s">
        <v>64</v>
      </c>
    </row>
    <row r="60" spans="1:20" x14ac:dyDescent="0.45">
      <c r="A60" s="120" t="s">
        <v>146</v>
      </c>
      <c r="B60" s="120" t="s">
        <v>353</v>
      </c>
      <c r="C60" s="137">
        <v>14</v>
      </c>
      <c r="D60" s="73">
        <v>1831128602</v>
      </c>
      <c r="E60" s="208">
        <v>45108</v>
      </c>
      <c r="F60" s="208">
        <v>45473</v>
      </c>
      <c r="G60" s="209">
        <v>10830</v>
      </c>
      <c r="H60" s="200">
        <v>9963</v>
      </c>
      <c r="I60" s="73">
        <v>33</v>
      </c>
      <c r="J60" s="210">
        <v>43457</v>
      </c>
      <c r="K60" s="210">
        <v>5474581</v>
      </c>
      <c r="L60" s="210">
        <v>3861607</v>
      </c>
      <c r="M60" s="137">
        <v>1</v>
      </c>
      <c r="N60" s="211">
        <v>1</v>
      </c>
      <c r="O60" s="189"/>
      <c r="P60" s="193">
        <v>523</v>
      </c>
      <c r="Q60" s="193">
        <v>9440</v>
      </c>
      <c r="R60" s="222"/>
      <c r="S60" s="138">
        <v>618.59192977394298</v>
      </c>
      <c r="T60" s="137" t="s">
        <v>64</v>
      </c>
    </row>
    <row r="61" spans="1:20" s="216" customFormat="1" x14ac:dyDescent="0.45">
      <c r="A61" s="219" t="s">
        <v>147</v>
      </c>
      <c r="B61" s="220" t="s">
        <v>354</v>
      </c>
      <c r="C61" s="214">
        <v>25</v>
      </c>
      <c r="D61" s="76">
        <v>1700963956</v>
      </c>
      <c r="E61" s="208">
        <v>45108</v>
      </c>
      <c r="F61" s="208">
        <v>45473</v>
      </c>
      <c r="G61" s="209">
        <v>7432</v>
      </c>
      <c r="H61" s="200">
        <v>6427</v>
      </c>
      <c r="I61" s="73">
        <v>22</v>
      </c>
      <c r="J61" s="210">
        <v>196183</v>
      </c>
      <c r="K61" s="210">
        <v>4910436</v>
      </c>
      <c r="L61" s="210">
        <v>2999973</v>
      </c>
      <c r="M61" s="137">
        <v>1</v>
      </c>
      <c r="N61" s="211">
        <v>1</v>
      </c>
      <c r="O61" s="189"/>
      <c r="P61" s="193">
        <v>148</v>
      </c>
      <c r="Q61" s="193">
        <v>6279</v>
      </c>
      <c r="R61" s="223"/>
      <c r="S61" s="138">
        <v>711.31121536869057</v>
      </c>
      <c r="T61" s="137" t="s">
        <v>64</v>
      </c>
    </row>
    <row r="62" spans="1:20" x14ac:dyDescent="0.45">
      <c r="A62" s="120" t="s">
        <v>148</v>
      </c>
      <c r="B62" s="120" t="s">
        <v>355</v>
      </c>
      <c r="C62" s="137">
        <v>29</v>
      </c>
      <c r="D62" s="73">
        <v>1295897395</v>
      </c>
      <c r="E62" s="208">
        <v>45108</v>
      </c>
      <c r="F62" s="208">
        <v>45473</v>
      </c>
      <c r="G62" s="209">
        <v>10948</v>
      </c>
      <c r="H62" s="200">
        <v>2218</v>
      </c>
      <c r="I62" s="73">
        <v>37</v>
      </c>
      <c r="J62" s="210">
        <v>814001</v>
      </c>
      <c r="K62" s="210">
        <v>10250884</v>
      </c>
      <c r="L62" s="210">
        <v>5554221</v>
      </c>
      <c r="M62" s="137">
        <v>1</v>
      </c>
      <c r="N62" s="211">
        <v>1</v>
      </c>
      <c r="O62" s="189"/>
      <c r="P62" s="193">
        <v>1201</v>
      </c>
      <c r="Q62" s="193">
        <v>1017</v>
      </c>
      <c r="R62" s="212" t="s">
        <v>356</v>
      </c>
      <c r="S62" s="138">
        <v>771.22</v>
      </c>
      <c r="T62" s="137" t="s">
        <v>64</v>
      </c>
    </row>
    <row r="63" spans="1:20" x14ac:dyDescent="0.45">
      <c r="A63" s="120" t="s">
        <v>149</v>
      </c>
      <c r="B63" s="120" t="s">
        <v>357</v>
      </c>
      <c r="C63" s="137">
        <v>19</v>
      </c>
      <c r="D63" s="73">
        <v>1740268713</v>
      </c>
      <c r="E63" s="208">
        <v>45108</v>
      </c>
      <c r="F63" s="208">
        <v>45473</v>
      </c>
      <c r="G63" s="209">
        <v>9844</v>
      </c>
      <c r="H63" s="200">
        <v>14</v>
      </c>
      <c r="I63" s="73">
        <v>40</v>
      </c>
      <c r="J63" s="210">
        <v>844767</v>
      </c>
      <c r="K63" s="210">
        <v>13658979</v>
      </c>
      <c r="L63" s="210">
        <v>9673345</v>
      </c>
      <c r="M63" s="137">
        <v>1</v>
      </c>
      <c r="N63" s="211">
        <v>1</v>
      </c>
      <c r="O63" s="189"/>
      <c r="P63" s="193">
        <v>14</v>
      </c>
      <c r="Q63" s="193">
        <v>0</v>
      </c>
      <c r="R63" s="212" t="s">
        <v>358</v>
      </c>
      <c r="S63" s="138">
        <v>771.22</v>
      </c>
      <c r="T63" s="189"/>
    </row>
    <row r="64" spans="1:20" x14ac:dyDescent="0.45">
      <c r="A64" s="120" t="s">
        <v>150</v>
      </c>
      <c r="B64" s="120" t="s">
        <v>359</v>
      </c>
      <c r="C64" s="137">
        <v>53</v>
      </c>
      <c r="D64" s="73">
        <v>1154404010</v>
      </c>
      <c r="E64" s="208">
        <v>45292</v>
      </c>
      <c r="F64" s="208">
        <v>45657</v>
      </c>
      <c r="G64" s="209">
        <v>4305</v>
      </c>
      <c r="H64" s="200">
        <v>4305</v>
      </c>
      <c r="I64" s="73">
        <v>13</v>
      </c>
      <c r="J64" s="210">
        <v>22159</v>
      </c>
      <c r="K64" s="210">
        <v>3606659</v>
      </c>
      <c r="L64" s="210">
        <v>2345472</v>
      </c>
      <c r="M64" s="137">
        <v>1</v>
      </c>
      <c r="N64" s="211">
        <v>1</v>
      </c>
      <c r="O64" s="189"/>
      <c r="P64" s="193">
        <v>0</v>
      </c>
      <c r="Q64" s="193">
        <v>4305</v>
      </c>
      <c r="R64" s="212">
        <v>42887</v>
      </c>
      <c r="S64" s="138">
        <v>771.22</v>
      </c>
      <c r="T64" s="137" t="s">
        <v>64</v>
      </c>
    </row>
    <row r="65" spans="1:20" x14ac:dyDescent="0.45">
      <c r="A65" s="120" t="s">
        <v>151</v>
      </c>
      <c r="B65" s="120" t="s">
        <v>300</v>
      </c>
      <c r="C65" s="137">
        <v>19</v>
      </c>
      <c r="D65" s="73">
        <v>1942281936</v>
      </c>
      <c r="E65" s="208">
        <v>45292</v>
      </c>
      <c r="F65" s="208">
        <v>45657</v>
      </c>
      <c r="G65" s="209">
        <v>1507</v>
      </c>
      <c r="H65" s="200">
        <v>324</v>
      </c>
      <c r="I65" s="73">
        <v>14</v>
      </c>
      <c r="J65" s="210">
        <v>115757</v>
      </c>
      <c r="K65" s="210">
        <v>3131069</v>
      </c>
      <c r="L65" s="210">
        <v>1638980</v>
      </c>
      <c r="M65" s="137">
        <v>1</v>
      </c>
      <c r="N65" s="211">
        <v>1</v>
      </c>
      <c r="O65" s="189"/>
      <c r="P65" s="193">
        <v>0</v>
      </c>
      <c r="Q65" s="193">
        <v>324</v>
      </c>
      <c r="R65" s="212" t="s">
        <v>360</v>
      </c>
      <c r="S65" s="138">
        <v>771.22</v>
      </c>
      <c r="T65" s="189"/>
    </row>
    <row r="66" spans="1:20" hidden="1" x14ac:dyDescent="0.45">
      <c r="C66" s="106"/>
      <c r="G66" s="217"/>
      <c r="H66" s="217"/>
      <c r="I66" s="217"/>
      <c r="J66" s="217"/>
      <c r="K66" s="217"/>
      <c r="L66" s="217"/>
      <c r="M66" s="106"/>
      <c r="N66" s="106"/>
      <c r="O66" s="106"/>
      <c r="P66" s="106"/>
      <c r="Q66" s="106"/>
      <c r="T66" s="106"/>
    </row>
    <row r="70" spans="1:20" hidden="1" x14ac:dyDescent="0.45">
      <c r="A70" s="9"/>
    </row>
  </sheetData>
  <sheetProtection sheet="1" objects="1" scenarios="1" selectLockedCells="1"/>
  <autoFilter ref="A3:T66" xr:uid="{6DEB2891-734C-46AE-A89C-BF3BABC19A8B}"/>
  <phoneticPr fontId="14" type="noConversion"/>
  <dataValidations count="2">
    <dataValidation type="whole" errorStyle="warning" operator="greaterThanOrEqual" allowBlank="1" showInputMessage="1" showErrorMessage="1" error="Total SNF days are less than Medi-Cal SNF days." sqref="P3:P4" xr:uid="{FA69BC90-4542-4B80-AF42-85B312A451C3}">
      <formula1>Q3</formula1>
    </dataValidation>
    <dataValidation type="whole" errorStyle="warning" operator="lessThanOrEqual" allowBlank="1" showInputMessage="1" showErrorMessage="1" error="Medi-Cal days are less than Total days." sqref="Q3:Q4" xr:uid="{3AA4C284-405E-48BA-B05A-784F864924B3}">
      <formula1>P3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15E2B-FC99-41A8-9A94-96CC78F89B70}">
  <sheetPr codeName="Sheet5"/>
  <dimension ref="A1:Q69"/>
  <sheetViews>
    <sheetView topLeftCell="F1" workbookViewId="0">
      <selection activeCell="M2" sqref="M2"/>
    </sheetView>
  </sheetViews>
  <sheetFormatPr defaultColWidth="8.6640625" defaultRowHeight="15" x14ac:dyDescent="0.35"/>
  <cols>
    <col min="1" max="1" width="14.6640625" style="2" customWidth="1"/>
    <col min="2" max="2" width="15.33203125" style="2" customWidth="1"/>
    <col min="3" max="3" width="15.6640625" style="2" customWidth="1"/>
    <col min="4" max="4" width="16.6640625" style="2" customWidth="1"/>
    <col min="5" max="5" width="20.44140625" style="2" bestFit="1" customWidth="1"/>
    <col min="6" max="6" width="19.5546875" style="2" customWidth="1"/>
    <col min="7" max="7" width="16" style="2" customWidth="1"/>
    <col min="8" max="8" width="21.5546875" style="2" customWidth="1"/>
    <col min="9" max="9" width="16.44140625" style="2" customWidth="1"/>
    <col min="10" max="10" width="17" style="2" customWidth="1"/>
    <col min="11" max="11" width="18.33203125" style="2" customWidth="1"/>
    <col min="12" max="12" width="16.33203125" style="2" customWidth="1"/>
    <col min="13" max="13" width="8.6640625" style="2" bestFit="1" customWidth="1"/>
    <col min="14" max="14" width="10.6640625" style="2" customWidth="1"/>
    <col min="15" max="15" width="9.6640625" style="2" customWidth="1"/>
    <col min="16" max="16" width="11.44140625" style="2" customWidth="1"/>
    <col min="17" max="17" width="10.33203125" style="2" customWidth="1"/>
    <col min="18" max="16384" width="8.6640625" style="2"/>
  </cols>
  <sheetData>
    <row r="1" spans="1:17" ht="60" x14ac:dyDescent="0.35">
      <c r="A1" s="27" t="s">
        <v>361</v>
      </c>
      <c r="B1" s="28" t="s">
        <v>362</v>
      </c>
      <c r="C1" s="28" t="s">
        <v>363</v>
      </c>
      <c r="D1" s="29" t="s">
        <v>364</v>
      </c>
      <c r="E1" s="30" t="s">
        <v>365</v>
      </c>
      <c r="F1" s="27" t="s">
        <v>366</v>
      </c>
      <c r="G1" s="27" t="s">
        <v>367</v>
      </c>
      <c r="H1" s="31" t="s">
        <v>368</v>
      </c>
      <c r="I1" s="27" t="s">
        <v>369</v>
      </c>
      <c r="J1" s="31" t="s">
        <v>370</v>
      </c>
      <c r="K1" s="32" t="s">
        <v>371</v>
      </c>
      <c r="L1" s="31" t="s">
        <v>372</v>
      </c>
      <c r="M1" s="31" t="s">
        <v>373</v>
      </c>
      <c r="N1" s="31" t="s">
        <v>374</v>
      </c>
      <c r="O1" s="31" t="s">
        <v>375</v>
      </c>
      <c r="P1" s="31" t="s">
        <v>376</v>
      </c>
      <c r="Q1" s="31" t="s">
        <v>210</v>
      </c>
    </row>
    <row r="2" spans="1:17" x14ac:dyDescent="0.35">
      <c r="A2" s="33">
        <f>Data!J4*Data!M4</f>
        <v>2876558</v>
      </c>
      <c r="B2" s="34">
        <f>Data!K4*Data!M4</f>
        <v>42262873</v>
      </c>
      <c r="C2" s="34">
        <f>B2-A2</f>
        <v>39386315</v>
      </c>
      <c r="D2" s="35">
        <f>C2*'SWB Ratio'!$B$9/0.9</f>
        <v>25029010.01034962</v>
      </c>
      <c r="E2" s="36">
        <f>C2-D2</f>
        <v>14357304.98965038</v>
      </c>
      <c r="F2" s="36">
        <f t="shared" ref="F2" si="0">(A2*1)</f>
        <v>2876558</v>
      </c>
      <c r="G2" s="34" t="e">
        <f>D2*Data!#REF!</f>
        <v>#REF!</v>
      </c>
      <c r="H2" s="37" t="e">
        <f>(E2-(Data!I4*'License Fees'!$A$5))*Data!#REF!</f>
        <v>#REF!</v>
      </c>
      <c r="I2" s="37" t="e">
        <f>(H2+(IF(Data!C4=19,'License Fees'!$B$5+'License Fees'!$D$5,'License Fees'!$B$5)*Data!I4))</f>
        <v>#REF!</v>
      </c>
      <c r="J2" s="34" t="e">
        <f>(F2+G2+I2)/Data!G4</f>
        <v>#REF!</v>
      </c>
      <c r="K2" s="38">
        <f>'SB525 Add-Ons'!$B$5</f>
        <v>1386763456</v>
      </c>
      <c r="L2" s="39" t="e">
        <f>J2+K2</f>
        <v>#REF!</v>
      </c>
      <c r="M2" s="25">
        <f>IF(Data!N4=1,(Data!H4/Data!G4),0)</f>
        <v>0.98537050274005245</v>
      </c>
      <c r="N2" s="40" t="e">
        <f>IF(M2&gt;=20%,L2,"")</f>
        <v>#REF!</v>
      </c>
      <c r="O2" s="40" t="str">
        <f>IF(Data!T4="Y",IF(L2&gt;=$Q$65,$Q$65,L2),"")</f>
        <v/>
      </c>
      <c r="P2" s="40" t="str">
        <f>IF(O2="","",$Q$68)</f>
        <v/>
      </c>
      <c r="Q2" s="40" t="e">
        <f>IF(L2&lt;$Q$65,L2,$Q$65)</f>
        <v>#REF!</v>
      </c>
    </row>
    <row r="3" spans="1:17" x14ac:dyDescent="0.35">
      <c r="A3" s="33">
        <f>Data!J5*Data!M5</f>
        <v>329263</v>
      </c>
      <c r="B3" s="34">
        <f>Data!K5*Data!M5</f>
        <v>30114339</v>
      </c>
      <c r="C3" s="34">
        <f t="shared" ref="C3:C62" si="1">B3-A3</f>
        <v>29785076</v>
      </c>
      <c r="D3" s="35">
        <f>C3*'SWB Ratio'!$B$9/0.9</f>
        <v>18927664.732357528</v>
      </c>
      <c r="E3" s="36">
        <f t="shared" ref="E3:E62" si="2">C3-D3</f>
        <v>10857411.267642472</v>
      </c>
      <c r="F3" s="36">
        <f t="shared" ref="F3:F62" si="3">(A3*1)</f>
        <v>329263</v>
      </c>
      <c r="G3" s="34" t="e">
        <f>D3*Data!#REF!</f>
        <v>#REF!</v>
      </c>
      <c r="H3" s="37" t="e">
        <f>(E3-(Data!I5*'License Fees'!$A$5))*Data!#REF!</f>
        <v>#REF!</v>
      </c>
      <c r="I3" s="37" t="e">
        <f>(H3+(IF(Data!C5=19,'License Fees'!$B$5+'License Fees'!$D$5,'License Fees'!$B$5)*Data!I5))</f>
        <v>#REF!</v>
      </c>
      <c r="J3" s="34" t="e">
        <f>(F3+G3+I3)/Data!G5</f>
        <v>#REF!</v>
      </c>
      <c r="K3" s="38">
        <f>'SB525 Add-Ons'!$B$5</f>
        <v>1386763456</v>
      </c>
      <c r="L3" s="39" t="e">
        <f t="shared" ref="L3:L62" si="4">J3+K3</f>
        <v>#REF!</v>
      </c>
      <c r="M3" s="25">
        <f>IF(Data!N5=1,(Data!H5/Data!G5),0)</f>
        <v>0.69226811858266701</v>
      </c>
      <c r="N3" s="40" t="e">
        <f t="shared" ref="N3:N62" si="5">IF(M3&gt;=20%,L3,"")</f>
        <v>#REF!</v>
      </c>
      <c r="O3" s="40" t="str">
        <f>IF(Data!T5="Y",IF(L3&gt;=$Q$65,$Q$65,L3),"")</f>
        <v/>
      </c>
      <c r="P3" s="40" t="str">
        <f t="shared" ref="P3:P62" si="6">IF(O3="","",$Q$68)</f>
        <v/>
      </c>
      <c r="Q3" s="40" t="e">
        <f t="shared" ref="Q3:Q62" si="7">IF(L3&lt;$Q$65,L3,$Q$65)</f>
        <v>#REF!</v>
      </c>
    </row>
    <row r="4" spans="1:17" x14ac:dyDescent="0.35">
      <c r="A4" s="33">
        <f>Data!J6*Data!M6</f>
        <v>404688</v>
      </c>
      <c r="B4" s="34">
        <f>Data!K6*Data!M6</f>
        <v>12091201</v>
      </c>
      <c r="C4" s="34">
        <f t="shared" si="1"/>
        <v>11686513</v>
      </c>
      <c r="D4" s="35">
        <f>C4*'SWB Ratio'!$B$9/0.9</f>
        <v>7426484.3223612309</v>
      </c>
      <c r="E4" s="36">
        <f t="shared" si="2"/>
        <v>4260028.6776387691</v>
      </c>
      <c r="F4" s="36">
        <f t="shared" si="3"/>
        <v>404688</v>
      </c>
      <c r="G4" s="34" t="e">
        <f>D4*Data!#REF!</f>
        <v>#REF!</v>
      </c>
      <c r="H4" s="37" t="e">
        <f>(E4-(Data!I6*'License Fees'!$A$5))*Data!#REF!</f>
        <v>#REF!</v>
      </c>
      <c r="I4" s="37" t="e">
        <f>(H4+(IF(Data!C6=19,'License Fees'!$B$5+'License Fees'!$D$5,'License Fees'!$B$5)*Data!I6))</f>
        <v>#REF!</v>
      </c>
      <c r="J4" s="34" t="e">
        <f>(F4+G4+I4)/Data!G6</f>
        <v>#REF!</v>
      </c>
      <c r="K4" s="38">
        <f>'SB525 Add-Ons'!$B$5</f>
        <v>1386763456</v>
      </c>
      <c r="L4" s="39" t="e">
        <f t="shared" si="4"/>
        <v>#REF!</v>
      </c>
      <c r="M4" s="25">
        <f>IF(Data!N6=1,(Data!H6/Data!G6),0)</f>
        <v>0.92063792233988906</v>
      </c>
      <c r="N4" s="40" t="e">
        <f t="shared" si="5"/>
        <v>#REF!</v>
      </c>
      <c r="O4" s="40" t="e">
        <f>IF(Data!T6="Y",IF(L4&gt;=$Q$65,$Q$65,L4),"")</f>
        <v>#REF!</v>
      </c>
      <c r="P4" s="40" t="e">
        <f t="shared" si="6"/>
        <v>#REF!</v>
      </c>
      <c r="Q4" s="40" t="e">
        <f t="shared" si="7"/>
        <v>#REF!</v>
      </c>
    </row>
    <row r="5" spans="1:17" x14ac:dyDescent="0.35">
      <c r="A5" s="33">
        <f>Data!J7*Data!M7</f>
        <v>166958</v>
      </c>
      <c r="B5" s="34">
        <f>Data!K7*Data!M7</f>
        <v>4612102</v>
      </c>
      <c r="C5" s="34">
        <f t="shared" si="1"/>
        <v>4445144</v>
      </c>
      <c r="D5" s="35">
        <f>C5*'SWB Ratio'!$B$9/0.9</f>
        <v>2824776.9224779108</v>
      </c>
      <c r="E5" s="36">
        <f t="shared" si="2"/>
        <v>1620367.0775220892</v>
      </c>
      <c r="F5" s="36">
        <f t="shared" si="3"/>
        <v>166958</v>
      </c>
      <c r="G5" s="34" t="e">
        <f>D5*Data!#REF!</f>
        <v>#REF!</v>
      </c>
      <c r="H5" s="37" t="e">
        <f>(E5-(Data!I7*'License Fees'!$A$5))*Data!#REF!</f>
        <v>#REF!</v>
      </c>
      <c r="I5" s="37" t="e">
        <f>(H5+(IF(Data!C7=19,'License Fees'!$B$5+'License Fees'!$D$5,'License Fees'!$B$5)*Data!I7))</f>
        <v>#REF!</v>
      </c>
      <c r="J5" s="34" t="e">
        <f>(F5+G5+I5)/Data!G7</f>
        <v>#REF!</v>
      </c>
      <c r="K5" s="38">
        <f>'SB525 Add-Ons'!$B$5</f>
        <v>1386763456</v>
      </c>
      <c r="L5" s="39" t="e">
        <f t="shared" si="4"/>
        <v>#REF!</v>
      </c>
      <c r="M5" s="25">
        <f>IF(Data!N7=1,(Data!H7/Data!G7),0)</f>
        <v>0.35337078651685394</v>
      </c>
      <c r="N5" s="40" t="e">
        <f t="shared" si="5"/>
        <v>#REF!</v>
      </c>
      <c r="O5" s="40" t="e">
        <f>IF(Data!T7="Y",IF(L5&gt;=$Q$65,$Q$65,L5),"")</f>
        <v>#REF!</v>
      </c>
      <c r="P5" s="40" t="e">
        <f t="shared" si="6"/>
        <v>#REF!</v>
      </c>
      <c r="Q5" s="40" t="e">
        <f t="shared" si="7"/>
        <v>#REF!</v>
      </c>
    </row>
    <row r="6" spans="1:17" x14ac:dyDescent="0.35">
      <c r="A6" s="33">
        <f>Data!J8*Data!M8</f>
        <v>522764</v>
      </c>
      <c r="B6" s="34">
        <f>Data!K8*Data!M8</f>
        <v>42725216</v>
      </c>
      <c r="C6" s="34">
        <f t="shared" si="1"/>
        <v>42202452</v>
      </c>
      <c r="D6" s="35">
        <f>C6*'SWB Ratio'!$B$9/0.9</f>
        <v>26818594.061650589</v>
      </c>
      <c r="E6" s="36">
        <f t="shared" si="2"/>
        <v>15383857.938349411</v>
      </c>
      <c r="F6" s="36">
        <f t="shared" si="3"/>
        <v>522764</v>
      </c>
      <c r="G6" s="34" t="e">
        <f>D6*Data!#REF!</f>
        <v>#REF!</v>
      </c>
      <c r="H6" s="37" t="e">
        <f>(E6-(Data!I8*'License Fees'!$A$5))*Data!#REF!</f>
        <v>#REF!</v>
      </c>
      <c r="I6" s="37" t="e">
        <f>(H6+(IF(Data!C8=19,'License Fees'!$B$5+'License Fees'!$D$5,'License Fees'!$B$5)*Data!I8))</f>
        <v>#REF!</v>
      </c>
      <c r="J6" s="34" t="e">
        <f>(F6+G6+I6)/Data!G8</f>
        <v>#REF!</v>
      </c>
      <c r="K6" s="38">
        <f>'SB525 Add-Ons'!$B$5</f>
        <v>1386763456</v>
      </c>
      <c r="L6" s="39" t="e">
        <f t="shared" si="4"/>
        <v>#REF!</v>
      </c>
      <c r="M6" s="25">
        <f>IF(Data!N8=1,(Data!H8/Data!G8),0)</f>
        <v>0.72229543748436065</v>
      </c>
      <c r="N6" s="40" t="e">
        <f t="shared" si="5"/>
        <v>#REF!</v>
      </c>
      <c r="O6" s="40" t="str">
        <f>IF(Data!T8="Y",IF(L6&gt;=$Q$65,$Q$65,L6),"")</f>
        <v/>
      </c>
      <c r="P6" s="40" t="str">
        <f t="shared" si="6"/>
        <v/>
      </c>
      <c r="Q6" s="40" t="e">
        <f t="shared" si="7"/>
        <v>#REF!</v>
      </c>
    </row>
    <row r="7" spans="1:17" x14ac:dyDescent="0.35">
      <c r="A7" s="33">
        <f>Data!J9*Data!M9</f>
        <v>666494</v>
      </c>
      <c r="B7" s="34">
        <f>Data!K9*Data!M9</f>
        <v>13574372</v>
      </c>
      <c r="C7" s="34">
        <f t="shared" si="1"/>
        <v>12907878</v>
      </c>
      <c r="D7" s="35">
        <f>C7*'SWB Ratio'!$B$9/0.9</f>
        <v>8202630.981709552</v>
      </c>
      <c r="E7" s="36">
        <f t="shared" si="2"/>
        <v>4705247.018290448</v>
      </c>
      <c r="F7" s="36">
        <f t="shared" si="3"/>
        <v>666494</v>
      </c>
      <c r="G7" s="34" t="e">
        <f>D7*Data!#REF!</f>
        <v>#REF!</v>
      </c>
      <c r="H7" s="37" t="e">
        <f>(E7-(Data!I9*'License Fees'!$A$5))*Data!#REF!</f>
        <v>#REF!</v>
      </c>
      <c r="I7" s="37" t="e">
        <f>(H7+(IF(Data!C9=19,'License Fees'!$B$5+'License Fees'!$D$5,'License Fees'!$B$5)*Data!I9))</f>
        <v>#REF!</v>
      </c>
      <c r="J7" s="34" t="e">
        <f>(F7+G7+I7)/Data!G9</f>
        <v>#REF!</v>
      </c>
      <c r="K7" s="38">
        <f>'SB525 Add-Ons'!$B$5</f>
        <v>1386763456</v>
      </c>
      <c r="L7" s="39" t="e">
        <f t="shared" si="4"/>
        <v>#REF!</v>
      </c>
      <c r="M7" s="25">
        <f>IF(Data!N9=1,(Data!H9/Data!G9),0)</f>
        <v>0.37111690775432771</v>
      </c>
      <c r="N7" s="40" t="e">
        <f t="shared" si="5"/>
        <v>#REF!</v>
      </c>
      <c r="O7" s="40" t="str">
        <f>IF(Data!T9="Y",IF(L7&gt;=$Q$65,$Q$65,L7),"")</f>
        <v/>
      </c>
      <c r="P7" s="40" t="str">
        <f t="shared" si="6"/>
        <v/>
      </c>
      <c r="Q7" s="40" t="e">
        <f t="shared" si="7"/>
        <v>#REF!</v>
      </c>
    </row>
    <row r="8" spans="1:17" x14ac:dyDescent="0.35">
      <c r="A8" s="33" t="e">
        <f>Data!#REF!*Data!#REF!</f>
        <v>#REF!</v>
      </c>
      <c r="B8" s="34" t="e">
        <f>Data!#REF!*Data!#REF!</f>
        <v>#REF!</v>
      </c>
      <c r="C8" s="34" t="e">
        <f t="shared" si="1"/>
        <v>#REF!</v>
      </c>
      <c r="D8" s="35" t="e">
        <f>C8*'SWB Ratio'!$B$9/0.9</f>
        <v>#REF!</v>
      </c>
      <c r="E8" s="36" t="e">
        <f t="shared" si="2"/>
        <v>#REF!</v>
      </c>
      <c r="F8" s="36" t="e">
        <f t="shared" si="3"/>
        <v>#REF!</v>
      </c>
      <c r="G8" s="34" t="e">
        <f>D8*Data!#REF!</f>
        <v>#REF!</v>
      </c>
      <c r="H8" s="37" t="e">
        <f>(E8-(Data!#REF!*'License Fees'!$A$5))*Data!#REF!</f>
        <v>#REF!</v>
      </c>
      <c r="I8" s="37" t="e">
        <f>(H8+(IF(Data!#REF!=19,'License Fees'!$B$5+'License Fees'!$D$5,'License Fees'!$B$5)*Data!#REF!))</f>
        <v>#REF!</v>
      </c>
      <c r="J8" s="34" t="e">
        <f>(F8+G8+I8)/Data!#REF!</f>
        <v>#REF!</v>
      </c>
      <c r="K8" s="38">
        <f>'SB525 Add-Ons'!$B$5</f>
        <v>1386763456</v>
      </c>
      <c r="L8" s="39" t="e">
        <f t="shared" si="4"/>
        <v>#REF!</v>
      </c>
      <c r="M8" s="25" t="e">
        <f>IF(Data!#REF!=1,(Data!#REF!/Data!#REF!),0)</f>
        <v>#REF!</v>
      </c>
      <c r="N8" s="40" t="e">
        <f t="shared" si="5"/>
        <v>#REF!</v>
      </c>
      <c r="O8" s="40" t="e">
        <f>IF(Data!#REF!="Y",IF(L8&gt;=$Q$65,$Q$65,L8),"")</f>
        <v>#REF!</v>
      </c>
      <c r="P8" s="40" t="e">
        <f t="shared" si="6"/>
        <v>#REF!</v>
      </c>
      <c r="Q8" s="40" t="e">
        <f t="shared" si="7"/>
        <v>#REF!</v>
      </c>
    </row>
    <row r="9" spans="1:17" x14ac:dyDescent="0.35">
      <c r="A9" s="33">
        <f>Data!J11*Data!M11</f>
        <v>389372</v>
      </c>
      <c r="B9" s="34">
        <f>Data!K11*Data!M11</f>
        <v>13733797</v>
      </c>
      <c r="C9" s="34">
        <f t="shared" si="1"/>
        <v>13344425</v>
      </c>
      <c r="D9" s="35">
        <f>C9*'SWB Ratio'!$B$9/0.9</f>
        <v>8480045.5921646841</v>
      </c>
      <c r="E9" s="36">
        <f t="shared" si="2"/>
        <v>4864379.4078353159</v>
      </c>
      <c r="F9" s="36">
        <f t="shared" si="3"/>
        <v>389372</v>
      </c>
      <c r="G9" s="34" t="e">
        <f>D9*Data!#REF!</f>
        <v>#REF!</v>
      </c>
      <c r="H9" s="37" t="e">
        <f>(E9-(Data!I11*'License Fees'!$A$5))*Data!#REF!</f>
        <v>#REF!</v>
      </c>
      <c r="I9" s="37" t="e">
        <f>(H9+(IF(Data!C11=19,'License Fees'!$B$5+'License Fees'!$D$5,'License Fees'!$B$5)*Data!I11))</f>
        <v>#REF!</v>
      </c>
      <c r="J9" s="34" t="e">
        <f>(F9+G9+I9)/Data!G11</f>
        <v>#REF!</v>
      </c>
      <c r="K9" s="38">
        <f>'SB525 Add-Ons'!$B$5</f>
        <v>1386763456</v>
      </c>
      <c r="L9" s="39" t="e">
        <f t="shared" si="4"/>
        <v>#REF!</v>
      </c>
      <c r="M9" s="25">
        <f>IF(Data!N11=1,(Data!H11/Data!G11),0)</f>
        <v>0</v>
      </c>
      <c r="N9" s="40" t="str">
        <f t="shared" si="5"/>
        <v/>
      </c>
      <c r="O9" s="40" t="str">
        <f>IF(Data!T11="Y",IF(L9&gt;=$Q$65,$Q$65,L9),"")</f>
        <v/>
      </c>
      <c r="P9" s="40" t="str">
        <f t="shared" si="6"/>
        <v/>
      </c>
      <c r="Q9" s="40" t="e">
        <f t="shared" si="7"/>
        <v>#REF!</v>
      </c>
    </row>
    <row r="10" spans="1:17" x14ac:dyDescent="0.35">
      <c r="A10" s="33">
        <f>Data!J12*Data!M12</f>
        <v>384400</v>
      </c>
      <c r="B10" s="34">
        <f>Data!K12*Data!M12</f>
        <v>28409087</v>
      </c>
      <c r="C10" s="34">
        <f t="shared" si="1"/>
        <v>28024687</v>
      </c>
      <c r="D10" s="35">
        <f>C10*'SWB Ratio'!$B$9/0.9</f>
        <v>17808981.913131882</v>
      </c>
      <c r="E10" s="36">
        <f t="shared" si="2"/>
        <v>10215705.086868118</v>
      </c>
      <c r="F10" s="36">
        <f t="shared" si="3"/>
        <v>384400</v>
      </c>
      <c r="G10" s="34" t="e">
        <f>D10*Data!#REF!</f>
        <v>#REF!</v>
      </c>
      <c r="H10" s="37" t="e">
        <f>(E10-(Data!I12*'License Fees'!$A$5))*Data!#REF!</f>
        <v>#REF!</v>
      </c>
      <c r="I10" s="37" t="e">
        <f>(H10+(IF(Data!C12=19,'License Fees'!$B$5+'License Fees'!$D$5,'License Fees'!$B$5)*Data!I12))</f>
        <v>#REF!</v>
      </c>
      <c r="J10" s="34" t="e">
        <f>(F10+G10+I10)/Data!G12</f>
        <v>#REF!</v>
      </c>
      <c r="K10" s="38">
        <f>'SB525 Add-Ons'!$B$5</f>
        <v>1386763456</v>
      </c>
      <c r="L10" s="39" t="e">
        <f t="shared" si="4"/>
        <v>#REF!</v>
      </c>
      <c r="M10" s="25">
        <f>IF(Data!N12=1,(Data!H12/Data!G12),0)</f>
        <v>0</v>
      </c>
      <c r="N10" s="40" t="str">
        <f t="shared" si="5"/>
        <v/>
      </c>
      <c r="O10" s="40" t="str">
        <f>IF(Data!T12="Y",IF(L10&gt;=$Q$65,$Q$65,L10),"")</f>
        <v/>
      </c>
      <c r="P10" s="40" t="str">
        <f t="shared" si="6"/>
        <v/>
      </c>
      <c r="Q10" s="40" t="e">
        <f t="shared" si="7"/>
        <v>#REF!</v>
      </c>
    </row>
    <row r="11" spans="1:17" x14ac:dyDescent="0.35">
      <c r="A11" s="33">
        <f>Data!J13*Data!M13</f>
        <v>404571</v>
      </c>
      <c r="B11" s="34">
        <f>Data!K13*Data!M13</f>
        <v>7748774</v>
      </c>
      <c r="C11" s="34">
        <f t="shared" si="1"/>
        <v>7344203</v>
      </c>
      <c r="D11" s="35">
        <f>C11*'SWB Ratio'!$B$9/0.9</f>
        <v>4667055.8138033403</v>
      </c>
      <c r="E11" s="36">
        <f t="shared" si="2"/>
        <v>2677147.1861966597</v>
      </c>
      <c r="F11" s="36">
        <f t="shared" si="3"/>
        <v>404571</v>
      </c>
      <c r="G11" s="34" t="e">
        <f>D11*Data!#REF!</f>
        <v>#REF!</v>
      </c>
      <c r="H11" s="37" t="e">
        <f>(E11-(Data!I13*'License Fees'!$A$5))*Data!#REF!</f>
        <v>#REF!</v>
      </c>
      <c r="I11" s="37" t="e">
        <f>(H11+(IF(Data!C13=19,'License Fees'!$B$5+'License Fees'!$D$5,'License Fees'!$B$5)*Data!I13))</f>
        <v>#REF!</v>
      </c>
      <c r="J11" s="34" t="e">
        <f>(F11+G11+I11)/Data!G13</f>
        <v>#REF!</v>
      </c>
      <c r="K11" s="38">
        <f>'SB525 Add-Ons'!$B$5</f>
        <v>1386763456</v>
      </c>
      <c r="L11" s="39" t="e">
        <f t="shared" si="4"/>
        <v>#REF!</v>
      </c>
      <c r="M11" s="25">
        <f>IF(Data!N13=1,(Data!H13/Data!G13),0)</f>
        <v>0.86452726718797601</v>
      </c>
      <c r="N11" s="40" t="e">
        <f t="shared" si="5"/>
        <v>#REF!</v>
      </c>
      <c r="O11" s="40" t="str">
        <f>IF(Data!T13="Y",IF(L11&gt;=$Q$65,$Q$65,L11),"")</f>
        <v/>
      </c>
      <c r="P11" s="40" t="str">
        <f t="shared" si="6"/>
        <v/>
      </c>
      <c r="Q11" s="40" t="e">
        <f t="shared" si="7"/>
        <v>#REF!</v>
      </c>
    </row>
    <row r="12" spans="1:17" x14ac:dyDescent="0.35">
      <c r="A12" s="33">
        <f>Data!J14*Data!M14</f>
        <v>51594</v>
      </c>
      <c r="B12" s="34">
        <f>Data!K14*Data!M14</f>
        <v>1833560</v>
      </c>
      <c r="C12" s="34">
        <f t="shared" si="1"/>
        <v>1781966</v>
      </c>
      <c r="D12" s="35">
        <f>C12*'SWB Ratio'!$B$9/0.9</f>
        <v>1132394.458636272</v>
      </c>
      <c r="E12" s="36">
        <f t="shared" si="2"/>
        <v>649571.541363728</v>
      </c>
      <c r="F12" s="36">
        <f t="shared" si="3"/>
        <v>51594</v>
      </c>
      <c r="G12" s="34" t="e">
        <f>D12*Data!#REF!</f>
        <v>#REF!</v>
      </c>
      <c r="H12" s="37" t="e">
        <f>(E12-(Data!I14*'License Fees'!$A$5))*Data!#REF!</f>
        <v>#REF!</v>
      </c>
      <c r="I12" s="37" t="e">
        <f>(H12+(IF(Data!C14=19,'License Fees'!$B$5+'License Fees'!$D$5,'License Fees'!$B$5)*Data!I14))</f>
        <v>#REF!</v>
      </c>
      <c r="J12" s="34" t="e">
        <f>(F12+G12+I12)/Data!G14</f>
        <v>#REF!</v>
      </c>
      <c r="K12" s="38">
        <f>'SB525 Add-Ons'!$B$5</f>
        <v>1386763456</v>
      </c>
      <c r="L12" s="39" t="e">
        <f t="shared" si="4"/>
        <v>#REF!</v>
      </c>
      <c r="M12" s="25">
        <f>IF(Data!N14=1,(Data!H14/Data!G14),0)</f>
        <v>0</v>
      </c>
      <c r="N12" s="40" t="str">
        <f t="shared" si="5"/>
        <v/>
      </c>
      <c r="O12" s="40" t="str">
        <f>IF(Data!T14="Y",IF(L12&gt;=$Q$65,$Q$65,L12),"")</f>
        <v/>
      </c>
      <c r="P12" s="40" t="str">
        <f t="shared" si="6"/>
        <v/>
      </c>
      <c r="Q12" s="40" t="e">
        <f t="shared" si="7"/>
        <v>#REF!</v>
      </c>
    </row>
    <row r="13" spans="1:17" x14ac:dyDescent="0.35">
      <c r="A13" s="33">
        <f>Data!J15*Data!M15</f>
        <v>247719</v>
      </c>
      <c r="B13" s="34">
        <f>Data!K15*Data!M15</f>
        <v>6988554</v>
      </c>
      <c r="C13" s="34">
        <f t="shared" si="1"/>
        <v>6740835</v>
      </c>
      <c r="D13" s="35">
        <f>C13*'SWB Ratio'!$B$9/0.9</f>
        <v>4283630.6644354798</v>
      </c>
      <c r="E13" s="36">
        <f t="shared" si="2"/>
        <v>2457204.3355645202</v>
      </c>
      <c r="F13" s="36">
        <f t="shared" si="3"/>
        <v>247719</v>
      </c>
      <c r="G13" s="34" t="e">
        <f>D13*Data!#REF!</f>
        <v>#REF!</v>
      </c>
      <c r="H13" s="37" t="e">
        <f>(E13-(Data!I15*'License Fees'!$A$5))*Data!#REF!</f>
        <v>#REF!</v>
      </c>
      <c r="I13" s="37" t="e">
        <f>(H13+(IF(Data!C15=19,'License Fees'!$B$5+'License Fees'!$D$5,'License Fees'!$B$5)*Data!I15))</f>
        <v>#REF!</v>
      </c>
      <c r="J13" s="34" t="e">
        <f>(F13+G13+I13)/Data!G15</f>
        <v>#REF!</v>
      </c>
      <c r="K13" s="38">
        <f>'SB525 Add-Ons'!$B$5</f>
        <v>1386763456</v>
      </c>
      <c r="L13" s="39" t="e">
        <f t="shared" si="4"/>
        <v>#REF!</v>
      </c>
      <c r="M13" s="25">
        <f>IF(Data!N15=1,(Data!H15/Data!G15),0)</f>
        <v>0</v>
      </c>
      <c r="N13" s="40" t="str">
        <f t="shared" si="5"/>
        <v/>
      </c>
      <c r="O13" s="40" t="str">
        <f>IF(Data!T15="Y",IF(L13&gt;=$Q$65,$Q$65,L13),"")</f>
        <v/>
      </c>
      <c r="P13" s="40" t="str">
        <f t="shared" si="6"/>
        <v/>
      </c>
      <c r="Q13" s="40" t="e">
        <f t="shared" si="7"/>
        <v>#REF!</v>
      </c>
    </row>
    <row r="14" spans="1:17" x14ac:dyDescent="0.35">
      <c r="A14" s="33">
        <f>Data!J16*Data!M16</f>
        <v>153925</v>
      </c>
      <c r="B14" s="34">
        <f>Data!K16*Data!M16</f>
        <v>10324765</v>
      </c>
      <c r="C14" s="34">
        <f t="shared" si="1"/>
        <v>10170840</v>
      </c>
      <c r="D14" s="35">
        <f>C14*'SWB Ratio'!$B$9/0.9</f>
        <v>6463312.3503344841</v>
      </c>
      <c r="E14" s="36">
        <f t="shared" si="2"/>
        <v>3707527.6496655159</v>
      </c>
      <c r="F14" s="36">
        <f t="shared" si="3"/>
        <v>153925</v>
      </c>
      <c r="G14" s="34" t="e">
        <f>D14*Data!#REF!</f>
        <v>#REF!</v>
      </c>
      <c r="H14" s="37" t="e">
        <f>(E14-(Data!I16*'License Fees'!$A$5))*Data!#REF!</f>
        <v>#REF!</v>
      </c>
      <c r="I14" s="37" t="e">
        <f>(H14+(IF(Data!C16=19,'License Fees'!$B$5+'License Fees'!$D$5,'License Fees'!$B$5)*Data!I16))</f>
        <v>#REF!</v>
      </c>
      <c r="J14" s="34" t="e">
        <f>(F14+G14+I14)/Data!G16</f>
        <v>#REF!</v>
      </c>
      <c r="K14" s="38">
        <f>'SB525 Add-Ons'!$B$5</f>
        <v>1386763456</v>
      </c>
      <c r="L14" s="39" t="e">
        <f t="shared" si="4"/>
        <v>#REF!</v>
      </c>
      <c r="M14" s="25">
        <f>IF(Data!N16=1,(Data!H16/Data!G16),0)</f>
        <v>0.92738646895273402</v>
      </c>
      <c r="N14" s="40" t="e">
        <f t="shared" si="5"/>
        <v>#REF!</v>
      </c>
      <c r="O14" s="40" t="e">
        <f>IF(Data!T16="Y",IF(L14&gt;=$Q$65,$Q$65,L14),"")</f>
        <v>#REF!</v>
      </c>
      <c r="P14" s="40" t="e">
        <f t="shared" si="6"/>
        <v>#REF!</v>
      </c>
      <c r="Q14" s="40" t="e">
        <f t="shared" si="7"/>
        <v>#REF!</v>
      </c>
    </row>
    <row r="15" spans="1:17" x14ac:dyDescent="0.35">
      <c r="A15" s="33">
        <f>Data!J17*Data!M17</f>
        <v>0</v>
      </c>
      <c r="B15" s="34">
        <f>Data!K17*Data!M17</f>
        <v>63981928</v>
      </c>
      <c r="C15" s="34">
        <f t="shared" si="1"/>
        <v>63981928</v>
      </c>
      <c r="D15" s="35">
        <f>C15*'SWB Ratio'!$B$9/0.9</f>
        <v>40658901.864606239</v>
      </c>
      <c r="E15" s="36">
        <f t="shared" si="2"/>
        <v>23323026.135393761</v>
      </c>
      <c r="F15" s="36">
        <f t="shared" si="3"/>
        <v>0</v>
      </c>
      <c r="G15" s="34" t="e">
        <f>D15*Data!#REF!</f>
        <v>#REF!</v>
      </c>
      <c r="H15" s="37" t="e">
        <f>(E15-(Data!I17*'License Fees'!$A$5))*Data!#REF!</f>
        <v>#REF!</v>
      </c>
      <c r="I15" s="37" t="e">
        <f>(H15+(IF(Data!C17=19,'License Fees'!$B$5+'License Fees'!$D$5,'License Fees'!$B$5)*Data!I17))</f>
        <v>#REF!</v>
      </c>
      <c r="J15" s="34" t="e">
        <f>(F15+G15+I15)/Data!G17</f>
        <v>#REF!</v>
      </c>
      <c r="K15" s="38">
        <f>'SB525 Add-Ons'!$B$5</f>
        <v>1386763456</v>
      </c>
      <c r="L15" s="39" t="e">
        <f t="shared" si="4"/>
        <v>#REF!</v>
      </c>
      <c r="M15" s="25">
        <f>IF(Data!N17=1,(Data!H17/Data!G17),0)</f>
        <v>0</v>
      </c>
      <c r="N15" s="40" t="str">
        <f t="shared" si="5"/>
        <v/>
      </c>
      <c r="O15" s="40" t="str">
        <f>IF(Data!T17="Y",IF(L15&gt;=$Q$65,$Q$65,L15),"")</f>
        <v/>
      </c>
      <c r="P15" s="40" t="str">
        <f t="shared" si="6"/>
        <v/>
      </c>
      <c r="Q15" s="40" t="e">
        <f t="shared" si="7"/>
        <v>#REF!</v>
      </c>
    </row>
    <row r="16" spans="1:17" x14ac:dyDescent="0.35">
      <c r="A16" s="33">
        <f>Data!J18*Data!M18</f>
        <v>412430</v>
      </c>
      <c r="B16" s="34">
        <f>Data!K18*Data!M18</f>
        <v>12122911</v>
      </c>
      <c r="C16" s="34">
        <f t="shared" si="1"/>
        <v>11710481</v>
      </c>
      <c r="D16" s="35">
        <f>C16*'SWB Ratio'!$B$9/0.9</f>
        <v>7441715.381979987</v>
      </c>
      <c r="E16" s="36">
        <f t="shared" si="2"/>
        <v>4268765.618020013</v>
      </c>
      <c r="F16" s="36">
        <f t="shared" si="3"/>
        <v>412430</v>
      </c>
      <c r="G16" s="34" t="e">
        <f>D16*Data!#REF!</f>
        <v>#REF!</v>
      </c>
      <c r="H16" s="37" t="e">
        <f>(E16-(Data!I18*'License Fees'!$A$5))*Data!#REF!</f>
        <v>#REF!</v>
      </c>
      <c r="I16" s="37" t="e">
        <f>(H16+(IF(Data!C18=19,'License Fees'!$B$5+'License Fees'!$D$5,'License Fees'!$B$5)*Data!I18))</f>
        <v>#REF!</v>
      </c>
      <c r="J16" s="34" t="e">
        <f>(F16+G16+I16)/Data!G18</f>
        <v>#REF!</v>
      </c>
      <c r="K16" s="38">
        <f>'SB525 Add-Ons'!$B$5</f>
        <v>1386763456</v>
      </c>
      <c r="L16" s="39" t="e">
        <f t="shared" si="4"/>
        <v>#REF!</v>
      </c>
      <c r="M16" s="25">
        <f>IF(Data!N18=1,(Data!H18/Data!G18),0)</f>
        <v>0</v>
      </c>
      <c r="N16" s="40" t="str">
        <f t="shared" si="5"/>
        <v/>
      </c>
      <c r="O16" s="40" t="str">
        <f>IF(Data!T18="Y",IF(L16&gt;=$Q$65,$Q$65,L16),"")</f>
        <v/>
      </c>
      <c r="P16" s="40" t="str">
        <f t="shared" si="6"/>
        <v/>
      </c>
      <c r="Q16" s="40" t="e">
        <f t="shared" si="7"/>
        <v>#REF!</v>
      </c>
    </row>
    <row r="17" spans="1:17" x14ac:dyDescent="0.35">
      <c r="A17" s="33">
        <f>Data!J19*Data!M19</f>
        <v>270625</v>
      </c>
      <c r="B17" s="34">
        <f>Data!K19*Data!M19</f>
        <v>8519720</v>
      </c>
      <c r="C17" s="34">
        <f t="shared" si="1"/>
        <v>8249095</v>
      </c>
      <c r="D17" s="35">
        <f>C17*'SWB Ratio'!$B$9/0.9</f>
        <v>5242091.86188972</v>
      </c>
      <c r="E17" s="36">
        <f t="shared" si="2"/>
        <v>3007003.13811028</v>
      </c>
      <c r="F17" s="36">
        <f t="shared" si="3"/>
        <v>270625</v>
      </c>
      <c r="G17" s="34" t="e">
        <f>D17*Data!#REF!</f>
        <v>#REF!</v>
      </c>
      <c r="H17" s="37" t="e">
        <f>(E17-(Data!I19*'License Fees'!$A$5))*Data!#REF!</f>
        <v>#REF!</v>
      </c>
      <c r="I17" s="37" t="e">
        <f>(H17+(IF(Data!C19=19,'License Fees'!$B$5+'License Fees'!$D$5,'License Fees'!$B$5)*Data!I19))</f>
        <v>#REF!</v>
      </c>
      <c r="J17" s="34" t="e">
        <f>(F17+G17+I17)/Data!G19</f>
        <v>#REF!</v>
      </c>
      <c r="K17" s="38">
        <f>'SB525 Add-Ons'!$B$5</f>
        <v>1386763456</v>
      </c>
      <c r="L17" s="39" t="e">
        <f t="shared" si="4"/>
        <v>#REF!</v>
      </c>
      <c r="M17" s="25">
        <f>IF(Data!N19=1,(Data!H19/Data!G19),0)</f>
        <v>0.21184210526315789</v>
      </c>
      <c r="N17" s="40" t="e">
        <f t="shared" si="5"/>
        <v>#REF!</v>
      </c>
      <c r="O17" s="40" t="e">
        <f>IF(Data!T19="Y",IF(L17&gt;=$Q$65,$Q$65,L17),"")</f>
        <v>#REF!</v>
      </c>
      <c r="P17" s="40" t="e">
        <f t="shared" si="6"/>
        <v>#REF!</v>
      </c>
      <c r="Q17" s="40" t="e">
        <f t="shared" si="7"/>
        <v>#REF!</v>
      </c>
    </row>
    <row r="18" spans="1:17" x14ac:dyDescent="0.35">
      <c r="A18" s="33">
        <f>Data!J20*Data!M20</f>
        <v>571933</v>
      </c>
      <c r="B18" s="34">
        <f>Data!K20*Data!M20</f>
        <v>6235261</v>
      </c>
      <c r="C18" s="34">
        <f t="shared" si="1"/>
        <v>5663328</v>
      </c>
      <c r="D18" s="35">
        <f>C18*'SWB Ratio'!$B$9/0.9</f>
        <v>3598902.136538879</v>
      </c>
      <c r="E18" s="36">
        <f t="shared" si="2"/>
        <v>2064425.863461121</v>
      </c>
      <c r="F18" s="36">
        <f t="shared" si="3"/>
        <v>571933</v>
      </c>
      <c r="G18" s="34" t="e">
        <f>D18*Data!#REF!</f>
        <v>#REF!</v>
      </c>
      <c r="H18" s="37" t="e">
        <f>(E18-(Data!I20*'License Fees'!$A$5))*Data!#REF!</f>
        <v>#REF!</v>
      </c>
      <c r="I18" s="37" t="e">
        <f>(H18+(IF(Data!C20=19,'License Fees'!$B$5+'License Fees'!$D$5,'License Fees'!$B$5)*Data!I20))</f>
        <v>#REF!</v>
      </c>
      <c r="J18" s="34" t="e">
        <f>(F18+G18+I18)/Data!G20</f>
        <v>#REF!</v>
      </c>
      <c r="K18" s="38">
        <f>'SB525 Add-Ons'!$B$5</f>
        <v>1386763456</v>
      </c>
      <c r="L18" s="39" t="e">
        <f t="shared" si="4"/>
        <v>#REF!</v>
      </c>
      <c r="M18" s="25">
        <f>IF(Data!N20=1,(Data!H20/Data!G20),0)</f>
        <v>0.27150279007119493</v>
      </c>
      <c r="N18" s="40" t="e">
        <f t="shared" si="5"/>
        <v>#REF!</v>
      </c>
      <c r="O18" s="40" t="str">
        <f>IF(Data!T20="Y",IF(L18&gt;=$Q$65,$Q$65,L18),"")</f>
        <v/>
      </c>
      <c r="P18" s="40" t="str">
        <f t="shared" si="6"/>
        <v/>
      </c>
      <c r="Q18" s="40" t="e">
        <f t="shared" si="7"/>
        <v>#REF!</v>
      </c>
    </row>
    <row r="19" spans="1:17" x14ac:dyDescent="0.35">
      <c r="A19" s="33">
        <f>Data!J21*Data!M21</f>
        <v>154807</v>
      </c>
      <c r="B19" s="34">
        <f>Data!K21*Data!M21</f>
        <v>24364833</v>
      </c>
      <c r="C19" s="34">
        <f t="shared" si="1"/>
        <v>24210026</v>
      </c>
      <c r="D19" s="35">
        <f>C19*'SWB Ratio'!$B$9/0.9</f>
        <v>15384861.038785288</v>
      </c>
      <c r="E19" s="36">
        <f t="shared" si="2"/>
        <v>8825164.9612147119</v>
      </c>
      <c r="F19" s="36">
        <f t="shared" si="3"/>
        <v>154807</v>
      </c>
      <c r="G19" s="34" t="e">
        <f>D19*Data!#REF!</f>
        <v>#REF!</v>
      </c>
      <c r="H19" s="37" t="e">
        <f>(E19-(Data!I21*'License Fees'!$A$5))*Data!#REF!</f>
        <v>#REF!</v>
      </c>
      <c r="I19" s="37" t="e">
        <f>(H19+(IF(Data!C21=19,'License Fees'!$B$5+'License Fees'!$D$5,'License Fees'!$B$5)*Data!I21))</f>
        <v>#REF!</v>
      </c>
      <c r="J19" s="34" t="e">
        <f>(F19+G19+I19)/Data!G21</f>
        <v>#REF!</v>
      </c>
      <c r="K19" s="38">
        <f>'SB525 Add-Ons'!$B$5</f>
        <v>1386763456</v>
      </c>
      <c r="L19" s="39" t="e">
        <f t="shared" si="4"/>
        <v>#REF!</v>
      </c>
      <c r="M19" s="25">
        <f>IF(Data!N21=1,(Data!H21/Data!G21),0)</f>
        <v>0.4830209515629314</v>
      </c>
      <c r="N19" s="40" t="e">
        <f t="shared" si="5"/>
        <v>#REF!</v>
      </c>
      <c r="O19" s="40" t="e">
        <f>IF(Data!T21="Y",IF(L19&gt;=$Q$65,$Q$65,L19),"")</f>
        <v>#REF!</v>
      </c>
      <c r="P19" s="40" t="e">
        <f t="shared" si="6"/>
        <v>#REF!</v>
      </c>
      <c r="Q19" s="40" t="e">
        <f t="shared" si="7"/>
        <v>#REF!</v>
      </c>
    </row>
    <row r="20" spans="1:17" x14ac:dyDescent="0.35">
      <c r="A20" s="33" t="e">
        <f>Data!#REF!*Data!#REF!</f>
        <v>#REF!</v>
      </c>
      <c r="B20" s="34" t="e">
        <f>Data!#REF!*Data!#REF!</f>
        <v>#REF!</v>
      </c>
      <c r="C20" s="34" t="e">
        <f t="shared" si="1"/>
        <v>#REF!</v>
      </c>
      <c r="D20" s="35" t="e">
        <f>C20*'SWB Ratio'!$B$9/0.9</f>
        <v>#REF!</v>
      </c>
      <c r="E20" s="36" t="e">
        <f t="shared" si="2"/>
        <v>#REF!</v>
      </c>
      <c r="F20" s="36" t="e">
        <f t="shared" si="3"/>
        <v>#REF!</v>
      </c>
      <c r="G20" s="34" t="e">
        <f>D20*Data!#REF!</f>
        <v>#REF!</v>
      </c>
      <c r="H20" s="37" t="e">
        <f>(E20-(Data!#REF!*'License Fees'!$A$5))*Data!#REF!</f>
        <v>#REF!</v>
      </c>
      <c r="I20" s="37" t="e">
        <f>(H20+(IF(Data!#REF!=19,'License Fees'!$B$5+'License Fees'!$D$5,'License Fees'!$B$5)*Data!#REF!))</f>
        <v>#REF!</v>
      </c>
      <c r="J20" s="34" t="e">
        <f>(F20+G20+I20)/Data!#REF!</f>
        <v>#REF!</v>
      </c>
      <c r="K20" s="38">
        <f>'SB525 Add-Ons'!$B$5</f>
        <v>1386763456</v>
      </c>
      <c r="L20" s="39" t="e">
        <f t="shared" si="4"/>
        <v>#REF!</v>
      </c>
      <c r="M20" s="25" t="e">
        <f>IF(Data!#REF!=1,(Data!#REF!/Data!#REF!),0)</f>
        <v>#REF!</v>
      </c>
      <c r="N20" s="40" t="e">
        <f t="shared" si="5"/>
        <v>#REF!</v>
      </c>
      <c r="O20" s="40" t="e">
        <f>IF(Data!#REF!="Y",IF(L20&gt;=$Q$65,$Q$65,L20),"")</f>
        <v>#REF!</v>
      </c>
      <c r="P20" s="40" t="e">
        <f t="shared" si="6"/>
        <v>#REF!</v>
      </c>
      <c r="Q20" s="40" t="e">
        <f t="shared" si="7"/>
        <v>#REF!</v>
      </c>
    </row>
    <row r="21" spans="1:17" x14ac:dyDescent="0.35">
      <c r="A21" s="33">
        <f>Data!J22*Data!M22</f>
        <v>353787</v>
      </c>
      <c r="B21" s="34">
        <f>Data!K22*Data!M22</f>
        <v>11687395</v>
      </c>
      <c r="C21" s="34">
        <f t="shared" si="1"/>
        <v>11333608</v>
      </c>
      <c r="D21" s="35">
        <f>C21*'SWB Ratio'!$B$9/0.9</f>
        <v>7202222.0937749203</v>
      </c>
      <c r="E21" s="36">
        <f t="shared" si="2"/>
        <v>4131385.9062250797</v>
      </c>
      <c r="F21" s="36">
        <f t="shared" si="3"/>
        <v>353787</v>
      </c>
      <c r="G21" s="34" t="e">
        <f>D21*Data!#REF!</f>
        <v>#REF!</v>
      </c>
      <c r="H21" s="37" t="e">
        <f>(E21-(Data!I22*'License Fees'!$A$5))*Data!#REF!</f>
        <v>#REF!</v>
      </c>
      <c r="I21" s="37" t="e">
        <f>(H21+(IF(Data!C22=19,'License Fees'!$B$5+'License Fees'!$D$5,'License Fees'!$B$5)*Data!I22))</f>
        <v>#REF!</v>
      </c>
      <c r="J21" s="34" t="e">
        <f>(F21+G21+I21)/Data!G22</f>
        <v>#REF!</v>
      </c>
      <c r="K21" s="38">
        <f>'SB525 Add-Ons'!$B$5</f>
        <v>1386763456</v>
      </c>
      <c r="L21" s="39" t="e">
        <f t="shared" si="4"/>
        <v>#REF!</v>
      </c>
      <c r="M21" s="25">
        <f>IF(Data!N22=1,(Data!H22/Data!G22),0)</f>
        <v>0.92517589913925502</v>
      </c>
      <c r="N21" s="40" t="e">
        <f t="shared" si="5"/>
        <v>#REF!</v>
      </c>
      <c r="O21" s="40" t="e">
        <f>IF(Data!T22="Y",IF(L21&gt;=$Q$65,$Q$65,L21),"")</f>
        <v>#REF!</v>
      </c>
      <c r="P21" s="40" t="e">
        <f t="shared" si="6"/>
        <v>#REF!</v>
      </c>
      <c r="Q21" s="40" t="e">
        <f t="shared" si="7"/>
        <v>#REF!</v>
      </c>
    </row>
    <row r="22" spans="1:17" x14ac:dyDescent="0.35">
      <c r="A22" s="33">
        <f>Data!J23*Data!M23</f>
        <v>425003</v>
      </c>
      <c r="B22" s="34">
        <f>Data!K23*Data!M23</f>
        <v>35761701</v>
      </c>
      <c r="C22" s="34">
        <f t="shared" si="1"/>
        <v>35336698</v>
      </c>
      <c r="D22" s="35">
        <f>C22*'SWB Ratio'!$B$9/0.9</f>
        <v>22455580.522694279</v>
      </c>
      <c r="E22" s="36">
        <f t="shared" si="2"/>
        <v>12881117.477305721</v>
      </c>
      <c r="F22" s="36">
        <f t="shared" si="3"/>
        <v>425003</v>
      </c>
      <c r="G22" s="34" t="e">
        <f>D22*Data!#REF!</f>
        <v>#REF!</v>
      </c>
      <c r="H22" s="37" t="e">
        <f>(E22-(Data!I23*'License Fees'!$A$5))*Data!#REF!</f>
        <v>#REF!</v>
      </c>
      <c r="I22" s="37" t="e">
        <f>(H22+(IF(Data!C23=19,'License Fees'!$B$5+'License Fees'!$D$5,'License Fees'!$B$5)*Data!I23))</f>
        <v>#REF!</v>
      </c>
      <c r="J22" s="34" t="e">
        <f>(F22+G22+I22)/Data!G23</f>
        <v>#REF!</v>
      </c>
      <c r="K22" s="38">
        <f>'SB525 Add-Ons'!$B$5</f>
        <v>1386763456</v>
      </c>
      <c r="L22" s="39" t="e">
        <f t="shared" si="4"/>
        <v>#REF!</v>
      </c>
      <c r="M22" s="25">
        <f>IF(Data!N23=1,(Data!H23/Data!G23),0)</f>
        <v>0</v>
      </c>
      <c r="N22" s="40" t="str">
        <f t="shared" si="5"/>
        <v/>
      </c>
      <c r="O22" s="40" t="str">
        <f>IF(Data!T23="Y",IF(L22&gt;=$Q$65,$Q$65,L22),"")</f>
        <v/>
      </c>
      <c r="P22" s="40" t="str">
        <f t="shared" si="6"/>
        <v/>
      </c>
      <c r="Q22" s="40" t="e">
        <f t="shared" si="7"/>
        <v>#REF!</v>
      </c>
    </row>
    <row r="23" spans="1:17" x14ac:dyDescent="0.35">
      <c r="A23" s="33">
        <f>Data!J24*Data!M24</f>
        <v>962624</v>
      </c>
      <c r="B23" s="34">
        <f>Data!K24*Data!M24</f>
        <v>23398797</v>
      </c>
      <c r="C23" s="34">
        <f t="shared" si="1"/>
        <v>22436173</v>
      </c>
      <c r="D23" s="35">
        <f>C23*'SWB Ratio'!$B$9/0.9</f>
        <v>14257622.187070202</v>
      </c>
      <c r="E23" s="36">
        <f t="shared" si="2"/>
        <v>8178550.8129297979</v>
      </c>
      <c r="F23" s="36">
        <f t="shared" si="3"/>
        <v>962624</v>
      </c>
      <c r="G23" s="34" t="e">
        <f>D23*Data!#REF!</f>
        <v>#REF!</v>
      </c>
      <c r="H23" s="37" t="e">
        <f>(E23-(Data!I24*'License Fees'!$A$5))*Data!#REF!</f>
        <v>#REF!</v>
      </c>
      <c r="I23" s="37" t="e">
        <f>(H23+(IF(Data!C24=19,'License Fees'!$B$5+'License Fees'!$D$5,'License Fees'!$B$5)*Data!I24))</f>
        <v>#REF!</v>
      </c>
      <c r="J23" s="34" t="e">
        <f>(F23+G23+I23)/Data!G24</f>
        <v>#REF!</v>
      </c>
      <c r="K23" s="38">
        <f>'SB525 Add-Ons'!$B$5</f>
        <v>1386763456</v>
      </c>
      <c r="L23" s="39" t="e">
        <f t="shared" si="4"/>
        <v>#REF!</v>
      </c>
      <c r="M23" s="25">
        <f>IF(Data!N24=1,(Data!H24/Data!G24),0)</f>
        <v>0</v>
      </c>
      <c r="N23" s="40" t="str">
        <f t="shared" si="5"/>
        <v/>
      </c>
      <c r="O23" s="40" t="str">
        <f>IF(Data!T24="Y",IF(L23&gt;=$Q$65,$Q$65,L23),"")</f>
        <v/>
      </c>
      <c r="P23" s="40" t="str">
        <f t="shared" si="6"/>
        <v/>
      </c>
      <c r="Q23" s="40" t="e">
        <f t="shared" si="7"/>
        <v>#REF!</v>
      </c>
    </row>
    <row r="24" spans="1:17" x14ac:dyDescent="0.35">
      <c r="A24" s="33">
        <f>Data!J25*Data!M25</f>
        <v>7079926</v>
      </c>
      <c r="B24" s="34">
        <f>Data!K25*Data!M25</f>
        <v>85646612</v>
      </c>
      <c r="C24" s="34">
        <f t="shared" si="1"/>
        <v>78566686</v>
      </c>
      <c r="D24" s="35">
        <f>C24*'SWB Ratio'!$B$9/0.9</f>
        <v>49927147.80181887</v>
      </c>
      <c r="E24" s="36">
        <f t="shared" si="2"/>
        <v>28639538.19818113</v>
      </c>
      <c r="F24" s="36">
        <f t="shared" si="3"/>
        <v>7079926</v>
      </c>
      <c r="G24" s="34" t="e">
        <f>D24*Data!#REF!</f>
        <v>#REF!</v>
      </c>
      <c r="H24" s="37" t="e">
        <f>(E24-(Data!I25*'License Fees'!$A$5))*Data!#REF!</f>
        <v>#REF!</v>
      </c>
      <c r="I24" s="37" t="e">
        <f>(H24+(IF(Data!C25=19,'License Fees'!$B$5+'License Fees'!$D$5,'License Fees'!$B$5)*Data!I25))</f>
        <v>#REF!</v>
      </c>
      <c r="J24" s="34" t="e">
        <f>(F24+G24+I24)/Data!G25</f>
        <v>#REF!</v>
      </c>
      <c r="K24" s="38">
        <f>'SB525 Add-Ons'!$B$5</f>
        <v>1386763456</v>
      </c>
      <c r="L24" s="39" t="e">
        <f t="shared" si="4"/>
        <v>#REF!</v>
      </c>
      <c r="M24" s="25">
        <f>IF(Data!N25=1,(Data!H25/Data!G25),0)</f>
        <v>0.72492065793501204</v>
      </c>
      <c r="N24" s="40" t="e">
        <f t="shared" si="5"/>
        <v>#REF!</v>
      </c>
      <c r="O24" s="40" t="str">
        <f>IF(Data!T25="Y",IF(L24&gt;=$Q$65,$Q$65,L24),"")</f>
        <v/>
      </c>
      <c r="P24" s="40" t="str">
        <f t="shared" si="6"/>
        <v/>
      </c>
      <c r="Q24" s="40" t="e">
        <f t="shared" si="7"/>
        <v>#REF!</v>
      </c>
    </row>
    <row r="25" spans="1:17" x14ac:dyDescent="0.35">
      <c r="A25" s="33">
        <f>Data!J27*Data!M27</f>
        <v>3572189</v>
      </c>
      <c r="B25" s="34">
        <f>Data!K27*Data!M27</f>
        <v>41267660</v>
      </c>
      <c r="C25" s="34">
        <f t="shared" si="1"/>
        <v>37695471</v>
      </c>
      <c r="D25" s="35">
        <f>C25*'SWB Ratio'!$B$9/0.9</f>
        <v>23954521.284965195</v>
      </c>
      <c r="E25" s="36">
        <f t="shared" si="2"/>
        <v>13740949.715034805</v>
      </c>
      <c r="F25" s="36">
        <f t="shared" si="3"/>
        <v>3572189</v>
      </c>
      <c r="G25" s="34" t="e">
        <f>D25*Data!#REF!</f>
        <v>#REF!</v>
      </c>
      <c r="H25" s="37" t="e">
        <f>(E25-(Data!I27*'License Fees'!$A$5))*Data!#REF!</f>
        <v>#REF!</v>
      </c>
      <c r="I25" s="37" t="e">
        <f>(H25+(IF(Data!C27=19,'License Fees'!$B$5+'License Fees'!$D$5,'License Fees'!$B$5)*Data!I27))</f>
        <v>#REF!</v>
      </c>
      <c r="J25" s="34" t="e">
        <f>(F25+G25+I25)/Data!G27</f>
        <v>#REF!</v>
      </c>
      <c r="K25" s="38">
        <f>'SB525 Add-Ons'!$B$5</f>
        <v>1386763456</v>
      </c>
      <c r="L25" s="39" t="e">
        <f t="shared" si="4"/>
        <v>#REF!</v>
      </c>
      <c r="M25" s="25">
        <f>IF(Data!N27=1,(Data!H27/Data!G27),0)</f>
        <v>0.85718669593749264</v>
      </c>
      <c r="N25" s="40" t="e">
        <f t="shared" si="5"/>
        <v>#REF!</v>
      </c>
      <c r="O25" s="40" t="str">
        <f>IF(Data!T27="Y",IF(L25&gt;=$Q$65,$Q$65,L25),"")</f>
        <v/>
      </c>
      <c r="P25" s="40" t="str">
        <f t="shared" si="6"/>
        <v/>
      </c>
      <c r="Q25" s="40" t="e">
        <f t="shared" si="7"/>
        <v>#REF!</v>
      </c>
    </row>
    <row r="26" spans="1:17" x14ac:dyDescent="0.35">
      <c r="A26" s="33">
        <f>Data!J28*Data!M28</f>
        <v>81005</v>
      </c>
      <c r="B26" s="34">
        <f>Data!K28*Data!M28</f>
        <v>2533136</v>
      </c>
      <c r="C26" s="34">
        <f t="shared" si="1"/>
        <v>2452131</v>
      </c>
      <c r="D26" s="35">
        <f>C26*'SWB Ratio'!$B$9/0.9</f>
        <v>1558267.4171393954</v>
      </c>
      <c r="E26" s="36">
        <f t="shared" si="2"/>
        <v>893863.58286060463</v>
      </c>
      <c r="F26" s="36">
        <f t="shared" si="3"/>
        <v>81005</v>
      </c>
      <c r="G26" s="34" t="e">
        <f>D26*Data!#REF!</f>
        <v>#REF!</v>
      </c>
      <c r="H26" s="37" t="e">
        <f>(E26-(Data!I28*'License Fees'!$A$5))*Data!#REF!</f>
        <v>#REF!</v>
      </c>
      <c r="I26" s="37" t="e">
        <f>(H26+(IF(Data!C28=19,'License Fees'!$B$5+'License Fees'!$D$5,'License Fees'!$B$5)*Data!I28))</f>
        <v>#REF!</v>
      </c>
      <c r="J26" s="34" t="e">
        <f>(F26+G26+I26)/Data!G28</f>
        <v>#REF!</v>
      </c>
      <c r="K26" s="38">
        <f>'SB525 Add-Ons'!$B$5</f>
        <v>1386763456</v>
      </c>
      <c r="L26" s="39" t="e">
        <f t="shared" si="4"/>
        <v>#REF!</v>
      </c>
      <c r="M26" s="25">
        <f>IF(Data!N28=1,(Data!H28/Data!G28),0)</f>
        <v>0.18333736982320176</v>
      </c>
      <c r="N26" s="40" t="str">
        <f t="shared" si="5"/>
        <v/>
      </c>
      <c r="O26" s="40" t="str">
        <f>IF(Data!T28="Y",IF(L26&gt;=$Q$65,$Q$65,L26),"")</f>
        <v/>
      </c>
      <c r="P26" s="40" t="str">
        <f t="shared" si="6"/>
        <v/>
      </c>
      <c r="Q26" s="40" t="e">
        <f t="shared" si="7"/>
        <v>#REF!</v>
      </c>
    </row>
    <row r="27" spans="1:17" x14ac:dyDescent="0.35">
      <c r="A27" s="33">
        <f>Data!J29*Data!M29</f>
        <v>250353</v>
      </c>
      <c r="B27" s="34">
        <f>Data!K29*Data!M29</f>
        <v>7222108</v>
      </c>
      <c r="C27" s="34">
        <f t="shared" si="1"/>
        <v>6971755</v>
      </c>
      <c r="D27" s="35">
        <f>C27*'SWB Ratio'!$B$9/0.9</f>
        <v>4430374.5015167082</v>
      </c>
      <c r="E27" s="36">
        <f t="shared" si="2"/>
        <v>2541380.4984832918</v>
      </c>
      <c r="F27" s="36">
        <f t="shared" si="3"/>
        <v>250353</v>
      </c>
      <c r="G27" s="34" t="e">
        <f>D27*Data!#REF!</f>
        <v>#REF!</v>
      </c>
      <c r="H27" s="37" t="e">
        <f>(E27-(Data!I29*'License Fees'!$A$5))*Data!#REF!</f>
        <v>#REF!</v>
      </c>
      <c r="I27" s="37" t="e">
        <f>(H27+(IF(Data!C29=19,'License Fees'!$B$5+'License Fees'!$D$5,'License Fees'!$B$5)*Data!I29))</f>
        <v>#REF!</v>
      </c>
      <c r="J27" s="34" t="e">
        <f>(F27+G27+I27)/Data!G29</f>
        <v>#REF!</v>
      </c>
      <c r="K27" s="38">
        <f>'SB525 Add-Ons'!$B$5</f>
        <v>1386763456</v>
      </c>
      <c r="L27" s="39" t="e">
        <f t="shared" si="4"/>
        <v>#REF!</v>
      </c>
      <c r="M27" s="25">
        <f>IF(Data!N29=1,(Data!H29/Data!G29),0)</f>
        <v>0.79272263006702837</v>
      </c>
      <c r="N27" s="40" t="e">
        <f t="shared" si="5"/>
        <v>#REF!</v>
      </c>
      <c r="O27" s="40" t="e">
        <f>IF(Data!T29="Y",IF(L27&gt;=$Q$65,$Q$65,L27),"")</f>
        <v>#REF!</v>
      </c>
      <c r="P27" s="40" t="e">
        <f t="shared" si="6"/>
        <v>#REF!</v>
      </c>
      <c r="Q27" s="40" t="e">
        <f t="shared" si="7"/>
        <v>#REF!</v>
      </c>
    </row>
    <row r="28" spans="1:17" x14ac:dyDescent="0.35">
      <c r="A28" s="33">
        <f>Data!J30*Data!M30</f>
        <v>59665</v>
      </c>
      <c r="B28" s="34">
        <f>Data!K30*Data!M30</f>
        <v>2894243</v>
      </c>
      <c r="C28" s="34">
        <f t="shared" si="1"/>
        <v>2834578</v>
      </c>
      <c r="D28" s="35">
        <f>C28*'SWB Ratio'!$B$9/0.9</f>
        <v>1801302.8417895103</v>
      </c>
      <c r="E28" s="36">
        <f t="shared" si="2"/>
        <v>1033275.1582104897</v>
      </c>
      <c r="F28" s="36">
        <f t="shared" si="3"/>
        <v>59665</v>
      </c>
      <c r="G28" s="34" t="e">
        <f>D28*Data!#REF!</f>
        <v>#REF!</v>
      </c>
      <c r="H28" s="37" t="e">
        <f>(E28-(Data!I30*'License Fees'!$A$5))*Data!#REF!</f>
        <v>#REF!</v>
      </c>
      <c r="I28" s="37" t="e">
        <f>(H28+(IF(Data!C30=19,'License Fees'!$B$5+'License Fees'!$D$5,'License Fees'!$B$5)*Data!I30))</f>
        <v>#REF!</v>
      </c>
      <c r="J28" s="34" t="e">
        <f>(F28+G28+I28)/Data!G30</f>
        <v>#REF!</v>
      </c>
      <c r="K28" s="38">
        <f>'SB525 Add-Ons'!$B$5</f>
        <v>1386763456</v>
      </c>
      <c r="L28" s="39" t="e">
        <f t="shared" si="4"/>
        <v>#REF!</v>
      </c>
      <c r="M28" s="25">
        <f>IF(Data!N30=1,(Data!H30/Data!G30),0)</f>
        <v>0.21752336448598131</v>
      </c>
      <c r="N28" s="40" t="e">
        <f t="shared" si="5"/>
        <v>#REF!</v>
      </c>
      <c r="O28" s="40" t="str">
        <f>IF(Data!T30="Y",IF(L28&gt;=$Q$65,$Q$65,L28),"")</f>
        <v/>
      </c>
      <c r="P28" s="40" t="str">
        <f t="shared" si="6"/>
        <v/>
      </c>
      <c r="Q28" s="40" t="e">
        <f t="shared" si="7"/>
        <v>#REF!</v>
      </c>
    </row>
    <row r="29" spans="1:17" x14ac:dyDescent="0.35">
      <c r="A29" s="33">
        <f>Data!J32*Data!M32</f>
        <v>18826496</v>
      </c>
      <c r="B29" s="34">
        <f>Data!K32*Data!M32</f>
        <v>315203106</v>
      </c>
      <c r="C29" s="34">
        <f t="shared" si="1"/>
        <v>296376610</v>
      </c>
      <c r="D29" s="35">
        <f>C29*'SWB Ratio'!$B$9/0.9</f>
        <v>188339862.17099735</v>
      </c>
      <c r="E29" s="36">
        <f t="shared" si="2"/>
        <v>108036747.82900265</v>
      </c>
      <c r="F29" s="36">
        <f t="shared" si="3"/>
        <v>18826496</v>
      </c>
      <c r="G29" s="34" t="e">
        <f>D29*Data!#REF!</f>
        <v>#REF!</v>
      </c>
      <c r="H29" s="37" t="e">
        <f>(E29-(Data!I32*'License Fees'!$A$5))*Data!#REF!</f>
        <v>#REF!</v>
      </c>
      <c r="I29" s="37" t="e">
        <f>(H29+(IF(Data!C32=19,'License Fees'!$B$5+'License Fees'!$D$5,'License Fees'!$B$5)*Data!I32))</f>
        <v>#REF!</v>
      </c>
      <c r="J29" s="34" t="e">
        <f>(F29+G29+I29)/Data!G32</f>
        <v>#REF!</v>
      </c>
      <c r="K29" s="38">
        <f>'SB525 Add-Ons'!$B$5</f>
        <v>1386763456</v>
      </c>
      <c r="L29" s="39" t="e">
        <f t="shared" si="4"/>
        <v>#REF!</v>
      </c>
      <c r="M29" s="25">
        <f>IF(Data!N32=1,(Data!H32/Data!G32),0)</f>
        <v>0.99318754642087448</v>
      </c>
      <c r="N29" s="40" t="e">
        <f t="shared" si="5"/>
        <v>#REF!</v>
      </c>
      <c r="O29" s="40" t="str">
        <f>IF(Data!T32="Y",IF(L29&gt;=$Q$65,$Q$65,L29),"")</f>
        <v/>
      </c>
      <c r="P29" s="40" t="str">
        <f t="shared" si="6"/>
        <v/>
      </c>
      <c r="Q29" s="40" t="e">
        <f t="shared" si="7"/>
        <v>#REF!</v>
      </c>
    </row>
    <row r="30" spans="1:17" x14ac:dyDescent="0.35">
      <c r="A30" s="33">
        <f>Data!J33*Data!M33</f>
        <v>268109</v>
      </c>
      <c r="B30" s="34">
        <f>Data!K33*Data!M33</f>
        <v>17844841</v>
      </c>
      <c r="C30" s="34">
        <f t="shared" si="1"/>
        <v>17576732</v>
      </c>
      <c r="D30" s="35">
        <f>C30*'SWB Ratio'!$B$9/0.9</f>
        <v>11169569.968077302</v>
      </c>
      <c r="E30" s="36">
        <f t="shared" si="2"/>
        <v>6407162.031922698</v>
      </c>
      <c r="F30" s="36">
        <f t="shared" si="3"/>
        <v>268109</v>
      </c>
      <c r="G30" s="34" t="e">
        <f>D30*Data!#REF!</f>
        <v>#REF!</v>
      </c>
      <c r="H30" s="37" t="e">
        <f>(E30-(Data!I33*'License Fees'!$A$5))*Data!#REF!</f>
        <v>#REF!</v>
      </c>
      <c r="I30" s="37" t="e">
        <f>(H30+(IF(Data!C33=19,'License Fees'!$B$5+'License Fees'!$D$5,'License Fees'!$B$5)*Data!I33))</f>
        <v>#REF!</v>
      </c>
      <c r="J30" s="34" t="e">
        <f>(F30+G30+I30)/Data!G33</f>
        <v>#REF!</v>
      </c>
      <c r="K30" s="38">
        <f>'SB525 Add-Ons'!$B$5</f>
        <v>1386763456</v>
      </c>
      <c r="L30" s="39" t="e">
        <f t="shared" si="4"/>
        <v>#REF!</v>
      </c>
      <c r="M30" s="25">
        <f>IF(Data!N33=1,(Data!H33/Data!G33),0)</f>
        <v>0.82810913900765937</v>
      </c>
      <c r="N30" s="40" t="e">
        <f t="shared" si="5"/>
        <v>#REF!</v>
      </c>
      <c r="O30" s="40" t="e">
        <f>IF(Data!T33="Y",IF(L30&gt;=$Q$65,$Q$65,L30),"")</f>
        <v>#REF!</v>
      </c>
      <c r="P30" s="40" t="e">
        <f t="shared" si="6"/>
        <v>#REF!</v>
      </c>
      <c r="Q30" s="40" t="e">
        <f t="shared" si="7"/>
        <v>#REF!</v>
      </c>
    </row>
    <row r="31" spans="1:17" x14ac:dyDescent="0.35">
      <c r="A31" s="33">
        <f>Data!J34*Data!M34</f>
        <v>678243</v>
      </c>
      <c r="B31" s="34">
        <f>Data!K34*Data!M34</f>
        <v>19319486</v>
      </c>
      <c r="C31" s="34">
        <f t="shared" si="1"/>
        <v>18641243</v>
      </c>
      <c r="D31" s="35">
        <f>C31*'SWB Ratio'!$B$9/0.9</f>
        <v>11846039.865683293</v>
      </c>
      <c r="E31" s="36">
        <f t="shared" si="2"/>
        <v>6795203.134316707</v>
      </c>
      <c r="F31" s="36">
        <f t="shared" si="3"/>
        <v>678243</v>
      </c>
      <c r="G31" s="34" t="e">
        <f>D31*Data!#REF!</f>
        <v>#REF!</v>
      </c>
      <c r="H31" s="37" t="e">
        <f>(E31-(Data!I34*'License Fees'!$A$5))*Data!#REF!</f>
        <v>#REF!</v>
      </c>
      <c r="I31" s="37" t="e">
        <f>(H31+(IF(Data!C34=19,'License Fees'!$B$5+'License Fees'!$D$5,'License Fees'!$B$5)*Data!I34))</f>
        <v>#REF!</v>
      </c>
      <c r="J31" s="34" t="e">
        <f>(F31+G31+I31)/Data!G34</f>
        <v>#REF!</v>
      </c>
      <c r="K31" s="38">
        <f>'SB525 Add-Ons'!$B$5</f>
        <v>1386763456</v>
      </c>
      <c r="L31" s="39" t="e">
        <f t="shared" si="4"/>
        <v>#REF!</v>
      </c>
      <c r="M31" s="25">
        <f>IF(Data!N34=1,(Data!H34/Data!G34),0)</f>
        <v>0.59144954010832296</v>
      </c>
      <c r="N31" s="40" t="e">
        <f t="shared" si="5"/>
        <v>#REF!</v>
      </c>
      <c r="O31" s="40" t="str">
        <f>IF(Data!T34="Y",IF(L31&gt;=$Q$65,$Q$65,L31),"")</f>
        <v/>
      </c>
      <c r="P31" s="40" t="str">
        <f t="shared" si="6"/>
        <v/>
      </c>
      <c r="Q31" s="40" t="e">
        <f t="shared" si="7"/>
        <v>#REF!</v>
      </c>
    </row>
    <row r="32" spans="1:17" x14ac:dyDescent="0.35">
      <c r="A32" s="33">
        <f>Data!J35*Data!M35</f>
        <v>1008558</v>
      </c>
      <c r="B32" s="34">
        <f>Data!K35*Data!M35</f>
        <v>17681032</v>
      </c>
      <c r="C32" s="34">
        <f t="shared" si="1"/>
        <v>16672474</v>
      </c>
      <c r="D32" s="35">
        <f>C32*'SWB Ratio'!$B$9/0.9</f>
        <v>10594936.811003869</v>
      </c>
      <c r="E32" s="36">
        <f t="shared" si="2"/>
        <v>6077537.1889961306</v>
      </c>
      <c r="F32" s="36">
        <f t="shared" si="3"/>
        <v>1008558</v>
      </c>
      <c r="G32" s="34" t="e">
        <f>D32*Data!#REF!</f>
        <v>#REF!</v>
      </c>
      <c r="H32" s="37" t="e">
        <f>(E32-(Data!I35*'License Fees'!$A$5))*Data!#REF!</f>
        <v>#REF!</v>
      </c>
      <c r="I32" s="37" t="e">
        <f>(H32+(IF(Data!C35=19,'License Fees'!$B$5+'License Fees'!$D$5,'License Fees'!$B$5)*Data!I35))</f>
        <v>#REF!</v>
      </c>
      <c r="J32" s="34" t="e">
        <f>(F32+G32+I32)/Data!G35</f>
        <v>#REF!</v>
      </c>
      <c r="K32" s="38">
        <f>'SB525 Add-Ons'!$B$5</f>
        <v>1386763456</v>
      </c>
      <c r="L32" s="39" t="e">
        <f t="shared" si="4"/>
        <v>#REF!</v>
      </c>
      <c r="M32" s="25">
        <f>IF(Data!N35=1,(Data!H35/Data!G35),0)</f>
        <v>0.92667128507100793</v>
      </c>
      <c r="N32" s="40" t="e">
        <f t="shared" si="5"/>
        <v>#REF!</v>
      </c>
      <c r="O32" s="40" t="e">
        <f>IF(Data!T35="Y",IF(L32&gt;=$Q$65,$Q$65,L32),"")</f>
        <v>#REF!</v>
      </c>
      <c r="P32" s="40" t="e">
        <f t="shared" si="6"/>
        <v>#REF!</v>
      </c>
      <c r="Q32" s="40" t="e">
        <f t="shared" si="7"/>
        <v>#REF!</v>
      </c>
    </row>
    <row r="33" spans="1:17" x14ac:dyDescent="0.35">
      <c r="A33" s="33">
        <f>Data!J36*Data!M36</f>
        <v>2065229</v>
      </c>
      <c r="B33" s="34">
        <f>Data!K36*Data!M36</f>
        <v>18816019</v>
      </c>
      <c r="C33" s="34">
        <f t="shared" si="1"/>
        <v>16750790</v>
      </c>
      <c r="D33" s="35">
        <f>C33*'SWB Ratio'!$B$9/0.9</f>
        <v>10644704.654174028</v>
      </c>
      <c r="E33" s="36">
        <f t="shared" si="2"/>
        <v>6106085.345825972</v>
      </c>
      <c r="F33" s="36">
        <f t="shared" si="3"/>
        <v>2065229</v>
      </c>
      <c r="G33" s="34" t="e">
        <f>D33*Data!#REF!</f>
        <v>#REF!</v>
      </c>
      <c r="H33" s="37" t="e">
        <f>(E33-(Data!I36*'License Fees'!$A$5))*Data!#REF!</f>
        <v>#REF!</v>
      </c>
      <c r="I33" s="37" t="e">
        <f>(H33+(IF(Data!C36=19,'License Fees'!$B$5+'License Fees'!$D$5,'License Fees'!$B$5)*Data!I36))</f>
        <v>#REF!</v>
      </c>
      <c r="J33" s="34" t="e">
        <f>(F33+G33+I33)/Data!G36</f>
        <v>#REF!</v>
      </c>
      <c r="K33" s="38">
        <f>'SB525 Add-Ons'!$B$5</f>
        <v>1386763456</v>
      </c>
      <c r="L33" s="39" t="e">
        <f t="shared" si="4"/>
        <v>#REF!</v>
      </c>
      <c r="M33" s="25">
        <f>IF(Data!N36=1,(Data!H36/Data!G36),0)</f>
        <v>0</v>
      </c>
      <c r="N33" s="40" t="str">
        <f t="shared" si="5"/>
        <v/>
      </c>
      <c r="O33" s="40" t="str">
        <f>IF(Data!T36="Y",IF(L33&gt;=$Q$65,$Q$65,L33),"")</f>
        <v/>
      </c>
      <c r="P33" s="40" t="str">
        <f t="shared" si="6"/>
        <v/>
      </c>
      <c r="Q33" s="40" t="e">
        <f t="shared" si="7"/>
        <v>#REF!</v>
      </c>
    </row>
    <row r="34" spans="1:17" x14ac:dyDescent="0.35">
      <c r="A34" s="33">
        <f>Data!J37*Data!M37</f>
        <v>161366</v>
      </c>
      <c r="B34" s="34">
        <f>Data!K37*Data!M37</f>
        <v>8912804</v>
      </c>
      <c r="C34" s="34">
        <f t="shared" si="1"/>
        <v>8751438</v>
      </c>
      <c r="D34" s="35">
        <f>C34*'SWB Ratio'!$B$9/0.9</f>
        <v>5561318.171221504</v>
      </c>
      <c r="E34" s="36">
        <f t="shared" si="2"/>
        <v>3190119.828778496</v>
      </c>
      <c r="F34" s="36">
        <f t="shared" si="3"/>
        <v>161366</v>
      </c>
      <c r="G34" s="34" t="e">
        <f>D34*Data!#REF!</f>
        <v>#REF!</v>
      </c>
      <c r="H34" s="37" t="e">
        <f>(E34-(Data!I37*'License Fees'!$A$5))*Data!#REF!</f>
        <v>#REF!</v>
      </c>
      <c r="I34" s="37" t="e">
        <f>(H34+(IF(Data!C37=19,'License Fees'!$B$5+'License Fees'!$D$5,'License Fees'!$B$5)*Data!I37))</f>
        <v>#REF!</v>
      </c>
      <c r="J34" s="34" t="e">
        <f>(F34+G34+I34)/Data!G37</f>
        <v>#REF!</v>
      </c>
      <c r="K34" s="38">
        <f>'SB525 Add-Ons'!$B$5</f>
        <v>1386763456</v>
      </c>
      <c r="L34" s="39" t="e">
        <f t="shared" si="4"/>
        <v>#REF!</v>
      </c>
      <c r="M34" s="25">
        <f>IF(Data!N37=1,(Data!H37/Data!G37),0)</f>
        <v>0.96064604185623292</v>
      </c>
      <c r="N34" s="40" t="e">
        <f t="shared" si="5"/>
        <v>#REF!</v>
      </c>
      <c r="O34" s="40" t="e">
        <f>IF(Data!T37="Y",IF(L34&gt;=$Q$65,$Q$65,L34),"")</f>
        <v>#REF!</v>
      </c>
      <c r="P34" s="40" t="e">
        <f t="shared" si="6"/>
        <v>#REF!</v>
      </c>
      <c r="Q34" s="40" t="e">
        <f t="shared" si="7"/>
        <v>#REF!</v>
      </c>
    </row>
    <row r="35" spans="1:17" x14ac:dyDescent="0.35">
      <c r="A35" s="33">
        <f>Data!J38*Data!M38</f>
        <v>749100</v>
      </c>
      <c r="B35" s="34">
        <f>Data!K38*Data!M38</f>
        <v>24936876</v>
      </c>
      <c r="C35" s="34">
        <f t="shared" si="1"/>
        <v>24187776</v>
      </c>
      <c r="D35" s="35">
        <f>C35*'SWB Ratio'!$B$9/0.9</f>
        <v>15370721.72484515</v>
      </c>
      <c r="E35" s="36">
        <f t="shared" si="2"/>
        <v>8817054.2751548495</v>
      </c>
      <c r="F35" s="36">
        <f t="shared" si="3"/>
        <v>749100</v>
      </c>
      <c r="G35" s="34" t="e">
        <f>D35*Data!#REF!</f>
        <v>#REF!</v>
      </c>
      <c r="H35" s="37" t="e">
        <f>(E35-(Data!I38*'License Fees'!$A$5))*Data!#REF!</f>
        <v>#REF!</v>
      </c>
      <c r="I35" s="37" t="e">
        <f>(H35+(IF(Data!C38=19,'License Fees'!$B$5+'License Fees'!$D$5,'License Fees'!$B$5)*Data!I38))</f>
        <v>#REF!</v>
      </c>
      <c r="J35" s="34" t="e">
        <f>(F35+G35+I35)/Data!G38</f>
        <v>#REF!</v>
      </c>
      <c r="K35" s="38">
        <f>'SB525 Add-Ons'!$B$5</f>
        <v>1386763456</v>
      </c>
      <c r="L35" s="39" t="e">
        <f t="shared" si="4"/>
        <v>#REF!</v>
      </c>
      <c r="M35" s="25">
        <f>IF(Data!N38=1,(Data!H38/Data!G38),0)</f>
        <v>0.95958578577948439</v>
      </c>
      <c r="N35" s="40" t="e">
        <f t="shared" si="5"/>
        <v>#REF!</v>
      </c>
      <c r="O35" s="40" t="str">
        <f>IF(Data!T38="Y",IF(L35&gt;=$Q$65,$Q$65,L35),"")</f>
        <v/>
      </c>
      <c r="P35" s="40" t="str">
        <f t="shared" si="6"/>
        <v/>
      </c>
      <c r="Q35" s="40" t="e">
        <f t="shared" si="7"/>
        <v>#REF!</v>
      </c>
    </row>
    <row r="36" spans="1:17" x14ac:dyDescent="0.35">
      <c r="A36" s="33">
        <f>Data!J39*Data!M39</f>
        <v>380017</v>
      </c>
      <c r="B36" s="34">
        <f>Data!K39*Data!M39</f>
        <v>4810358</v>
      </c>
      <c r="C36" s="34">
        <f t="shared" si="1"/>
        <v>4430341</v>
      </c>
      <c r="D36" s="35">
        <f>C36*'SWB Ratio'!$B$9/0.9</f>
        <v>2815369.9892529259</v>
      </c>
      <c r="E36" s="36">
        <f t="shared" si="2"/>
        <v>1614971.0107470741</v>
      </c>
      <c r="F36" s="36">
        <f t="shared" si="3"/>
        <v>380017</v>
      </c>
      <c r="G36" s="34" t="e">
        <f>D36*Data!#REF!</f>
        <v>#REF!</v>
      </c>
      <c r="H36" s="37" t="e">
        <f>(E36-(Data!I39*'License Fees'!$A$5))*Data!#REF!</f>
        <v>#REF!</v>
      </c>
      <c r="I36" s="37" t="e">
        <f>(H36+(IF(Data!C39=19,'License Fees'!$B$5+'License Fees'!$D$5,'License Fees'!$B$5)*Data!I39))</f>
        <v>#REF!</v>
      </c>
      <c r="J36" s="34" t="e">
        <f>(F36+G36+I36)/Data!G39</f>
        <v>#REF!</v>
      </c>
      <c r="K36" s="38">
        <f>'SB525 Add-Ons'!$B$5</f>
        <v>1386763456</v>
      </c>
      <c r="L36" s="39" t="e">
        <f t="shared" si="4"/>
        <v>#REF!</v>
      </c>
      <c r="M36" s="25">
        <f>IF(Data!N39=1,(Data!H39/Data!G39),0)</f>
        <v>0.98877035373385735</v>
      </c>
      <c r="N36" s="40" t="e">
        <f t="shared" si="5"/>
        <v>#REF!</v>
      </c>
      <c r="O36" s="40" t="e">
        <f>IF(Data!T39="Y",IF(L36&gt;=$Q$65,$Q$65,L36),"")</f>
        <v>#REF!</v>
      </c>
      <c r="P36" s="40" t="e">
        <f t="shared" si="6"/>
        <v>#REF!</v>
      </c>
      <c r="Q36" s="40" t="e">
        <f t="shared" si="7"/>
        <v>#REF!</v>
      </c>
    </row>
    <row r="37" spans="1:17" x14ac:dyDescent="0.35">
      <c r="A37" s="33" t="e">
        <f>Data!#REF!*Data!#REF!</f>
        <v>#REF!</v>
      </c>
      <c r="B37" s="34" t="e">
        <f>Data!#REF!*Data!#REF!</f>
        <v>#REF!</v>
      </c>
      <c r="C37" s="34" t="e">
        <f t="shared" si="1"/>
        <v>#REF!</v>
      </c>
      <c r="D37" s="35" t="e">
        <f>C37*'SWB Ratio'!$B$9/0.9</f>
        <v>#REF!</v>
      </c>
      <c r="E37" s="36" t="e">
        <f t="shared" si="2"/>
        <v>#REF!</v>
      </c>
      <c r="F37" s="36" t="e">
        <f t="shared" si="3"/>
        <v>#REF!</v>
      </c>
      <c r="G37" s="34" t="e">
        <f>D37*Data!#REF!</f>
        <v>#REF!</v>
      </c>
      <c r="H37" s="37" t="e">
        <f>(E37-(Data!#REF!*'License Fees'!$A$5))*Data!#REF!</f>
        <v>#REF!</v>
      </c>
      <c r="I37" s="37" t="e">
        <f>(H37+(IF(Data!#REF!=19,'License Fees'!$B$5+'License Fees'!$D$5,'License Fees'!$B$5)*Data!#REF!))</f>
        <v>#REF!</v>
      </c>
      <c r="J37" s="34" t="e">
        <f>(F37+G37+I37)/Data!#REF!</f>
        <v>#REF!</v>
      </c>
      <c r="K37" s="38">
        <f>'SB525 Add-Ons'!$B$5</f>
        <v>1386763456</v>
      </c>
      <c r="L37" s="39" t="e">
        <f t="shared" si="4"/>
        <v>#REF!</v>
      </c>
      <c r="M37" s="25" t="e">
        <f>IF(Data!#REF!=1,(Data!#REF!/Data!#REF!),0)</f>
        <v>#REF!</v>
      </c>
      <c r="N37" s="40" t="e">
        <f t="shared" si="5"/>
        <v>#REF!</v>
      </c>
      <c r="O37" s="40" t="e">
        <f>IF(Data!#REF!="Y",IF(L37&gt;=$Q$65,$Q$65,L37),"")</f>
        <v>#REF!</v>
      </c>
      <c r="P37" s="40" t="e">
        <f t="shared" si="6"/>
        <v>#REF!</v>
      </c>
      <c r="Q37" s="40" t="e">
        <f t="shared" si="7"/>
        <v>#REF!</v>
      </c>
    </row>
    <row r="38" spans="1:17" x14ac:dyDescent="0.35">
      <c r="A38" s="33">
        <f>Data!J40*Data!M40</f>
        <v>1429259</v>
      </c>
      <c r="B38" s="34">
        <f>Data!K40*Data!M40</f>
        <v>16075752</v>
      </c>
      <c r="C38" s="34">
        <f t="shared" si="1"/>
        <v>14646493</v>
      </c>
      <c r="D38" s="35">
        <f>C38*'SWB Ratio'!$B$9/0.9</f>
        <v>9307476.9729921594</v>
      </c>
      <c r="E38" s="36">
        <f t="shared" si="2"/>
        <v>5339016.0270078406</v>
      </c>
      <c r="F38" s="36">
        <f t="shared" si="3"/>
        <v>1429259</v>
      </c>
      <c r="G38" s="34" t="e">
        <f>D38*Data!#REF!</f>
        <v>#REF!</v>
      </c>
      <c r="H38" s="37" t="e">
        <f>(E38-(Data!I40*'License Fees'!$A$5))*Data!#REF!</f>
        <v>#REF!</v>
      </c>
      <c r="I38" s="37" t="e">
        <f>(H38+(IF(Data!C40=19,'License Fees'!$B$5+'License Fees'!$D$5,'License Fees'!$B$5)*Data!I40))</f>
        <v>#REF!</v>
      </c>
      <c r="J38" s="34" t="e">
        <f>(F38+G38+I38)/Data!G40</f>
        <v>#REF!</v>
      </c>
      <c r="K38" s="38">
        <f>'SB525 Add-Ons'!$B$5</f>
        <v>1386763456</v>
      </c>
      <c r="L38" s="39" t="e">
        <f t="shared" si="4"/>
        <v>#REF!</v>
      </c>
      <c r="M38" s="25">
        <f>IF(Data!N40=1,(Data!H40/Data!G40),0)</f>
        <v>0.90467631671855442</v>
      </c>
      <c r="N38" s="40" t="e">
        <f t="shared" si="5"/>
        <v>#REF!</v>
      </c>
      <c r="O38" s="40" t="str">
        <f>IF(Data!T40="Y",IF(L38&gt;=$Q$65,$Q$65,L38),"")</f>
        <v/>
      </c>
      <c r="P38" s="40" t="str">
        <f t="shared" si="6"/>
        <v/>
      </c>
      <c r="Q38" s="40" t="e">
        <f t="shared" si="7"/>
        <v>#REF!</v>
      </c>
    </row>
    <row r="39" spans="1:17" x14ac:dyDescent="0.35">
      <c r="A39" s="33">
        <f>Data!J41*Data!M41</f>
        <v>657492</v>
      </c>
      <c r="B39" s="34">
        <f>Data!K41*Data!M41</f>
        <v>21710399</v>
      </c>
      <c r="C39" s="34">
        <f t="shared" si="1"/>
        <v>21052907</v>
      </c>
      <c r="D39" s="35">
        <f>C39*'SWB Ratio'!$B$9/0.9</f>
        <v>13378591.52474558</v>
      </c>
      <c r="E39" s="36">
        <f t="shared" si="2"/>
        <v>7674315.4752544202</v>
      </c>
      <c r="F39" s="36">
        <f t="shared" si="3"/>
        <v>657492</v>
      </c>
      <c r="G39" s="34" t="e">
        <f>D39*Data!#REF!</f>
        <v>#REF!</v>
      </c>
      <c r="H39" s="37" t="e">
        <f>(E39-(Data!I41*'License Fees'!$A$5))*Data!#REF!</f>
        <v>#REF!</v>
      </c>
      <c r="I39" s="37" t="e">
        <f>(H39+(IF(Data!C41=19,'License Fees'!$B$5+'License Fees'!$D$5,'License Fees'!$B$5)*Data!I41))</f>
        <v>#REF!</v>
      </c>
      <c r="J39" s="34" t="e">
        <f>(F39+G39+I39)/Data!G41</f>
        <v>#REF!</v>
      </c>
      <c r="K39" s="38">
        <f>'SB525 Add-Ons'!$B$5</f>
        <v>1386763456</v>
      </c>
      <c r="L39" s="39" t="e">
        <f t="shared" si="4"/>
        <v>#REF!</v>
      </c>
      <c r="M39" s="25">
        <f>IF(Data!N41=1,(Data!H41/Data!G41),0)</f>
        <v>0.76553144426223252</v>
      </c>
      <c r="N39" s="40" t="e">
        <f t="shared" si="5"/>
        <v>#REF!</v>
      </c>
      <c r="O39" s="40" t="e">
        <f>IF(Data!T41="Y",IF(L39&gt;=$Q$65,$Q$65,L39),"")</f>
        <v>#REF!</v>
      </c>
      <c r="P39" s="40" t="e">
        <f t="shared" si="6"/>
        <v>#REF!</v>
      </c>
      <c r="Q39" s="40" t="e">
        <f t="shared" si="7"/>
        <v>#REF!</v>
      </c>
    </row>
    <row r="40" spans="1:17" x14ac:dyDescent="0.35">
      <c r="A40" s="33" t="e">
        <f>Data!#REF!*Data!#REF!</f>
        <v>#REF!</v>
      </c>
      <c r="B40" s="34" t="e">
        <f>Data!#REF!*Data!#REF!</f>
        <v>#REF!</v>
      </c>
      <c r="C40" s="34" t="e">
        <f t="shared" si="1"/>
        <v>#REF!</v>
      </c>
      <c r="D40" s="35" t="e">
        <f>C40*'SWB Ratio'!$B$9/0.9</f>
        <v>#REF!</v>
      </c>
      <c r="E40" s="36" t="e">
        <f t="shared" si="2"/>
        <v>#REF!</v>
      </c>
      <c r="F40" s="36" t="e">
        <f t="shared" si="3"/>
        <v>#REF!</v>
      </c>
      <c r="G40" s="34" t="e">
        <f>D40*Data!#REF!</f>
        <v>#REF!</v>
      </c>
      <c r="H40" s="37" t="e">
        <f>(E40-(Data!#REF!*'License Fees'!$A$5))*Data!#REF!</f>
        <v>#REF!</v>
      </c>
      <c r="I40" s="37" t="e">
        <f>(H40+(IF(Data!#REF!=19,'License Fees'!$B$5+'License Fees'!$D$5,'License Fees'!$B$5)*Data!#REF!))</f>
        <v>#REF!</v>
      </c>
      <c r="J40" s="34" t="e">
        <f>(F40+G40+I40)/Data!#REF!</f>
        <v>#REF!</v>
      </c>
      <c r="K40" s="38">
        <f>'SB525 Add-Ons'!$B$5</f>
        <v>1386763456</v>
      </c>
      <c r="L40" s="39" t="e">
        <f t="shared" si="4"/>
        <v>#REF!</v>
      </c>
      <c r="M40" s="25" t="e">
        <f>IF(Data!#REF!=1,(Data!#REF!/Data!#REF!),0)</f>
        <v>#REF!</v>
      </c>
      <c r="N40" s="40" t="e">
        <f t="shared" si="5"/>
        <v>#REF!</v>
      </c>
      <c r="O40" s="40" t="e">
        <f>IF(Data!#REF!="Y",IF(L40&gt;=$Q$65,$Q$65,L40),"")</f>
        <v>#REF!</v>
      </c>
      <c r="P40" s="40" t="e">
        <f t="shared" si="6"/>
        <v>#REF!</v>
      </c>
      <c r="Q40" s="40" t="e">
        <f t="shared" si="7"/>
        <v>#REF!</v>
      </c>
    </row>
    <row r="41" spans="1:17" x14ac:dyDescent="0.35">
      <c r="A41" s="33">
        <f>Data!J42*Data!M42</f>
        <v>742198</v>
      </c>
      <c r="B41" s="34">
        <f>Data!K42*Data!M42</f>
        <v>16433883</v>
      </c>
      <c r="C41" s="34">
        <f t="shared" si="1"/>
        <v>15691685</v>
      </c>
      <c r="D41" s="35">
        <f>C41*'SWB Ratio'!$B$9/0.9</f>
        <v>9971670.1332494058</v>
      </c>
      <c r="E41" s="36">
        <f t="shared" si="2"/>
        <v>5720014.8667505942</v>
      </c>
      <c r="F41" s="36">
        <f t="shared" si="3"/>
        <v>742198</v>
      </c>
      <c r="G41" s="34" t="e">
        <f>D41*Data!#REF!</f>
        <v>#REF!</v>
      </c>
      <c r="H41" s="37" t="e">
        <f>(E41-(Data!I42*'License Fees'!$A$5))*Data!#REF!</f>
        <v>#REF!</v>
      </c>
      <c r="I41" s="37" t="e">
        <f>(H41+(IF(Data!C42=19,'License Fees'!$B$5+'License Fees'!$D$5,'License Fees'!$B$5)*Data!I42))</f>
        <v>#REF!</v>
      </c>
      <c r="J41" s="34" t="e">
        <f>(F41+G41+I41)/Data!G42</f>
        <v>#REF!</v>
      </c>
      <c r="K41" s="38">
        <f>'SB525 Add-Ons'!$B$5</f>
        <v>1386763456</v>
      </c>
      <c r="L41" s="39" t="e">
        <f t="shared" si="4"/>
        <v>#REF!</v>
      </c>
      <c r="M41" s="25">
        <f>IF(Data!N42=1,(Data!H42/Data!G42),0)</f>
        <v>0.54090164640979221</v>
      </c>
      <c r="N41" s="40" t="e">
        <f t="shared" si="5"/>
        <v>#REF!</v>
      </c>
      <c r="O41" s="40" t="str">
        <f>IF(Data!T42="Y",IF(L41&gt;=$Q$65,$Q$65,L41),"")</f>
        <v/>
      </c>
      <c r="P41" s="40" t="str">
        <f t="shared" si="6"/>
        <v/>
      </c>
      <c r="Q41" s="40" t="e">
        <f t="shared" si="7"/>
        <v>#REF!</v>
      </c>
    </row>
    <row r="42" spans="1:17" x14ac:dyDescent="0.35">
      <c r="A42" s="33">
        <f>Data!J44*Data!M44</f>
        <v>592576</v>
      </c>
      <c r="B42" s="34">
        <f>Data!K44*Data!M44</f>
        <v>25003586</v>
      </c>
      <c r="C42" s="34">
        <f t="shared" si="1"/>
        <v>24411010</v>
      </c>
      <c r="D42" s="35">
        <f>C42*'SWB Ratio'!$B$9/0.9</f>
        <v>15512581.302737888</v>
      </c>
      <c r="E42" s="36">
        <f t="shared" si="2"/>
        <v>8898428.6972621121</v>
      </c>
      <c r="F42" s="36">
        <f t="shared" si="3"/>
        <v>592576</v>
      </c>
      <c r="G42" s="34" t="e">
        <f>D42*Data!#REF!</f>
        <v>#REF!</v>
      </c>
      <c r="H42" s="37" t="e">
        <f>(E42-(Data!I44*'License Fees'!$A$5))*Data!#REF!</f>
        <v>#REF!</v>
      </c>
      <c r="I42" s="37" t="e">
        <f>(H42+(IF(Data!C44=19,'License Fees'!$B$5+'License Fees'!$D$5,'License Fees'!$B$5)*Data!I44))</f>
        <v>#REF!</v>
      </c>
      <c r="J42" s="34" t="e">
        <f>(F42+G42+I42)/Data!G44</f>
        <v>#REF!</v>
      </c>
      <c r="K42" s="38">
        <f>'SB525 Add-Ons'!$B$5</f>
        <v>1386763456</v>
      </c>
      <c r="L42" s="39" t="e">
        <f t="shared" si="4"/>
        <v>#REF!</v>
      </c>
      <c r="M42" s="25">
        <f>IF(Data!N44=1,(Data!H44/Data!G44),0)</f>
        <v>2.6160381268130958E-2</v>
      </c>
      <c r="N42" s="40" t="str">
        <f t="shared" si="5"/>
        <v/>
      </c>
      <c r="O42" s="40" t="str">
        <f>IF(Data!T44="Y",IF(L42&gt;=$Q$65,$Q$65,L42),"")</f>
        <v/>
      </c>
      <c r="P42" s="40" t="str">
        <f t="shared" si="6"/>
        <v/>
      </c>
      <c r="Q42" s="40" t="e">
        <f t="shared" si="7"/>
        <v>#REF!</v>
      </c>
    </row>
    <row r="43" spans="1:17" x14ac:dyDescent="0.35">
      <c r="A43" s="33">
        <f>Data!J45*Data!M45</f>
        <v>790145</v>
      </c>
      <c r="B43" s="34">
        <f>Data!K45*Data!M45</f>
        <v>42245320</v>
      </c>
      <c r="C43" s="34">
        <f t="shared" si="1"/>
        <v>41455175</v>
      </c>
      <c r="D43" s="35">
        <f>C43*'SWB Ratio'!$B$9/0.9</f>
        <v>26343718.37161703</v>
      </c>
      <c r="E43" s="36">
        <f t="shared" si="2"/>
        <v>15111456.62838297</v>
      </c>
      <c r="F43" s="36">
        <f t="shared" si="3"/>
        <v>790145</v>
      </c>
      <c r="G43" s="34" t="e">
        <f>D43*Data!#REF!</f>
        <v>#REF!</v>
      </c>
      <c r="H43" s="37" t="e">
        <f>(E43-(Data!I45*'License Fees'!$A$5))*Data!#REF!</f>
        <v>#REF!</v>
      </c>
      <c r="I43" s="37" t="e">
        <f>(H43+(IF(Data!C45=19,'License Fees'!$B$5+'License Fees'!$D$5,'License Fees'!$B$5)*Data!I45))</f>
        <v>#REF!</v>
      </c>
      <c r="J43" s="34" t="e">
        <f>(F43+G43+I43)/Data!G45</f>
        <v>#REF!</v>
      </c>
      <c r="K43" s="38">
        <f>'SB525 Add-Ons'!$B$5</f>
        <v>1386763456</v>
      </c>
      <c r="L43" s="39" t="e">
        <f t="shared" si="4"/>
        <v>#REF!</v>
      </c>
      <c r="M43" s="25">
        <f>IF(Data!N45=1,(Data!H45/Data!G45),0)</f>
        <v>0</v>
      </c>
      <c r="N43" s="40" t="str">
        <f t="shared" si="5"/>
        <v/>
      </c>
      <c r="O43" s="40" t="str">
        <f>IF(Data!T45="Y",IF(L43&gt;=$Q$65,$Q$65,L43),"")</f>
        <v/>
      </c>
      <c r="P43" s="40" t="str">
        <f t="shared" si="6"/>
        <v/>
      </c>
      <c r="Q43" s="40" t="e">
        <f t="shared" si="7"/>
        <v>#REF!</v>
      </c>
    </row>
    <row r="44" spans="1:17" x14ac:dyDescent="0.35">
      <c r="A44" s="33">
        <f>Data!J46*Data!M46</f>
        <v>559140</v>
      </c>
      <c r="B44" s="34">
        <f>Data!K46*Data!M46</f>
        <v>8588431</v>
      </c>
      <c r="C44" s="34">
        <f t="shared" si="1"/>
        <v>8029291</v>
      </c>
      <c r="D44" s="35">
        <f>C44*'SWB Ratio'!$B$9/0.9</f>
        <v>5102411.9625055082</v>
      </c>
      <c r="E44" s="36">
        <f t="shared" si="2"/>
        <v>2926879.0374944918</v>
      </c>
      <c r="F44" s="36">
        <f t="shared" si="3"/>
        <v>559140</v>
      </c>
      <c r="G44" s="34" t="e">
        <f>D44*Data!#REF!</f>
        <v>#REF!</v>
      </c>
      <c r="H44" s="37" t="e">
        <f>(E44-(Data!I46*'License Fees'!$A$5))*Data!#REF!</f>
        <v>#REF!</v>
      </c>
      <c r="I44" s="37" t="e">
        <f>(H44+(IF(Data!C46=19,'License Fees'!$B$5+'License Fees'!$D$5,'License Fees'!$B$5)*Data!I46))</f>
        <v>#REF!</v>
      </c>
      <c r="J44" s="34" t="e">
        <f>(F44+G44+I44)/Data!G46</f>
        <v>#REF!</v>
      </c>
      <c r="K44" s="38">
        <f>'SB525 Add-Ons'!$B$5</f>
        <v>1386763456</v>
      </c>
      <c r="L44" s="39" t="e">
        <f t="shared" si="4"/>
        <v>#REF!</v>
      </c>
      <c r="M44" s="25">
        <f>IF(Data!N46=1,(Data!H46/Data!G46),0)</f>
        <v>0.8164259613711502</v>
      </c>
      <c r="N44" s="40" t="e">
        <f t="shared" si="5"/>
        <v>#REF!</v>
      </c>
      <c r="O44" s="40" t="str">
        <f>IF(Data!T46="Y",IF(L44&gt;=$Q$65,$Q$65,L44),"")</f>
        <v/>
      </c>
      <c r="P44" s="40" t="str">
        <f t="shared" si="6"/>
        <v/>
      </c>
      <c r="Q44" s="40" t="e">
        <f t="shared" si="7"/>
        <v>#REF!</v>
      </c>
    </row>
    <row r="45" spans="1:17" x14ac:dyDescent="0.35">
      <c r="A45" s="33">
        <f>Data!J47*Data!M47</f>
        <v>674663</v>
      </c>
      <c r="B45" s="34">
        <f>Data!K47*Data!M47</f>
        <v>14820278</v>
      </c>
      <c r="C45" s="34">
        <f t="shared" si="1"/>
        <v>14145615</v>
      </c>
      <c r="D45" s="35">
        <f>C45*'SWB Ratio'!$B$9/0.9</f>
        <v>8989181.6342186816</v>
      </c>
      <c r="E45" s="36">
        <f t="shared" si="2"/>
        <v>5156433.3657813184</v>
      </c>
      <c r="F45" s="36">
        <f t="shared" si="3"/>
        <v>674663</v>
      </c>
      <c r="G45" s="34" t="e">
        <f>D45*Data!#REF!</f>
        <v>#REF!</v>
      </c>
      <c r="H45" s="37" t="e">
        <f>(E45-(Data!I47*'License Fees'!$A$5))*Data!#REF!</f>
        <v>#REF!</v>
      </c>
      <c r="I45" s="37" t="e">
        <f>(H45+(IF(Data!C47=19,'License Fees'!$B$5+'License Fees'!$D$5,'License Fees'!$B$5)*Data!I47))</f>
        <v>#REF!</v>
      </c>
      <c r="J45" s="34" t="e">
        <f>(F45+G45+I45)/Data!G47</f>
        <v>#REF!</v>
      </c>
      <c r="K45" s="38">
        <f>'SB525 Add-Ons'!$B$5</f>
        <v>1386763456</v>
      </c>
      <c r="L45" s="39" t="e">
        <f t="shared" si="4"/>
        <v>#REF!</v>
      </c>
      <c r="M45" s="25">
        <f>IF(Data!N47=1,(Data!H47/Data!G47),0)</f>
        <v>0.82834822391989293</v>
      </c>
      <c r="N45" s="40" t="e">
        <f t="shared" si="5"/>
        <v>#REF!</v>
      </c>
      <c r="O45" s="40" t="e">
        <f>IF(Data!T47="Y",IF(L45&gt;=$Q$65,$Q$65,L45),"")</f>
        <v>#REF!</v>
      </c>
      <c r="P45" s="40" t="e">
        <f t="shared" si="6"/>
        <v>#REF!</v>
      </c>
      <c r="Q45" s="40" t="e">
        <f t="shared" si="7"/>
        <v>#REF!</v>
      </c>
    </row>
    <row r="46" spans="1:17" x14ac:dyDescent="0.35">
      <c r="A46" s="33">
        <f>Data!J48*Data!M48</f>
        <v>984835</v>
      </c>
      <c r="B46" s="34">
        <f>Data!K48*Data!M48</f>
        <v>13996804</v>
      </c>
      <c r="C46" s="34">
        <f t="shared" si="1"/>
        <v>13011969</v>
      </c>
      <c r="D46" s="35">
        <f>C46*'SWB Ratio'!$B$9/0.9</f>
        <v>8268778.1874328423</v>
      </c>
      <c r="E46" s="36">
        <f t="shared" si="2"/>
        <v>4743190.8125671577</v>
      </c>
      <c r="F46" s="36">
        <f t="shared" si="3"/>
        <v>984835</v>
      </c>
      <c r="G46" s="34" t="e">
        <f>D46*Data!#REF!</f>
        <v>#REF!</v>
      </c>
      <c r="H46" s="37" t="e">
        <f>(E46-(Data!I48*'License Fees'!$A$5))*Data!#REF!</f>
        <v>#REF!</v>
      </c>
      <c r="I46" s="37" t="e">
        <f>(H46+(IF(Data!C48=19,'License Fees'!$B$5+'License Fees'!$D$5,'License Fees'!$B$5)*Data!I48))</f>
        <v>#REF!</v>
      </c>
      <c r="J46" s="34" t="e">
        <f>(F46+G46+I46)/Data!G48</f>
        <v>#REF!</v>
      </c>
      <c r="K46" s="38">
        <f>'SB525 Add-Ons'!$B$5</f>
        <v>1386763456</v>
      </c>
      <c r="L46" s="39" t="e">
        <f t="shared" si="4"/>
        <v>#REF!</v>
      </c>
      <c r="M46" s="25">
        <f>IF(Data!N48=1,(Data!H48/Data!G48),0)</f>
        <v>0.77601067104453114</v>
      </c>
      <c r="N46" s="40" t="e">
        <f t="shared" si="5"/>
        <v>#REF!</v>
      </c>
      <c r="O46" s="40" t="str">
        <f>IF(Data!T48="Y",IF(L46&gt;=$Q$65,$Q$65,L46),"")</f>
        <v/>
      </c>
      <c r="P46" s="40" t="str">
        <f t="shared" si="6"/>
        <v/>
      </c>
      <c r="Q46" s="40" t="e">
        <f t="shared" si="7"/>
        <v>#REF!</v>
      </c>
    </row>
    <row r="47" spans="1:17" x14ac:dyDescent="0.35">
      <c r="A47" s="33">
        <f>Data!J49*Data!M49</f>
        <v>136817</v>
      </c>
      <c r="B47" s="34">
        <f>Data!K49*Data!M49</f>
        <v>15252192</v>
      </c>
      <c r="C47" s="34">
        <f t="shared" si="1"/>
        <v>15115375</v>
      </c>
      <c r="D47" s="35">
        <f>C47*'SWB Ratio'!$B$9/0.9</f>
        <v>9605439.6605823226</v>
      </c>
      <c r="E47" s="36">
        <f t="shared" si="2"/>
        <v>5509935.3394176774</v>
      </c>
      <c r="F47" s="36">
        <f t="shared" si="3"/>
        <v>136817</v>
      </c>
      <c r="G47" s="34" t="e">
        <f>D47*Data!#REF!</f>
        <v>#REF!</v>
      </c>
      <c r="H47" s="37" t="e">
        <f>(E47-(Data!I49*'License Fees'!$A$5))*Data!#REF!</f>
        <v>#REF!</v>
      </c>
      <c r="I47" s="37" t="e">
        <f>(H47+(IF(Data!C49=19,'License Fees'!$B$5+'License Fees'!$D$5,'License Fees'!$B$5)*Data!I49))</f>
        <v>#REF!</v>
      </c>
      <c r="J47" s="34" t="e">
        <f>(F47+G47+I47)/Data!G49</f>
        <v>#REF!</v>
      </c>
      <c r="K47" s="38">
        <f>'SB525 Add-Ons'!$B$5</f>
        <v>1386763456</v>
      </c>
      <c r="L47" s="39" t="e">
        <f t="shared" si="4"/>
        <v>#REF!</v>
      </c>
      <c r="M47" s="25">
        <f>IF(Data!N49=1,(Data!H49/Data!G49),0)</f>
        <v>0</v>
      </c>
      <c r="N47" s="40" t="str">
        <f t="shared" si="5"/>
        <v/>
      </c>
      <c r="O47" s="40" t="str">
        <f>IF(Data!T49="Y",IF(L47&gt;=$Q$65,$Q$65,L47),"")</f>
        <v/>
      </c>
      <c r="P47" s="40" t="str">
        <f t="shared" si="6"/>
        <v/>
      </c>
      <c r="Q47" s="40" t="e">
        <f t="shared" si="7"/>
        <v>#REF!</v>
      </c>
    </row>
    <row r="48" spans="1:17" x14ac:dyDescent="0.35">
      <c r="A48" s="33">
        <f>Data!J50*Data!M50</f>
        <v>1150047</v>
      </c>
      <c r="B48" s="34">
        <f>Data!K50*Data!M50</f>
        <v>50260317</v>
      </c>
      <c r="C48" s="34">
        <f t="shared" si="1"/>
        <v>49110270</v>
      </c>
      <c r="D48" s="35">
        <f>C48*'SWB Ratio'!$B$9/0.9</f>
        <v>31208338.211913779</v>
      </c>
      <c r="E48" s="36">
        <f t="shared" si="2"/>
        <v>17901931.788086221</v>
      </c>
      <c r="F48" s="36">
        <f t="shared" si="3"/>
        <v>1150047</v>
      </c>
      <c r="G48" s="34" t="e">
        <f>D48*Data!#REF!</f>
        <v>#REF!</v>
      </c>
      <c r="H48" s="37" t="e">
        <f>(E48-(Data!I50*'License Fees'!$A$5))*Data!#REF!</f>
        <v>#REF!</v>
      </c>
      <c r="I48" s="37" t="e">
        <f>(H48+(IF(Data!C50=19,'License Fees'!$B$5+'License Fees'!$D$5,'License Fees'!$B$5)*Data!I50))</f>
        <v>#REF!</v>
      </c>
      <c r="J48" s="34" t="e">
        <f>(F48+G48+I48)/Data!G50</f>
        <v>#REF!</v>
      </c>
      <c r="K48" s="38">
        <f>'SB525 Add-Ons'!$B$5</f>
        <v>1386763456</v>
      </c>
      <c r="L48" s="39" t="e">
        <f t="shared" si="4"/>
        <v>#REF!</v>
      </c>
      <c r="M48" s="25">
        <f>IF(Data!N50=1,(Data!H50/Data!G50),0)</f>
        <v>0.82431300439268562</v>
      </c>
      <c r="N48" s="40" t="e">
        <f t="shared" si="5"/>
        <v>#REF!</v>
      </c>
      <c r="O48" s="40" t="str">
        <f>IF(Data!T50="Y",IF(L48&gt;=$Q$65,$Q$65,L48),"")</f>
        <v/>
      </c>
      <c r="P48" s="40" t="str">
        <f t="shared" si="6"/>
        <v/>
      </c>
      <c r="Q48" s="40" t="e">
        <f t="shared" si="7"/>
        <v>#REF!</v>
      </c>
    </row>
    <row r="49" spans="1:17" x14ac:dyDescent="0.35">
      <c r="A49" s="33">
        <f>Data!J51*Data!M51</f>
        <v>361926</v>
      </c>
      <c r="B49" s="34">
        <f>Data!K51*Data!M51</f>
        <v>17025589</v>
      </c>
      <c r="C49" s="34">
        <f t="shared" si="1"/>
        <v>16663663</v>
      </c>
      <c r="D49" s="35">
        <f>C49*'SWB Ratio'!$B$9/0.9</f>
        <v>10589337.642683573</v>
      </c>
      <c r="E49" s="36">
        <f t="shared" si="2"/>
        <v>6074325.3573164269</v>
      </c>
      <c r="F49" s="36">
        <f t="shared" si="3"/>
        <v>361926</v>
      </c>
      <c r="G49" s="34" t="e">
        <f>D49*Data!#REF!</f>
        <v>#REF!</v>
      </c>
      <c r="H49" s="37" t="e">
        <f>(E49-(Data!I51*'License Fees'!$A$5))*Data!#REF!</f>
        <v>#REF!</v>
      </c>
      <c r="I49" s="37" t="e">
        <f>(H49+(IF(Data!C51=19,'License Fees'!$B$5+'License Fees'!$D$5,'License Fees'!$B$5)*Data!I51))</f>
        <v>#REF!</v>
      </c>
      <c r="J49" s="34" t="e">
        <f>(F49+G49+I49)/Data!G51</f>
        <v>#REF!</v>
      </c>
      <c r="K49" s="38">
        <f>'SB525 Add-Ons'!$B$5</f>
        <v>1386763456</v>
      </c>
      <c r="L49" s="39" t="e">
        <f t="shared" si="4"/>
        <v>#REF!</v>
      </c>
      <c r="M49" s="25">
        <f>IF(Data!N51=1,(Data!H51/Data!G51),0)</f>
        <v>0</v>
      </c>
      <c r="N49" s="40" t="str">
        <f t="shared" si="5"/>
        <v/>
      </c>
      <c r="O49" s="40" t="str">
        <f>IF(Data!T51="Y",IF(L49&gt;=$Q$65,$Q$65,L49),"")</f>
        <v/>
      </c>
      <c r="P49" s="40" t="str">
        <f t="shared" si="6"/>
        <v/>
      </c>
      <c r="Q49" s="40" t="e">
        <f t="shared" si="7"/>
        <v>#REF!</v>
      </c>
    </row>
    <row r="50" spans="1:17" x14ac:dyDescent="0.35">
      <c r="A50" s="33">
        <f>Data!J52*Data!M52</f>
        <v>71811</v>
      </c>
      <c r="B50" s="34">
        <f>Data!K52*Data!M52</f>
        <v>4014231</v>
      </c>
      <c r="C50" s="34">
        <f t="shared" si="1"/>
        <v>3942420</v>
      </c>
      <c r="D50" s="35">
        <f>C50*'SWB Ratio'!$B$9/0.9</f>
        <v>2505308.4972534892</v>
      </c>
      <c r="E50" s="36">
        <f t="shared" si="2"/>
        <v>1437111.5027465108</v>
      </c>
      <c r="F50" s="36">
        <f t="shared" si="3"/>
        <v>71811</v>
      </c>
      <c r="G50" s="34" t="e">
        <f>D50*Data!#REF!</f>
        <v>#REF!</v>
      </c>
      <c r="H50" s="37" t="e">
        <f>(E50-(Data!I52*'License Fees'!$A$5))*Data!#REF!</f>
        <v>#REF!</v>
      </c>
      <c r="I50" s="37" t="e">
        <f>(H50+(IF(Data!C52=19,'License Fees'!$B$5+'License Fees'!$D$5,'License Fees'!$B$5)*Data!I52))</f>
        <v>#REF!</v>
      </c>
      <c r="J50" s="34" t="e">
        <f>(F50+G50+I50)/Data!G52</f>
        <v>#REF!</v>
      </c>
      <c r="K50" s="38">
        <f>'SB525 Add-Ons'!$B$5</f>
        <v>1386763456</v>
      </c>
      <c r="L50" s="39" t="e">
        <f t="shared" si="4"/>
        <v>#REF!</v>
      </c>
      <c r="M50" s="25">
        <f>IF(Data!N52=1,(Data!H52/Data!G52),0)</f>
        <v>0.96959591996861516</v>
      </c>
      <c r="N50" s="40" t="e">
        <f t="shared" si="5"/>
        <v>#REF!</v>
      </c>
      <c r="O50" s="40" t="e">
        <f>IF(Data!T52="Y",IF(L50&gt;=$Q$65,$Q$65,L50),"")</f>
        <v>#REF!</v>
      </c>
      <c r="P50" s="40" t="e">
        <f t="shared" si="6"/>
        <v>#REF!</v>
      </c>
      <c r="Q50" s="40" t="e">
        <f t="shared" si="7"/>
        <v>#REF!</v>
      </c>
    </row>
    <row r="51" spans="1:17" x14ac:dyDescent="0.35">
      <c r="A51" s="33">
        <f>Data!J54*Data!M54</f>
        <v>1711346</v>
      </c>
      <c r="B51" s="34">
        <f>Data!K54*Data!M54</f>
        <v>28025165</v>
      </c>
      <c r="C51" s="34">
        <f t="shared" si="1"/>
        <v>26313819</v>
      </c>
      <c r="D51" s="35">
        <f>C51*'SWB Ratio'!$B$9/0.9</f>
        <v>16721768.44067611</v>
      </c>
      <c r="E51" s="36">
        <f t="shared" si="2"/>
        <v>9592050.5593238901</v>
      </c>
      <c r="F51" s="36">
        <f t="shared" si="3"/>
        <v>1711346</v>
      </c>
      <c r="G51" s="34" t="e">
        <f>D51*Data!#REF!</f>
        <v>#REF!</v>
      </c>
      <c r="H51" s="37" t="e">
        <f>(E51-(Data!I54*'License Fees'!$A$5))*Data!#REF!</f>
        <v>#REF!</v>
      </c>
      <c r="I51" s="37" t="e">
        <f>(H51+(IF(Data!C54=19,'License Fees'!$B$5+'License Fees'!$D$5,'License Fees'!$B$5)*Data!I54))</f>
        <v>#REF!</v>
      </c>
      <c r="J51" s="34" t="e">
        <f>(F51+G51+I51)/Data!G54</f>
        <v>#REF!</v>
      </c>
      <c r="K51" s="38">
        <f>'SB525 Add-Ons'!$B$5</f>
        <v>1386763456</v>
      </c>
      <c r="L51" s="39" t="e">
        <f t="shared" si="4"/>
        <v>#REF!</v>
      </c>
      <c r="M51" s="25">
        <f>IF(Data!N54=1,(Data!H54/Data!G54),0)</f>
        <v>0.63071862176552373</v>
      </c>
      <c r="N51" s="40" t="e">
        <f t="shared" si="5"/>
        <v>#REF!</v>
      </c>
      <c r="O51" s="40" t="str">
        <f>IF(Data!T54="Y",IF(L51&gt;=$Q$65,$Q$65,L51),"")</f>
        <v/>
      </c>
      <c r="P51" s="40" t="str">
        <f t="shared" si="6"/>
        <v/>
      </c>
      <c r="Q51" s="40" t="e">
        <f t="shared" si="7"/>
        <v>#REF!</v>
      </c>
    </row>
    <row r="52" spans="1:17" x14ac:dyDescent="0.35">
      <c r="A52" s="33">
        <f>Data!J55*Data!M55</f>
        <v>1004188</v>
      </c>
      <c r="B52" s="34">
        <f>Data!K55*Data!M55</f>
        <v>13421684</v>
      </c>
      <c r="C52" s="34">
        <f t="shared" si="1"/>
        <v>12417496</v>
      </c>
      <c r="D52" s="35">
        <f>C52*'SWB Ratio'!$B$9/0.9</f>
        <v>7891005.5862671183</v>
      </c>
      <c r="E52" s="36">
        <f t="shared" si="2"/>
        <v>4526490.4137328817</v>
      </c>
      <c r="F52" s="36">
        <f t="shared" si="3"/>
        <v>1004188</v>
      </c>
      <c r="G52" s="34" t="e">
        <f>D52*Data!#REF!</f>
        <v>#REF!</v>
      </c>
      <c r="H52" s="37" t="e">
        <f>(E52-(Data!I55*'License Fees'!$A$5))*Data!#REF!</f>
        <v>#REF!</v>
      </c>
      <c r="I52" s="37" t="e">
        <f>(H52+(IF(Data!C55=19,'License Fees'!$B$5+'License Fees'!$D$5,'License Fees'!$B$5)*Data!I55))</f>
        <v>#REF!</v>
      </c>
      <c r="J52" s="34" t="e">
        <f>(F52+G52+I52)/Data!G55</f>
        <v>#REF!</v>
      </c>
      <c r="K52" s="38">
        <f>'SB525 Add-Ons'!$B$5</f>
        <v>1386763456</v>
      </c>
      <c r="L52" s="39" t="e">
        <f t="shared" si="4"/>
        <v>#REF!</v>
      </c>
      <c r="M52" s="25">
        <f>IF(Data!N55=1,(Data!H55/Data!G55),0)</f>
        <v>0.80067147475752298</v>
      </c>
      <c r="N52" s="40" t="e">
        <f t="shared" si="5"/>
        <v>#REF!</v>
      </c>
      <c r="O52" s="40" t="str">
        <f>IF(Data!T55="Y",IF(L52&gt;=$Q$65,$Q$65,L52),"")</f>
        <v/>
      </c>
      <c r="P52" s="40" t="str">
        <f t="shared" si="6"/>
        <v/>
      </c>
      <c r="Q52" s="40" t="e">
        <f t="shared" si="7"/>
        <v>#REF!</v>
      </c>
    </row>
    <row r="53" spans="1:17" x14ac:dyDescent="0.35">
      <c r="A53" s="33">
        <f>Data!J56*Data!M56</f>
        <v>454758</v>
      </c>
      <c r="B53" s="34">
        <f>Data!K56*Data!M56</f>
        <v>6829578</v>
      </c>
      <c r="C53" s="34">
        <f t="shared" si="1"/>
        <v>6374820</v>
      </c>
      <c r="D53" s="35">
        <f>C53*'SWB Ratio'!$B$9/0.9</f>
        <v>4051037.3614332029</v>
      </c>
      <c r="E53" s="36">
        <f t="shared" si="2"/>
        <v>2323782.6385667971</v>
      </c>
      <c r="F53" s="36">
        <f t="shared" si="3"/>
        <v>454758</v>
      </c>
      <c r="G53" s="34" t="e">
        <f>D53*Data!#REF!</f>
        <v>#REF!</v>
      </c>
      <c r="H53" s="37" t="e">
        <f>(E53-(Data!I56*'License Fees'!$A$5))*Data!#REF!</f>
        <v>#REF!</v>
      </c>
      <c r="I53" s="37" t="e">
        <f>(H53+(IF(Data!C56=19,'License Fees'!$B$5+'License Fees'!$D$5,'License Fees'!$B$5)*Data!I56))</f>
        <v>#REF!</v>
      </c>
      <c r="J53" s="34" t="e">
        <f>(F53+G53+I53)/Data!G56</f>
        <v>#REF!</v>
      </c>
      <c r="K53" s="38">
        <f>'SB525 Add-Ons'!$B$5</f>
        <v>1386763456</v>
      </c>
      <c r="L53" s="39" t="e">
        <f t="shared" si="4"/>
        <v>#REF!</v>
      </c>
      <c r="M53" s="25">
        <f>IF(Data!N56=1,(Data!H56/Data!G56),0)</f>
        <v>0</v>
      </c>
      <c r="N53" s="40" t="str">
        <f t="shared" si="5"/>
        <v/>
      </c>
      <c r="O53" s="40" t="str">
        <f>IF(Data!T56="Y",IF(L53&gt;=$Q$65,$Q$65,L53),"")</f>
        <v/>
      </c>
      <c r="P53" s="40" t="str">
        <f t="shared" si="6"/>
        <v/>
      </c>
      <c r="Q53" s="40" t="e">
        <f t="shared" si="7"/>
        <v>#REF!</v>
      </c>
    </row>
    <row r="54" spans="1:17" x14ac:dyDescent="0.35">
      <c r="A54" s="33">
        <f>Data!J57*Data!M57</f>
        <v>713868</v>
      </c>
      <c r="B54" s="34">
        <f>Data!K57*Data!M57</f>
        <v>10781380</v>
      </c>
      <c r="C54" s="34">
        <f t="shared" si="1"/>
        <v>10067512</v>
      </c>
      <c r="D54" s="35">
        <f>C54*'SWB Ratio'!$B$9/0.9</f>
        <v>6397650.0118712541</v>
      </c>
      <c r="E54" s="36">
        <f t="shared" si="2"/>
        <v>3669861.9881287459</v>
      </c>
      <c r="F54" s="36">
        <f t="shared" si="3"/>
        <v>713868</v>
      </c>
      <c r="G54" s="34" t="e">
        <f>D54*Data!#REF!</f>
        <v>#REF!</v>
      </c>
      <c r="H54" s="37" t="e">
        <f>(E54-(Data!I57*'License Fees'!$A$5))*Data!#REF!</f>
        <v>#REF!</v>
      </c>
      <c r="I54" s="37" t="e">
        <f>(H54+(IF(Data!C57=19,'License Fees'!$B$5+'License Fees'!$D$5,'License Fees'!$B$5)*Data!I57))</f>
        <v>#REF!</v>
      </c>
      <c r="J54" s="34" t="e">
        <f>(F54+G54+I54)/Data!G57</f>
        <v>#REF!</v>
      </c>
      <c r="K54" s="38">
        <f>'SB525 Add-Ons'!$B$5</f>
        <v>1386763456</v>
      </c>
      <c r="L54" s="39" t="e">
        <f t="shared" si="4"/>
        <v>#REF!</v>
      </c>
      <c r="M54" s="25">
        <f>IF(Data!N57=1,(Data!H57/Data!G57),0)</f>
        <v>0</v>
      </c>
      <c r="N54" s="40" t="str">
        <f t="shared" si="5"/>
        <v/>
      </c>
      <c r="O54" s="40" t="str">
        <f>IF(Data!T57="Y",IF(L54&gt;=$Q$65,$Q$65,L54),"")</f>
        <v/>
      </c>
      <c r="P54" s="40" t="str">
        <f t="shared" si="6"/>
        <v/>
      </c>
      <c r="Q54" s="40" t="e">
        <f t="shared" si="7"/>
        <v>#REF!</v>
      </c>
    </row>
    <row r="55" spans="1:17" x14ac:dyDescent="0.35">
      <c r="A55" s="33">
        <f>Data!J58*Data!M58</f>
        <v>591947</v>
      </c>
      <c r="B55" s="34">
        <f>Data!K58*Data!M58</f>
        <v>7546980</v>
      </c>
      <c r="C55" s="34">
        <f t="shared" si="1"/>
        <v>6955033</v>
      </c>
      <c r="D55" s="35">
        <f>C55*'SWB Ratio'!$B$9/0.9</f>
        <v>4419748.0921815606</v>
      </c>
      <c r="E55" s="36">
        <f t="shared" si="2"/>
        <v>2535284.9078184394</v>
      </c>
      <c r="F55" s="36">
        <f t="shared" si="3"/>
        <v>591947</v>
      </c>
      <c r="G55" s="34" t="e">
        <f>D55*Data!#REF!</f>
        <v>#REF!</v>
      </c>
      <c r="H55" s="37" t="e">
        <f>(E55-(Data!I58*'License Fees'!$A$5))*Data!#REF!</f>
        <v>#REF!</v>
      </c>
      <c r="I55" s="37" t="e">
        <f>(H55+(IF(Data!C58=19,'License Fees'!$B$5+'License Fees'!$D$5,'License Fees'!$B$5)*Data!I58))</f>
        <v>#REF!</v>
      </c>
      <c r="J55" s="34" t="e">
        <f>(F55+G55+I55)/Data!G58</f>
        <v>#REF!</v>
      </c>
      <c r="K55" s="38">
        <f>'SB525 Add-Ons'!$B$5</f>
        <v>1386763456</v>
      </c>
      <c r="L55" s="39" t="e">
        <f t="shared" si="4"/>
        <v>#REF!</v>
      </c>
      <c r="M55" s="25">
        <f>IF(Data!N58=1,(Data!H58/Data!G58),0)</f>
        <v>0.68221665623043204</v>
      </c>
      <c r="N55" s="40" t="e">
        <f t="shared" si="5"/>
        <v>#REF!</v>
      </c>
      <c r="O55" s="40" t="str">
        <f>IF(Data!T58="Y",IF(L55&gt;=$Q$65,$Q$65,L55),"")</f>
        <v/>
      </c>
      <c r="P55" s="40" t="str">
        <f t="shared" si="6"/>
        <v/>
      </c>
      <c r="Q55" s="40" t="e">
        <f t="shared" si="7"/>
        <v>#REF!</v>
      </c>
    </row>
    <row r="56" spans="1:17" x14ac:dyDescent="0.35">
      <c r="A56" s="33">
        <f>Data!J59*Data!M59</f>
        <v>178900</v>
      </c>
      <c r="B56" s="34">
        <f>Data!K59*Data!M59</f>
        <v>15623224</v>
      </c>
      <c r="C56" s="34">
        <f t="shared" si="1"/>
        <v>15444324</v>
      </c>
      <c r="D56" s="35">
        <f>C56*'SWB Ratio'!$B$9/0.9</f>
        <v>9814478.4552472848</v>
      </c>
      <c r="E56" s="36">
        <f t="shared" si="2"/>
        <v>5629845.5447527152</v>
      </c>
      <c r="F56" s="36">
        <f t="shared" si="3"/>
        <v>178900</v>
      </c>
      <c r="G56" s="34" t="e">
        <f>D56*Data!#REF!</f>
        <v>#REF!</v>
      </c>
      <c r="H56" s="37" t="e">
        <f>(E56-(Data!I59*'License Fees'!$A$5))*Data!#REF!</f>
        <v>#REF!</v>
      </c>
      <c r="I56" s="37" t="e">
        <f>(H56+(IF(Data!C59=19,'License Fees'!$B$5+'License Fees'!$D$5,'License Fees'!$B$5)*Data!I59))</f>
        <v>#REF!</v>
      </c>
      <c r="J56" s="34" t="e">
        <f>(F56+G56+I56)/Data!G59</f>
        <v>#REF!</v>
      </c>
      <c r="K56" s="38">
        <f>'SB525 Add-Ons'!$B$5</f>
        <v>1386763456</v>
      </c>
      <c r="L56" s="39" t="e">
        <f t="shared" si="4"/>
        <v>#REF!</v>
      </c>
      <c r="M56" s="25">
        <f>IF(Data!N59=1,(Data!H59/Data!G59),0)</f>
        <v>0.14310831444038311</v>
      </c>
      <c r="N56" s="40" t="str">
        <f t="shared" si="5"/>
        <v/>
      </c>
      <c r="O56" s="40" t="e">
        <f>IF(Data!T59="Y",IF(L56&gt;=$Q$65,$Q$65,L56),"")</f>
        <v>#REF!</v>
      </c>
      <c r="P56" s="40" t="e">
        <f t="shared" si="6"/>
        <v>#REF!</v>
      </c>
      <c r="Q56" s="40" t="e">
        <f t="shared" si="7"/>
        <v>#REF!</v>
      </c>
    </row>
    <row r="57" spans="1:17" x14ac:dyDescent="0.35">
      <c r="A57" s="33" t="e">
        <f>Data!#REF!*Data!#REF!</f>
        <v>#REF!</v>
      </c>
      <c r="B57" s="34" t="e">
        <f>Data!#REF!*Data!#REF!</f>
        <v>#REF!</v>
      </c>
      <c r="C57" s="34" t="e">
        <f t="shared" si="1"/>
        <v>#REF!</v>
      </c>
      <c r="D57" s="35" t="e">
        <f>C57*'SWB Ratio'!$B$9/0.9</f>
        <v>#REF!</v>
      </c>
      <c r="E57" s="36" t="e">
        <f t="shared" si="2"/>
        <v>#REF!</v>
      </c>
      <c r="F57" s="36" t="e">
        <f t="shared" si="3"/>
        <v>#REF!</v>
      </c>
      <c r="G57" s="34" t="e">
        <f>D57*Data!#REF!</f>
        <v>#REF!</v>
      </c>
      <c r="H57" s="37" t="e">
        <f>(E57-(Data!#REF!*'License Fees'!$A$5))*Data!#REF!</f>
        <v>#REF!</v>
      </c>
      <c r="I57" s="37" t="e">
        <f>(H57+(IF(Data!#REF!=19,'License Fees'!$B$5+'License Fees'!$D$5,'License Fees'!$B$5)*Data!#REF!))</f>
        <v>#REF!</v>
      </c>
      <c r="J57" s="34" t="e">
        <f>(F57+G57+I57)/Data!#REF!</f>
        <v>#REF!</v>
      </c>
      <c r="K57" s="38">
        <f>'SB525 Add-Ons'!$B$5</f>
        <v>1386763456</v>
      </c>
      <c r="L57" s="39" t="e">
        <f t="shared" si="4"/>
        <v>#REF!</v>
      </c>
      <c r="M57" s="25" t="e">
        <f>IF(Data!#REF!=1,(Data!#REF!/Data!#REF!),0)</f>
        <v>#REF!</v>
      </c>
      <c r="N57" s="40" t="e">
        <f t="shared" si="5"/>
        <v>#REF!</v>
      </c>
      <c r="O57" s="40" t="e">
        <f>IF(Data!#REF!="Y",IF(L57&gt;=$Q$65,$Q$65,L57),"")</f>
        <v>#REF!</v>
      </c>
      <c r="P57" s="40" t="e">
        <f t="shared" si="6"/>
        <v>#REF!</v>
      </c>
      <c r="Q57" s="40" t="e">
        <f t="shared" si="7"/>
        <v>#REF!</v>
      </c>
    </row>
    <row r="58" spans="1:17" x14ac:dyDescent="0.35">
      <c r="A58" s="33">
        <f>Data!J62*Data!M62</f>
        <v>814001</v>
      </c>
      <c r="B58" s="34">
        <f>Data!K62*Data!M62</f>
        <v>10250884</v>
      </c>
      <c r="C58" s="34">
        <f t="shared" si="1"/>
        <v>9436883</v>
      </c>
      <c r="D58" s="35">
        <f>C58*'SWB Ratio'!$B$9/0.9</f>
        <v>5996901.1844214974</v>
      </c>
      <c r="E58" s="36">
        <f t="shared" si="2"/>
        <v>3439981.8155785026</v>
      </c>
      <c r="F58" s="36">
        <f t="shared" si="3"/>
        <v>814001</v>
      </c>
      <c r="G58" s="34" t="e">
        <f>D58*Data!#REF!</f>
        <v>#REF!</v>
      </c>
      <c r="H58" s="37" t="e">
        <f>(E58-(Data!I62*'License Fees'!$A$5))*Data!#REF!</f>
        <v>#REF!</v>
      </c>
      <c r="I58" s="37" t="e">
        <f>(H58+(IF(Data!C62=19,'License Fees'!$B$5+'License Fees'!$D$5,'License Fees'!$B$5)*Data!I62))</f>
        <v>#REF!</v>
      </c>
      <c r="J58" s="34" t="e">
        <f>(F58+G58+I58)/Data!G62</f>
        <v>#REF!</v>
      </c>
      <c r="K58" s="38">
        <f>'SB525 Add-Ons'!$B$5</f>
        <v>1386763456</v>
      </c>
      <c r="L58" s="39" t="e">
        <f t="shared" si="4"/>
        <v>#REF!</v>
      </c>
      <c r="M58" s="25">
        <f>IF(Data!N62=1,(Data!H62/Data!G62),0)</f>
        <v>0.20259408111070515</v>
      </c>
      <c r="N58" s="40" t="e">
        <f t="shared" si="5"/>
        <v>#REF!</v>
      </c>
      <c r="O58" s="40" t="e">
        <f>IF(Data!T62="Y",IF(L58&gt;=$Q$65,$Q$65,L58),"")</f>
        <v>#REF!</v>
      </c>
      <c r="P58" s="40" t="e">
        <f t="shared" si="6"/>
        <v>#REF!</v>
      </c>
      <c r="Q58" s="40" t="e">
        <f t="shared" si="7"/>
        <v>#REF!</v>
      </c>
    </row>
    <row r="59" spans="1:17" x14ac:dyDescent="0.35">
      <c r="A59" s="33">
        <f>Data!J63*Data!M63</f>
        <v>844767</v>
      </c>
      <c r="B59" s="34">
        <f>Data!K63*Data!M63</f>
        <v>13658979</v>
      </c>
      <c r="C59" s="34">
        <f t="shared" si="1"/>
        <v>12814212</v>
      </c>
      <c r="D59" s="35">
        <f>C59*'SWB Ratio'!$B$9/0.9</f>
        <v>8143108.6006076541</v>
      </c>
      <c r="E59" s="36">
        <f t="shared" si="2"/>
        <v>4671103.3993923459</v>
      </c>
      <c r="F59" s="36">
        <f t="shared" si="3"/>
        <v>844767</v>
      </c>
      <c r="G59" s="34" t="e">
        <f>D59*Data!#REF!</f>
        <v>#REF!</v>
      </c>
      <c r="H59" s="37" t="e">
        <f>(E59-(Data!I63*'License Fees'!$A$5))*Data!#REF!</f>
        <v>#REF!</v>
      </c>
      <c r="I59" s="37" t="e">
        <f>(H59+(IF(Data!C63=19,'License Fees'!$B$5+'License Fees'!$D$5,'License Fees'!$B$5)*Data!I63))</f>
        <v>#REF!</v>
      </c>
      <c r="J59" s="34" t="e">
        <f>(F59+G59+I59)/Data!G63</f>
        <v>#REF!</v>
      </c>
      <c r="K59" s="38">
        <f>'SB525 Add-Ons'!$B$5</f>
        <v>1386763456</v>
      </c>
      <c r="L59" s="39" t="e">
        <f t="shared" si="4"/>
        <v>#REF!</v>
      </c>
      <c r="M59" s="25">
        <f>IF(Data!N63=1,(Data!H63/Data!G63),0)</f>
        <v>1.4221861032100772E-3</v>
      </c>
      <c r="N59" s="40" t="str">
        <f t="shared" si="5"/>
        <v/>
      </c>
      <c r="O59" s="40" t="str">
        <f>IF(Data!T63="Y",IF(L59&gt;=$Q$65,$Q$65,L59),"")</f>
        <v/>
      </c>
      <c r="P59" s="40" t="str">
        <f t="shared" si="6"/>
        <v/>
      </c>
      <c r="Q59" s="40" t="e">
        <f t="shared" si="7"/>
        <v>#REF!</v>
      </c>
    </row>
    <row r="60" spans="1:17" x14ac:dyDescent="0.35">
      <c r="A60" s="33">
        <f>Data!J64*Data!M64</f>
        <v>22159</v>
      </c>
      <c r="B60" s="34">
        <f>Data!K64*Data!M64</f>
        <v>3606659</v>
      </c>
      <c r="C60" s="34">
        <f t="shared" si="1"/>
        <v>3584500</v>
      </c>
      <c r="D60" s="35">
        <f>C60*'SWB Ratio'!$B$9/0.9</f>
        <v>2277859.3626262886</v>
      </c>
      <c r="E60" s="36">
        <f t="shared" si="2"/>
        <v>1306640.6373737114</v>
      </c>
      <c r="F60" s="36">
        <f t="shared" si="3"/>
        <v>22159</v>
      </c>
      <c r="G60" s="34" t="e">
        <f>D60*Data!#REF!</f>
        <v>#REF!</v>
      </c>
      <c r="H60" s="37" t="e">
        <f>(E60-(Data!I64*'License Fees'!$A$5))*Data!#REF!</f>
        <v>#REF!</v>
      </c>
      <c r="I60" s="37" t="e">
        <f>(H60+(IF(Data!C64=19,'License Fees'!$B$5+'License Fees'!$D$5,'License Fees'!$B$5)*Data!I64))</f>
        <v>#REF!</v>
      </c>
      <c r="J60" s="34" t="e">
        <f>(F60+G60+I60)/Data!G64</f>
        <v>#REF!</v>
      </c>
      <c r="K60" s="38">
        <f>'SB525 Add-Ons'!$B$5</f>
        <v>1386763456</v>
      </c>
      <c r="L60" s="39" t="e">
        <f t="shared" si="4"/>
        <v>#REF!</v>
      </c>
      <c r="M60" s="25">
        <f>IF(Data!N64=1,(Data!H64/Data!G64),0)</f>
        <v>1</v>
      </c>
      <c r="N60" s="40" t="e">
        <f t="shared" si="5"/>
        <v>#REF!</v>
      </c>
      <c r="O60" s="40" t="e">
        <f>IF(Data!T64="Y",IF(L60&gt;=$Q$65,$Q$65,L60),"")</f>
        <v>#REF!</v>
      </c>
      <c r="P60" s="40" t="e">
        <f t="shared" si="6"/>
        <v>#REF!</v>
      </c>
      <c r="Q60" s="40" t="e">
        <f t="shared" si="7"/>
        <v>#REF!</v>
      </c>
    </row>
    <row r="61" spans="1:17" x14ac:dyDescent="0.35">
      <c r="A61" s="33" t="e">
        <f>Data!#REF!*Data!#REF!</f>
        <v>#REF!</v>
      </c>
      <c r="B61" s="34" t="e">
        <f>Data!#REF!*Data!#REF!</f>
        <v>#REF!</v>
      </c>
      <c r="C61" s="34" t="e">
        <f t="shared" si="1"/>
        <v>#REF!</v>
      </c>
      <c r="D61" s="35" t="e">
        <f>C61*'SWB Ratio'!$B$9/0.9</f>
        <v>#REF!</v>
      </c>
      <c r="E61" s="36" t="e">
        <f t="shared" si="2"/>
        <v>#REF!</v>
      </c>
      <c r="F61" s="36" t="e">
        <f t="shared" si="3"/>
        <v>#REF!</v>
      </c>
      <c r="G61" s="34" t="e">
        <f>D61*Data!#REF!</f>
        <v>#REF!</v>
      </c>
      <c r="H61" s="37" t="e">
        <f>(E61-(Data!#REF!*'License Fees'!$A$5))*Data!#REF!</f>
        <v>#REF!</v>
      </c>
      <c r="I61" s="37" t="e">
        <f>(H61+(IF(Data!#REF!=19,'License Fees'!$B$5+'License Fees'!$D$5,'License Fees'!$B$5)*Data!#REF!))</f>
        <v>#REF!</v>
      </c>
      <c r="J61" s="34" t="e">
        <f>(F61+G61+I61)/Data!#REF!</f>
        <v>#REF!</v>
      </c>
      <c r="K61" s="38">
        <f>'SB525 Add-Ons'!$B$5</f>
        <v>1386763456</v>
      </c>
      <c r="L61" s="39" t="e">
        <f t="shared" si="4"/>
        <v>#REF!</v>
      </c>
      <c r="M61" s="25" t="e">
        <f>IF(Data!#REF!=1,(Data!#REF!/Data!#REF!),0)</f>
        <v>#REF!</v>
      </c>
      <c r="N61" s="40" t="e">
        <f t="shared" si="5"/>
        <v>#REF!</v>
      </c>
      <c r="O61" s="40" t="e">
        <f>IF(Data!#REF!="Y",IF(L61&gt;=$Q$65,$Q$65,L61),"")</f>
        <v>#REF!</v>
      </c>
      <c r="P61" s="40" t="e">
        <f t="shared" si="6"/>
        <v>#REF!</v>
      </c>
      <c r="Q61" s="40" t="e">
        <f t="shared" si="7"/>
        <v>#REF!</v>
      </c>
    </row>
    <row r="62" spans="1:17" x14ac:dyDescent="0.35">
      <c r="A62" s="33">
        <f>Data!J65*Data!M65</f>
        <v>115757</v>
      </c>
      <c r="B62" s="34">
        <f>Data!K65*Data!M65</f>
        <v>3131069</v>
      </c>
      <c r="C62" s="34">
        <f t="shared" si="1"/>
        <v>3015312</v>
      </c>
      <c r="D62" s="35">
        <f>C62*'SWB Ratio'!$B$9/0.9</f>
        <v>1916154.741369619</v>
      </c>
      <c r="E62" s="36">
        <f t="shared" si="2"/>
        <v>1099157.258630381</v>
      </c>
      <c r="F62" s="36">
        <f t="shared" si="3"/>
        <v>115757</v>
      </c>
      <c r="G62" s="34" t="e">
        <f>D62*Data!#REF!</f>
        <v>#REF!</v>
      </c>
      <c r="H62" s="37" t="e">
        <f>(E62-(Data!I65*'License Fees'!$A$5))*Data!#REF!</f>
        <v>#REF!</v>
      </c>
      <c r="I62" s="37" t="e">
        <f>(H62+(IF(Data!C65=19,'License Fees'!$B$5+'License Fees'!$D$5,'License Fees'!$B$5)*Data!I65))</f>
        <v>#REF!</v>
      </c>
      <c r="J62" s="34" t="e">
        <f>(F62+G62+I62)/Data!G65</f>
        <v>#REF!</v>
      </c>
      <c r="K62" s="38">
        <f>'SB525 Add-Ons'!$B$5</f>
        <v>1386763456</v>
      </c>
      <c r="L62" s="39" t="e">
        <f t="shared" si="4"/>
        <v>#REF!</v>
      </c>
      <c r="M62" s="25">
        <f>IF(Data!N65=1,(Data!H65/Data!G65),0)</f>
        <v>0.21499668214996681</v>
      </c>
      <c r="N62" s="40" t="e">
        <f t="shared" si="5"/>
        <v>#REF!</v>
      </c>
      <c r="O62" s="40" t="str">
        <f>IF(Data!T65="Y",IF(L62&gt;=$Q$65,$Q$65,L62),"")</f>
        <v/>
      </c>
      <c r="P62" s="40" t="str">
        <f t="shared" si="6"/>
        <v/>
      </c>
      <c r="Q62" s="40" t="e">
        <f t="shared" si="7"/>
        <v>#REF!</v>
      </c>
    </row>
    <row r="63" spans="1:17" x14ac:dyDescent="0.35">
      <c r="L63" s="3"/>
      <c r="Q63" s="3"/>
    </row>
    <row r="65" spans="16:17" x14ac:dyDescent="0.35">
      <c r="P65" s="6" t="s">
        <v>377</v>
      </c>
      <c r="Q65" s="41" t="e">
        <f>ROUND(MEDIAN(N2:N62),2)</f>
        <v>#REF!</v>
      </c>
    </row>
    <row r="66" spans="16:17" x14ac:dyDescent="0.35">
      <c r="P66" s="6" t="s">
        <v>378</v>
      </c>
      <c r="Q66" s="6">
        <f>COUNT(N2:N62)</f>
        <v>0</v>
      </c>
    </row>
    <row r="68" spans="16:17" x14ac:dyDescent="0.35">
      <c r="P68" s="6" t="s">
        <v>174</v>
      </c>
      <c r="Q68" s="40" t="e">
        <f>ROUND(MEDIAN(O2:O62),2)</f>
        <v>#REF!</v>
      </c>
    </row>
    <row r="69" spans="16:17" x14ac:dyDescent="0.35">
      <c r="P69" s="6" t="s">
        <v>379</v>
      </c>
      <c r="Q69" s="6">
        <f>COUNT(O2:O62)</f>
        <v>0</v>
      </c>
    </row>
  </sheetData>
  <dataValidations disablePrompts="1" count="1">
    <dataValidation type="whole" errorStyle="warning" operator="lessThan" allowBlank="1" showInputMessage="1" showErrorMessage="1" error="Depreciation costs should be less than total SNF costs." sqref="B1:C1 B2:B62" xr:uid="{46DC8E03-0D89-4801-99DB-72E5EFA798D6}">
      <formula1>C1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4E8F-A75B-4EFD-8C77-C7CA388825DC}">
  <sheetPr codeName="Sheet6"/>
  <dimension ref="A1:AW2"/>
  <sheetViews>
    <sheetView workbookViewId="0">
      <selection activeCell="L10" sqref="L10"/>
    </sheetView>
  </sheetViews>
  <sheetFormatPr defaultRowHeight="14.4" x14ac:dyDescent="0.3"/>
  <cols>
    <col min="4" max="4" width="8.6640625" customWidth="1"/>
    <col min="6" max="6" width="9.33203125" bestFit="1" customWidth="1"/>
    <col min="11" max="12" width="9.5546875" bestFit="1" customWidth="1"/>
    <col min="18" max="18" width="10.33203125" bestFit="1" customWidth="1"/>
    <col min="34" max="37" width="9.5546875" bestFit="1" customWidth="1"/>
    <col min="38" max="38" width="7.33203125" bestFit="1" customWidth="1"/>
    <col min="39" max="39" width="9.5546875" bestFit="1" customWidth="1"/>
    <col min="40" max="41" width="10.33203125" bestFit="1" customWidth="1"/>
  </cols>
  <sheetData>
    <row r="1" spans="1:49" s="1" customFormat="1" ht="60.6" customHeight="1" x14ac:dyDescent="0.3">
      <c r="A1" s="7" t="s">
        <v>83</v>
      </c>
      <c r="B1" s="7" t="s">
        <v>229</v>
      </c>
      <c r="C1" s="7" t="s">
        <v>230</v>
      </c>
      <c r="D1" s="7" t="s">
        <v>84</v>
      </c>
      <c r="E1" s="7" t="s">
        <v>232</v>
      </c>
      <c r="F1" s="7" t="s">
        <v>233</v>
      </c>
      <c r="G1" s="7" t="s">
        <v>380</v>
      </c>
      <c r="H1" s="7" t="s">
        <v>381</v>
      </c>
      <c r="I1" s="7" t="s">
        <v>382</v>
      </c>
      <c r="J1" s="7" t="s">
        <v>383</v>
      </c>
      <c r="K1" s="7" t="s">
        <v>384</v>
      </c>
      <c r="L1" s="7" t="s">
        <v>385</v>
      </c>
      <c r="M1" s="7" t="s">
        <v>261</v>
      </c>
      <c r="N1" s="7" t="s">
        <v>262</v>
      </c>
      <c r="O1" s="7" t="s">
        <v>263</v>
      </c>
      <c r="P1" s="42" t="s">
        <v>386</v>
      </c>
      <c r="Q1" s="42" t="s">
        <v>387</v>
      </c>
      <c r="R1" s="7" t="s">
        <v>264</v>
      </c>
      <c r="S1" s="7" t="s">
        <v>388</v>
      </c>
      <c r="T1" s="7" t="s">
        <v>389</v>
      </c>
      <c r="U1" s="7" t="s">
        <v>390</v>
      </c>
      <c r="V1" s="7" t="s">
        <v>391</v>
      </c>
      <c r="W1" s="7" t="s">
        <v>392</v>
      </c>
      <c r="X1" s="7" t="s">
        <v>393</v>
      </c>
      <c r="Y1" s="7" t="s">
        <v>394</v>
      </c>
      <c r="Z1" s="7" t="s">
        <v>234</v>
      </c>
      <c r="AA1" s="5" t="s">
        <v>395</v>
      </c>
      <c r="AB1" s="5" t="s">
        <v>396</v>
      </c>
      <c r="AC1" s="5" t="s">
        <v>397</v>
      </c>
      <c r="AD1" s="5" t="s">
        <v>398</v>
      </c>
      <c r="AE1" s="5" t="s">
        <v>399</v>
      </c>
      <c r="AF1" s="5" t="s">
        <v>400</v>
      </c>
      <c r="AG1" s="43" t="s">
        <v>401</v>
      </c>
      <c r="AH1" s="44" t="s">
        <v>402</v>
      </c>
      <c r="AI1" s="44" t="s">
        <v>403</v>
      </c>
      <c r="AJ1" s="45" t="s">
        <v>404</v>
      </c>
      <c r="AK1" s="46" t="s">
        <v>405</v>
      </c>
      <c r="AL1" s="43" t="s">
        <v>406</v>
      </c>
      <c r="AM1" s="43" t="s">
        <v>407</v>
      </c>
      <c r="AN1" s="47" t="s">
        <v>408</v>
      </c>
      <c r="AO1" s="43" t="s">
        <v>409</v>
      </c>
      <c r="AP1" s="47" t="s">
        <v>410</v>
      </c>
      <c r="AQ1" s="48" t="s">
        <v>411</v>
      </c>
      <c r="AR1" s="47" t="s">
        <v>412</v>
      </c>
      <c r="AS1" s="31" t="s">
        <v>373</v>
      </c>
      <c r="AT1" s="31" t="s">
        <v>374</v>
      </c>
      <c r="AU1" s="31" t="s">
        <v>375</v>
      </c>
      <c r="AV1" s="31" t="s">
        <v>376</v>
      </c>
      <c r="AW1" s="31" t="s">
        <v>413</v>
      </c>
    </row>
    <row r="2" spans="1:49" s="2" customFormat="1" ht="15" x14ac:dyDescent="0.35">
      <c r="A2" s="6" t="s">
        <v>414</v>
      </c>
      <c r="B2" s="6" t="s">
        <v>415</v>
      </c>
      <c r="C2" s="4">
        <v>4</v>
      </c>
      <c r="D2" s="6">
        <v>1295882819</v>
      </c>
      <c r="E2" s="17">
        <v>44013</v>
      </c>
      <c r="F2" s="17">
        <v>44377</v>
      </c>
      <c r="G2" s="23">
        <v>20624</v>
      </c>
      <c r="H2" s="24">
        <f t="shared" ref="H2" si="0">P2+Q2</f>
        <v>20044</v>
      </c>
      <c r="I2" s="6">
        <v>82</v>
      </c>
      <c r="J2" s="33">
        <v>88391</v>
      </c>
      <c r="K2" s="33">
        <v>6658065</v>
      </c>
      <c r="L2" s="33">
        <v>3882898</v>
      </c>
      <c r="M2" s="4">
        <v>1</v>
      </c>
      <c r="N2" s="26">
        <f t="shared" ref="N2" si="1">IF(OR(G2=0,I2=0,J2=0,K2=0),0,IF(OR(O2=4,O2=5),O2,IF(F2-E2&lt;364,2,IF(H2=0,3,1))))</f>
        <v>1</v>
      </c>
      <c r="O2" s="4"/>
      <c r="P2" s="8">
        <v>20044</v>
      </c>
      <c r="Q2" s="8">
        <v>0</v>
      </c>
      <c r="R2" s="49">
        <v>37256</v>
      </c>
      <c r="S2" s="6" t="e">
        <f>VLOOKUP(D2,#REF!,2,0)</f>
        <v>#REF!</v>
      </c>
      <c r="T2" s="6"/>
      <c r="U2" s="6"/>
      <c r="V2" s="6"/>
      <c r="W2" s="6">
        <v>3.92</v>
      </c>
      <c r="X2" s="6">
        <v>8.65</v>
      </c>
      <c r="Y2" s="40">
        <v>363.18</v>
      </c>
      <c r="Z2" s="4" t="s">
        <v>64</v>
      </c>
      <c r="AA2" s="50">
        <f t="shared" ref="AA2" si="2">(DATE(2023,10,15)-(E2+F2)/2)/30.416666</f>
        <v>33.501370597290318</v>
      </c>
      <c r="AB2" s="50">
        <f t="shared" ref="AB2" si="3">IF(AC2&gt;=0.75,1,IF(AC2&gt;=0.25,0.5,0))</f>
        <v>0.5</v>
      </c>
      <c r="AC2" s="50">
        <f t="shared" ref="AC2" si="4">AA2-TRUNC(AA2)</f>
        <v>0.50137059729031819</v>
      </c>
      <c r="AD2" s="51">
        <f t="shared" ref="AD2" si="5">TRUNC(AA2)+AB2</f>
        <v>33.5</v>
      </c>
      <c r="AE2" s="52">
        <f>VLOOKUP(AD2,'Inflation Factors 2027'!$A$5:$D$77,3,0)</f>
        <v>1.0822436528185475</v>
      </c>
      <c r="AF2" s="53">
        <f>VLOOKUP(AD2,'Inflation Factors 2027'!$A$5:$D$77,4,0)</f>
        <v>1.0937167368797582</v>
      </c>
      <c r="AG2" s="54">
        <f t="shared" ref="AG2" si="6">J2*M2</f>
        <v>88391</v>
      </c>
      <c r="AH2" s="55">
        <f t="shared" ref="AH2" si="7">K2*M2</f>
        <v>6658065</v>
      </c>
      <c r="AI2" s="55">
        <f t="shared" ref="AI2" si="8">AH2-AG2</f>
        <v>6569674</v>
      </c>
      <c r="AJ2" s="56" t="e">
        <f>AI2*'Inflation Factors 2027'!#REF!/0.9</f>
        <v>#REF!</v>
      </c>
      <c r="AK2" s="57" t="e">
        <f t="shared" ref="AK2" si="9">AI2-AJ2</f>
        <v>#REF!</v>
      </c>
      <c r="AL2" s="57">
        <f t="shared" ref="AL2" si="10">(AG2*1)</f>
        <v>88391</v>
      </c>
      <c r="AM2" s="55" t="e">
        <f t="shared" ref="AM2" si="11">AJ2*AE2</f>
        <v>#REF!</v>
      </c>
      <c r="AN2" s="58" t="e">
        <f>(AK2-(I2*'Inflation Factors 2027'!#REF!))*Data!#REF!</f>
        <v>#REF!</v>
      </c>
      <c r="AO2" s="58" t="e">
        <f>(AN2+(IF(C2=19,'Inflation Factors 2027'!#REF!+'Inflation Factors 2027'!#REF!,'Inflation Factors 2027'!#REF!)*I2))</f>
        <v>#REF!</v>
      </c>
      <c r="AP2" s="55" t="e">
        <f>(AL2+AM2+AO2)/G2</f>
        <v>#REF!</v>
      </c>
      <c r="AQ2" s="59" t="e">
        <f>'Inflation Factors 2027'!#REF!</f>
        <v>#REF!</v>
      </c>
      <c r="AR2" s="60" t="e">
        <f t="shared" ref="AR2" si="12">AP2+AQ2</f>
        <v>#REF!</v>
      </c>
      <c r="AS2" s="25">
        <f t="shared" ref="AS2" si="13">IF(N2=1,(H2/G2),0)</f>
        <v>0.97187742435996893</v>
      </c>
      <c r="AT2" s="40" t="e">
        <f t="shared" ref="AT2" si="14">IF(AS2&gt;=20%,AR2,"")</f>
        <v>#REF!</v>
      </c>
      <c r="AU2" s="40" t="e">
        <f t="shared" ref="AU2" si="15">IF(Z2="Y",IF(AR2&gt;=$AW$65,$AW$65,AR2),"")</f>
        <v>#REF!</v>
      </c>
      <c r="AV2" s="40" t="e">
        <f t="shared" ref="AV2" si="16">IF(AU2="","",$AW$68)</f>
        <v>#REF!</v>
      </c>
      <c r="AW2" s="40" t="e">
        <f>IF(AV2="",IF(AR2&lt;$AW$65,AR2,$AW$65),AV2)</f>
        <v>#REF!</v>
      </c>
    </row>
  </sheetData>
  <dataValidations count="4">
    <dataValidation type="whole" errorStyle="warning" operator="lessThanOrEqual" allowBlank="1" showInputMessage="1" showErrorMessage="1" error="Medi-Cal days are less than Total days." sqref="AF2" xr:uid="{2E355B75-4C05-48A7-854D-6A1E804FF2CE}">
      <formula1>AB2</formula1>
    </dataValidation>
    <dataValidation type="whole" errorStyle="warning" operator="lessThan" allowBlank="1" showInputMessage="1" showErrorMessage="1" error="Depreciation costs should be less than total SNF costs." sqref="AH2 AH1:AI1" xr:uid="{E5514A58-BAE3-45DA-BC83-B7E87AE4DB20}">
      <formula1>AI1</formula1>
    </dataValidation>
    <dataValidation type="whole" errorStyle="warning" operator="lessThanOrEqual" allowBlank="1" showInputMessage="1" showErrorMessage="1" error="Medi-Cal days are less than Total days." sqref="Q1" xr:uid="{2EC99E21-831A-4E1F-8518-52D60EE8EE65}">
      <formula1>P1</formula1>
    </dataValidation>
    <dataValidation type="whole" errorStyle="warning" operator="greaterThanOrEqual" allowBlank="1" showInputMessage="1" showErrorMessage="1" error="Total SNF days are less than Medi-Cal SNF days." sqref="P1" xr:uid="{933D620F-7A9A-4F14-B4C1-46F642275BD3}">
      <formula1>Q1</formula1>
    </dataValidation>
  </dataValidation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01AD-F015-4C00-A5F8-E41D9082B928}">
  <sheetPr codeName="Sheet7"/>
  <dimension ref="A1:E82"/>
  <sheetViews>
    <sheetView showGridLines="0" zoomScale="85" zoomScaleNormal="85" workbookViewId="0"/>
  </sheetViews>
  <sheetFormatPr defaultColWidth="0" defaultRowHeight="19.2" zeroHeight="1" x14ac:dyDescent="0.45"/>
  <cols>
    <col min="1" max="1" width="17.33203125" style="106" customWidth="1"/>
    <col min="2" max="3" width="15.44140625" style="106" customWidth="1"/>
    <col min="4" max="4" width="13.109375" style="106" customWidth="1"/>
    <col min="5" max="5" width="3.44140625" style="106" hidden="1" customWidth="1"/>
    <col min="6" max="16384" width="8.6640625" style="106" hidden="1"/>
  </cols>
  <sheetData>
    <row r="1" spans="1:4" x14ac:dyDescent="0.45">
      <c r="A1" s="85" t="s">
        <v>0</v>
      </c>
      <c r="B1" s="127"/>
      <c r="C1" s="127"/>
      <c r="D1" s="127"/>
    </row>
    <row r="2" spans="1:4" x14ac:dyDescent="0.45">
      <c r="A2" s="92" t="s">
        <v>3</v>
      </c>
      <c r="B2" s="127"/>
      <c r="C2" s="127"/>
      <c r="D2" s="127"/>
    </row>
    <row r="3" spans="1:4" ht="38.700000000000003" customHeight="1" x14ac:dyDescent="0.45">
      <c r="A3" s="224" t="s">
        <v>416</v>
      </c>
      <c r="B3" s="127"/>
      <c r="C3" s="127"/>
      <c r="D3" s="127"/>
    </row>
    <row r="4" spans="1:4" s="191" customFormat="1" ht="51.75" customHeight="1" x14ac:dyDescent="0.3">
      <c r="A4" s="190" t="s">
        <v>417</v>
      </c>
      <c r="B4" s="225" t="s">
        <v>418</v>
      </c>
      <c r="C4" s="226" t="s">
        <v>419</v>
      </c>
      <c r="D4" s="227" t="s">
        <v>420</v>
      </c>
    </row>
    <row r="5" spans="1:4" x14ac:dyDescent="0.45">
      <c r="A5" s="228">
        <v>19</v>
      </c>
      <c r="B5" s="229">
        <v>1.0318499999999999</v>
      </c>
      <c r="C5" s="230">
        <v>1.0232341889650567</v>
      </c>
      <c r="D5" s="230">
        <v>1.0754072309435001</v>
      </c>
    </row>
    <row r="6" spans="1:4" x14ac:dyDescent="0.45">
      <c r="A6" s="228">
        <v>19.5</v>
      </c>
      <c r="B6" s="229">
        <v>1.0327</v>
      </c>
      <c r="C6" s="230">
        <v>1.0247690402485043</v>
      </c>
      <c r="D6" s="230">
        <v>1.0743493630550598</v>
      </c>
    </row>
    <row r="7" spans="1:4" x14ac:dyDescent="0.45">
      <c r="A7" s="228">
        <v>20</v>
      </c>
      <c r="B7" s="229">
        <v>1.03356</v>
      </c>
      <c r="C7" s="230">
        <v>1.0262947509784022</v>
      </c>
      <c r="D7" s="230">
        <v>1.0732935743505532</v>
      </c>
    </row>
    <row r="8" spans="1:4" x14ac:dyDescent="0.45">
      <c r="A8" s="228">
        <v>20.5</v>
      </c>
      <c r="B8" s="229">
        <v>1.0344100000000001</v>
      </c>
      <c r="C8" s="230">
        <v>1.0278250115414913</v>
      </c>
      <c r="D8" s="230">
        <v>1.0722398587062079</v>
      </c>
    </row>
    <row r="9" spans="1:4" x14ac:dyDescent="0.45">
      <c r="A9" s="228">
        <v>21</v>
      </c>
      <c r="B9" s="229">
        <v>1.0352600000000001</v>
      </c>
      <c r="C9" s="230">
        <v>1.029359842320299</v>
      </c>
      <c r="D9" s="230">
        <v>1.0705055942915944</v>
      </c>
    </row>
    <row r="10" spans="1:4" x14ac:dyDescent="0.45">
      <c r="A10" s="228">
        <v>21.5</v>
      </c>
      <c r="B10" s="229">
        <v>1.0361199999999999</v>
      </c>
      <c r="C10" s="230">
        <v>1.0308992638192827</v>
      </c>
      <c r="D10" s="230">
        <v>1.0687769308928619</v>
      </c>
    </row>
    <row r="11" spans="1:4" x14ac:dyDescent="0.45">
      <c r="A11" s="228">
        <v>22</v>
      </c>
      <c r="B11" s="229">
        <v>1.0369699999999999</v>
      </c>
      <c r="C11" s="230">
        <v>1.0324432966657417</v>
      </c>
      <c r="D11" s="230">
        <v>1.0670538414200224</v>
      </c>
    </row>
    <row r="12" spans="1:4" x14ac:dyDescent="0.45">
      <c r="A12" s="228">
        <v>22.5</v>
      </c>
      <c r="B12" s="229">
        <v>1.03783</v>
      </c>
      <c r="C12" s="230">
        <v>1.0339919616107405</v>
      </c>
      <c r="D12" s="230">
        <v>1.065336298957505</v>
      </c>
    </row>
    <row r="13" spans="1:4" x14ac:dyDescent="0.45">
      <c r="A13" s="228">
        <v>23</v>
      </c>
      <c r="B13" s="229">
        <v>1.03868</v>
      </c>
      <c r="C13" s="230">
        <v>1.038157299153976</v>
      </c>
      <c r="D13" s="230">
        <v>1.0672937187260119</v>
      </c>
    </row>
    <row r="14" spans="1:4" x14ac:dyDescent="0.45">
      <c r="A14" s="228">
        <v>23.5</v>
      </c>
      <c r="B14" s="229">
        <v>1.0395399999999999</v>
      </c>
      <c r="C14" s="230">
        <v>1.0423563317609119</v>
      </c>
      <c r="D14" s="230">
        <v>1.0692583447541597</v>
      </c>
    </row>
    <row r="15" spans="1:4" x14ac:dyDescent="0.45">
      <c r="A15" s="228">
        <v>24</v>
      </c>
      <c r="B15" s="229">
        <v>1.0404</v>
      </c>
      <c r="C15" s="230">
        <v>1.0465894699510314</v>
      </c>
      <c r="D15" s="230">
        <v>1.0699172802060417</v>
      </c>
    </row>
    <row r="16" spans="1:4" x14ac:dyDescent="0.45">
      <c r="A16" s="228">
        <v>24.5</v>
      </c>
      <c r="B16" s="229">
        <v>1.0412600000000001</v>
      </c>
      <c r="C16" s="230">
        <v>1.050857130939693</v>
      </c>
      <c r="D16" s="230">
        <v>1.0705770283028229</v>
      </c>
    </row>
    <row r="17" spans="1:4" x14ac:dyDescent="0.45">
      <c r="A17" s="228">
        <v>25</v>
      </c>
      <c r="B17" s="229">
        <v>1.0421199999999999</v>
      </c>
      <c r="C17" s="230">
        <v>1.0551597387752063</v>
      </c>
      <c r="D17" s="230">
        <v>1.0724263747904612</v>
      </c>
    </row>
    <row r="18" spans="1:4" x14ac:dyDescent="0.45">
      <c r="A18" s="228">
        <v>25.5</v>
      </c>
      <c r="B18" s="229">
        <v>1.04298</v>
      </c>
      <c r="C18" s="230">
        <v>1.0594977244792925</v>
      </c>
      <c r="D18" s="230">
        <v>1.0742821215660112</v>
      </c>
    </row>
    <row r="19" spans="1:4" x14ac:dyDescent="0.45">
      <c r="A19" s="228">
        <v>26</v>
      </c>
      <c r="B19" s="229">
        <v>1.0438400000000001</v>
      </c>
      <c r="C19" s="230">
        <v>1.0609010327236355</v>
      </c>
      <c r="D19" s="230">
        <v>1.0761443019126025</v>
      </c>
    </row>
    <row r="20" spans="1:4" x14ac:dyDescent="0.45">
      <c r="A20" s="228">
        <v>26.5</v>
      </c>
      <c r="B20" s="229">
        <v>1.0447</v>
      </c>
      <c r="C20" s="230">
        <v>1.0623080632710145</v>
      </c>
      <c r="D20" s="230">
        <v>1.0780129493445394</v>
      </c>
    </row>
    <row r="21" spans="1:4" x14ac:dyDescent="0.45">
      <c r="A21" s="228">
        <v>27</v>
      </c>
      <c r="B21" s="229">
        <v>1.04556</v>
      </c>
      <c r="C21" s="230">
        <v>1.0637188309513212</v>
      </c>
      <c r="D21" s="230">
        <v>1.0793255626504163</v>
      </c>
    </row>
    <row r="22" spans="1:4" x14ac:dyDescent="0.45">
      <c r="A22" s="228">
        <v>27.5</v>
      </c>
      <c r="B22" s="229">
        <v>1.04643</v>
      </c>
      <c r="C22" s="230">
        <v>1.0651333506733311</v>
      </c>
      <c r="D22" s="230">
        <v>1.0806413763893816</v>
      </c>
    </row>
    <row r="23" spans="1:4" x14ac:dyDescent="0.45">
      <c r="A23" s="228">
        <v>28</v>
      </c>
      <c r="B23" s="229">
        <v>1.0472900000000001</v>
      </c>
      <c r="C23" s="230">
        <v>1.0665516374252264</v>
      </c>
      <c r="D23" s="230">
        <v>1.081960402280737</v>
      </c>
    </row>
    <row r="24" spans="1:4" x14ac:dyDescent="0.45">
      <c r="A24" s="228">
        <v>28.5</v>
      </c>
      <c r="B24" s="229">
        <v>1.0481499999999999</v>
      </c>
      <c r="C24" s="230">
        <v>1.0679737062751267</v>
      </c>
      <c r="D24" s="230">
        <v>1.0832826521010719</v>
      </c>
    </row>
    <row r="25" spans="1:4" x14ac:dyDescent="0.45">
      <c r="A25" s="228">
        <v>29</v>
      </c>
      <c r="B25" s="229">
        <v>1.0490200000000001</v>
      </c>
      <c r="C25" s="230">
        <v>1.0693882409854247</v>
      </c>
      <c r="D25" s="230">
        <v>1.0861461464340674</v>
      </c>
    </row>
    <row r="26" spans="1:4" x14ac:dyDescent="0.45">
      <c r="A26" s="228">
        <v>29.5</v>
      </c>
      <c r="B26" s="229">
        <v>1.04989</v>
      </c>
      <c r="C26" s="230">
        <v>1.0708065277771825</v>
      </c>
      <c r="D26" s="230">
        <v>1.0890248193201941</v>
      </c>
    </row>
    <row r="27" spans="1:4" x14ac:dyDescent="0.45">
      <c r="A27" s="228">
        <v>30</v>
      </c>
      <c r="B27" s="229">
        <v>1.0507500000000001</v>
      </c>
      <c r="C27" s="230">
        <v>1.0722285815989321</v>
      </c>
      <c r="D27" s="230">
        <v>1.0919187917658251</v>
      </c>
    </row>
    <row r="28" spans="1:4" x14ac:dyDescent="0.45">
      <c r="A28" s="228">
        <v>30.5</v>
      </c>
      <c r="B28" s="229">
        <v>1.05162</v>
      </c>
      <c r="C28" s="230">
        <v>1.0736544174787179</v>
      </c>
      <c r="D28" s="230">
        <v>1.094828186067009</v>
      </c>
    </row>
    <row r="29" spans="1:4" x14ac:dyDescent="0.45">
      <c r="A29" s="228">
        <v>31</v>
      </c>
      <c r="B29" s="229">
        <v>1.0524899999999999</v>
      </c>
      <c r="C29" s="230">
        <v>1.0750840505246284</v>
      </c>
      <c r="D29" s="230">
        <v>1.094150107896706</v>
      </c>
    </row>
    <row r="30" spans="1:4" x14ac:dyDescent="0.45">
      <c r="A30" s="228">
        <v>31.5</v>
      </c>
      <c r="B30" s="229">
        <v>1.0533600000000001</v>
      </c>
      <c r="C30" s="230">
        <v>1.0765174959253279</v>
      </c>
      <c r="D30" s="230">
        <v>1.093472869137404</v>
      </c>
    </row>
    <row r="31" spans="1:4" x14ac:dyDescent="0.45">
      <c r="A31" s="228">
        <v>32</v>
      </c>
      <c r="B31" s="229">
        <v>1.05423</v>
      </c>
      <c r="C31" s="230">
        <v>1.077943346913308</v>
      </c>
      <c r="D31" s="230">
        <v>1.0927964682313736</v>
      </c>
    </row>
    <row r="32" spans="1:4" x14ac:dyDescent="0.45">
      <c r="A32" s="228">
        <v>32.5</v>
      </c>
      <c r="B32" s="229">
        <v>1.0550999999999999</v>
      </c>
      <c r="C32" s="230">
        <v>1.0793729799994001</v>
      </c>
      <c r="D32" s="230">
        <v>1.0921209036247372</v>
      </c>
    </row>
    <row r="33" spans="1:4" x14ac:dyDescent="0.45">
      <c r="A33" s="228">
        <v>33</v>
      </c>
      <c r="B33" s="229">
        <v>1.0559700000000001</v>
      </c>
      <c r="C33" s="230">
        <v>1.0808064102517234</v>
      </c>
      <c r="D33" s="230">
        <v>1.0929182377104041</v>
      </c>
    </row>
    <row r="34" spans="1:4" x14ac:dyDescent="0.45">
      <c r="A34" s="228">
        <v>33.5</v>
      </c>
      <c r="B34" s="229">
        <v>1.05684</v>
      </c>
      <c r="C34" s="230">
        <v>1.0822436528185475</v>
      </c>
      <c r="D34" s="230">
        <v>1.0937167368797582</v>
      </c>
    </row>
    <row r="35" spans="1:4" x14ac:dyDescent="0.45">
      <c r="A35" s="228">
        <v>34</v>
      </c>
      <c r="B35" s="229">
        <v>1.0577099999999999</v>
      </c>
      <c r="C35" s="230">
        <v>1.0836847229288253</v>
      </c>
      <c r="D35" s="230">
        <v>1.094516403688339</v>
      </c>
    </row>
    <row r="36" spans="1:4" x14ac:dyDescent="0.45">
      <c r="A36" s="228">
        <v>34.5</v>
      </c>
      <c r="B36" s="229">
        <v>1.0585800000000001</v>
      </c>
      <c r="C36" s="230">
        <v>1.0851296358927305</v>
      </c>
      <c r="D36" s="230">
        <v>1.0953172406991651</v>
      </c>
    </row>
    <row r="37" spans="1:4" x14ac:dyDescent="0.45">
      <c r="A37" s="228">
        <v>35</v>
      </c>
      <c r="B37" s="229">
        <v>1.0594600000000001</v>
      </c>
      <c r="C37" s="230">
        <v>1.0904229511897678</v>
      </c>
      <c r="D37" s="230">
        <v>1.0961120915867451</v>
      </c>
    </row>
    <row r="38" spans="1:4" x14ac:dyDescent="0.45">
      <c r="A38" s="228">
        <v>35.5</v>
      </c>
      <c r="B38" s="229">
        <v>1.06033</v>
      </c>
      <c r="C38" s="230">
        <v>1.0957681617348158</v>
      </c>
      <c r="D38" s="230">
        <v>1.0969080969284306</v>
      </c>
    </row>
    <row r="39" spans="1:4" x14ac:dyDescent="0.45">
      <c r="A39" s="228">
        <v>36</v>
      </c>
      <c r="B39" s="229">
        <v>1.06121</v>
      </c>
      <c r="C39" s="230">
        <v>1.1011660344527212</v>
      </c>
      <c r="D39" s="230">
        <v>1.0977052592411716</v>
      </c>
    </row>
    <row r="40" spans="1:4" x14ac:dyDescent="0.45">
      <c r="A40" s="228">
        <v>36.5</v>
      </c>
      <c r="B40" s="229">
        <v>1.0620799999999999</v>
      </c>
      <c r="C40" s="230">
        <v>1.1066173514549626</v>
      </c>
      <c r="D40" s="230">
        <v>1.0985035810492387</v>
      </c>
    </row>
    <row r="41" spans="1:4" x14ac:dyDescent="0.45">
      <c r="A41" s="228">
        <v>37</v>
      </c>
      <c r="B41" s="229">
        <v>1.0629599999999999</v>
      </c>
      <c r="C41" s="230">
        <v>1.1121229104174251</v>
      </c>
      <c r="D41" s="230">
        <v>1.1007386549134834</v>
      </c>
    </row>
    <row r="42" spans="1:4" x14ac:dyDescent="0.45">
      <c r="A42" s="228">
        <v>37.5</v>
      </c>
      <c r="B42" s="229">
        <v>1.0638399999999999</v>
      </c>
      <c r="C42" s="230">
        <v>1.1176835249695123</v>
      </c>
      <c r="D42" s="230">
        <v>1.1029828425215711</v>
      </c>
    </row>
    <row r="43" spans="1:4" x14ac:dyDescent="0.45">
      <c r="A43" s="228">
        <v>38</v>
      </c>
      <c r="B43" s="229">
        <v>1.0647200000000001</v>
      </c>
      <c r="C43" s="230">
        <v>1.1211676901827063</v>
      </c>
      <c r="D43" s="230">
        <v>1.1052361997307265</v>
      </c>
    </row>
    <row r="44" spans="1:4" x14ac:dyDescent="0.45">
      <c r="A44" s="228">
        <v>38.5</v>
      </c>
      <c r="B44" s="229">
        <v>1.0656000000000001</v>
      </c>
      <c r="C44" s="230">
        <v>1.1246736457642521</v>
      </c>
      <c r="D44" s="230">
        <v>1.1074987828555676</v>
      </c>
    </row>
    <row r="45" spans="1:4" x14ac:dyDescent="0.45">
      <c r="A45" s="228">
        <v>39</v>
      </c>
      <c r="B45" s="229">
        <v>1.06647</v>
      </c>
      <c r="C45" s="230">
        <v>1.1282015967745742</v>
      </c>
      <c r="D45" s="230">
        <v>1.1095049001676238</v>
      </c>
    </row>
    <row r="46" spans="1:4" x14ac:dyDescent="0.45">
      <c r="A46" s="228">
        <v>39.5</v>
      </c>
      <c r="B46" s="229">
        <v>1.0673600000000001</v>
      </c>
      <c r="C46" s="230">
        <v>1.1317517508551833</v>
      </c>
      <c r="D46" s="230">
        <v>1.1115182984084373</v>
      </c>
    </row>
    <row r="47" spans="1:4" x14ac:dyDescent="0.45">
      <c r="A47" s="228">
        <v>40</v>
      </c>
      <c r="B47" s="229">
        <v>1.0682400000000001</v>
      </c>
      <c r="C47" s="230">
        <v>1.135324318269413</v>
      </c>
      <c r="D47" s="230">
        <v>1.1135390172877735</v>
      </c>
    </row>
    <row r="48" spans="1:4" x14ac:dyDescent="0.45">
      <c r="A48" s="228">
        <v>40.5</v>
      </c>
      <c r="B48" s="229">
        <v>1.0691200000000001</v>
      </c>
      <c r="C48" s="230">
        <v>1.138919511943933</v>
      </c>
      <c r="D48" s="230">
        <v>1.1155670968046891</v>
      </c>
    </row>
    <row r="49" spans="1:4" x14ac:dyDescent="0.45">
      <c r="A49" s="228">
        <v>41</v>
      </c>
      <c r="B49" s="229">
        <v>1.07</v>
      </c>
      <c r="C49" s="230">
        <v>1.1406151737483159</v>
      </c>
      <c r="D49" s="230">
        <v>1.1186749605589581</v>
      </c>
    </row>
    <row r="50" spans="1:4" x14ac:dyDescent="0.45">
      <c r="A50" s="228">
        <v>41.5</v>
      </c>
      <c r="B50" s="229">
        <v>1.0708800000000001</v>
      </c>
      <c r="C50" s="230">
        <v>1.1423158921982388</v>
      </c>
      <c r="D50" s="230">
        <v>1.121800189115151</v>
      </c>
    </row>
    <row r="51" spans="1:4" x14ac:dyDescent="0.45">
      <c r="A51" s="228">
        <v>42</v>
      </c>
      <c r="B51" s="229">
        <v>1.0717699999999999</v>
      </c>
      <c r="C51" s="230">
        <v>1.1440216899466682</v>
      </c>
      <c r="D51" s="230">
        <v>1.1255123566230012</v>
      </c>
    </row>
    <row r="52" spans="1:4" x14ac:dyDescent="0.45">
      <c r="A52" s="228">
        <v>42.5</v>
      </c>
      <c r="B52" s="229">
        <v>1.0726500000000001</v>
      </c>
      <c r="C52" s="230">
        <v>1.145732589782082</v>
      </c>
      <c r="D52" s="230">
        <v>1.1292491736885606</v>
      </c>
    </row>
    <row r="53" spans="1:4" x14ac:dyDescent="0.45">
      <c r="A53" s="228">
        <v>43</v>
      </c>
      <c r="B53" s="229">
        <v>1.0735399999999999</v>
      </c>
      <c r="C53" s="230">
        <v>1.147448614629484</v>
      </c>
      <c r="D53" s="230">
        <v>1.1293194075140089</v>
      </c>
    </row>
    <row r="54" spans="1:4" x14ac:dyDescent="0.45">
      <c r="A54" s="228">
        <v>43.5</v>
      </c>
      <c r="B54" s="229">
        <v>1.0744199999999999</v>
      </c>
      <c r="C54" s="230">
        <v>1.1491697875514282</v>
      </c>
      <c r="D54" s="230">
        <v>1.1293896500764078</v>
      </c>
    </row>
    <row r="55" spans="1:4" x14ac:dyDescent="0.45">
      <c r="A55" s="228">
        <v>44</v>
      </c>
      <c r="B55" s="229">
        <v>1.07531</v>
      </c>
      <c r="C55" s="230">
        <v>1.1494516295788273</v>
      </c>
      <c r="D55" s="230">
        <v>1.1280454986873136</v>
      </c>
    </row>
    <row r="56" spans="1:4" x14ac:dyDescent="0.45">
      <c r="A56" s="228">
        <v>44.5</v>
      </c>
      <c r="B56" s="229">
        <v>1.0762</v>
      </c>
      <c r="C56" s="230">
        <v>1.1497336098876465</v>
      </c>
      <c r="D56" s="230">
        <v>1.1267045429981348</v>
      </c>
    </row>
    <row r="57" spans="1:4" x14ac:dyDescent="0.45">
      <c r="A57" s="228">
        <v>45</v>
      </c>
      <c r="B57" s="229">
        <v>1.0770900000000001</v>
      </c>
      <c r="C57" s="230">
        <v>1.1500157285796793</v>
      </c>
      <c r="D57" s="230">
        <v>1.1263997432982977</v>
      </c>
    </row>
    <row r="58" spans="1:4" x14ac:dyDescent="0.45">
      <c r="A58" s="228">
        <v>45.5</v>
      </c>
      <c r="B58" s="229">
        <v>1.0779799999999999</v>
      </c>
      <c r="C58" s="230">
        <v>1.1502979857568192</v>
      </c>
      <c r="D58" s="230">
        <v>1.1260951084646311</v>
      </c>
    </row>
    <row r="59" spans="1:4" x14ac:dyDescent="0.45">
      <c r="A59" s="228">
        <v>46</v>
      </c>
      <c r="B59" s="229">
        <v>1.07887</v>
      </c>
      <c r="C59" s="230">
        <v>1.1505803815210593</v>
      </c>
      <c r="D59" s="230">
        <v>1.1282891573246026</v>
      </c>
    </row>
    <row r="60" spans="1:4" x14ac:dyDescent="0.45">
      <c r="A60" s="228">
        <v>46.5</v>
      </c>
      <c r="B60" s="229">
        <v>1.0797600000000001</v>
      </c>
      <c r="C60" s="230">
        <v>1.1508629159744939</v>
      </c>
      <c r="D60" s="230">
        <v>1.1304917725087338</v>
      </c>
    </row>
    <row r="61" spans="1:4" x14ac:dyDescent="0.45">
      <c r="A61" s="228">
        <v>47</v>
      </c>
      <c r="B61" s="229">
        <v>1.0806500000000001</v>
      </c>
      <c r="C61" s="230">
        <v>1.1431357509500668</v>
      </c>
      <c r="D61" s="230">
        <v>1.1321799354957061</v>
      </c>
    </row>
    <row r="62" spans="1:4" x14ac:dyDescent="0.45">
      <c r="A62" s="228">
        <v>47.5</v>
      </c>
      <c r="B62" s="229">
        <v>1.0815399999999999</v>
      </c>
      <c r="C62" s="230">
        <v>1.1355116578926687</v>
      </c>
      <c r="D62" s="230">
        <v>1.1338731478894069</v>
      </c>
    </row>
    <row r="63" spans="1:4" x14ac:dyDescent="0.45">
      <c r="A63" s="228">
        <v>48</v>
      </c>
      <c r="B63" s="229">
        <v>1.08243</v>
      </c>
      <c r="C63" s="230">
        <v>1.1279885881639009</v>
      </c>
      <c r="D63" s="230">
        <v>1.1355714323784301</v>
      </c>
    </row>
    <row r="64" spans="1:4" x14ac:dyDescent="0.45">
      <c r="A64" s="228">
        <v>48.5</v>
      </c>
      <c r="B64" s="229">
        <v>1.0833299999999999</v>
      </c>
      <c r="C64" s="230">
        <v>1.120564547059157</v>
      </c>
      <c r="D64" s="230">
        <v>1.1372748117875033</v>
      </c>
    </row>
    <row r="65" spans="1:4" x14ac:dyDescent="0.45">
      <c r="A65" s="228">
        <v>49</v>
      </c>
      <c r="B65" s="229">
        <v>1.08422</v>
      </c>
      <c r="C65" s="230">
        <v>1.113237592044358</v>
      </c>
      <c r="D65" s="230">
        <v>1.1394768448132302</v>
      </c>
    </row>
    <row r="66" spans="1:4" x14ac:dyDescent="0.45">
      <c r="A66" s="228">
        <v>49.5</v>
      </c>
      <c r="B66" s="229">
        <v>1.08511</v>
      </c>
      <c r="C66" s="230">
        <v>1.1060058310614143</v>
      </c>
      <c r="D66" s="230">
        <v>1.1416874216954163</v>
      </c>
    </row>
    <row r="67" spans="1:4" x14ac:dyDescent="0.45">
      <c r="A67" s="228">
        <v>50</v>
      </c>
      <c r="B67" s="229">
        <v>1.0860099999999999</v>
      </c>
      <c r="C67" s="230">
        <v>1.1165961281365739</v>
      </c>
      <c r="D67" s="230">
        <v>1.1429012809694947</v>
      </c>
    </row>
    <row r="68" spans="1:4" x14ac:dyDescent="0.45">
      <c r="A68" s="228">
        <v>50.5</v>
      </c>
      <c r="B68" s="229">
        <v>1.08691</v>
      </c>
      <c r="C68" s="230">
        <v>1.1273911957096137</v>
      </c>
      <c r="D68" s="230">
        <v>1.1441177241778018</v>
      </c>
    </row>
    <row r="69" spans="1:4" x14ac:dyDescent="0.45">
      <c r="A69" s="228">
        <v>51</v>
      </c>
      <c r="B69" s="229">
        <v>1.0878000000000001</v>
      </c>
      <c r="C69" s="230">
        <v>1.1383970308213409</v>
      </c>
      <c r="D69" s="230">
        <v>1.1469192537916473</v>
      </c>
    </row>
    <row r="70" spans="1:4" x14ac:dyDescent="0.45">
      <c r="A70" s="228">
        <v>51.5</v>
      </c>
      <c r="B70" s="229">
        <v>1.0887</v>
      </c>
      <c r="C70" s="230">
        <v>1.1496198669987963</v>
      </c>
      <c r="D70" s="230">
        <v>1.1497345369441083</v>
      </c>
    </row>
    <row r="71" spans="1:4" x14ac:dyDescent="0.45">
      <c r="A71" s="228">
        <v>52</v>
      </c>
      <c r="B71" s="229">
        <v>1.0895999999999999</v>
      </c>
      <c r="C71" s="230">
        <v>1.1610661860282625</v>
      </c>
      <c r="D71" s="230">
        <v>1.1508161010371363</v>
      </c>
    </row>
    <row r="72" spans="1:4" x14ac:dyDescent="0.45">
      <c r="A72" s="228">
        <v>52.5</v>
      </c>
      <c r="B72" s="229">
        <v>1.0905</v>
      </c>
      <c r="C72" s="230">
        <v>1.1727427304386611</v>
      </c>
      <c r="D72" s="230">
        <v>1.1518997019174535</v>
      </c>
    </row>
    <row r="73" spans="1:4" x14ac:dyDescent="0.45">
      <c r="A73" s="228">
        <v>53</v>
      </c>
      <c r="B73" s="229">
        <v>1.0913999999999999</v>
      </c>
      <c r="C73" s="230">
        <v>1.1683772271249788</v>
      </c>
      <c r="D73" s="230">
        <v>1.1528147339858132</v>
      </c>
    </row>
    <row r="74" spans="1:4" x14ac:dyDescent="0.45">
      <c r="A74" s="228">
        <v>53.5</v>
      </c>
      <c r="B74" s="229">
        <v>1.0923</v>
      </c>
      <c r="C74" s="230">
        <v>1.1640441042137697</v>
      </c>
      <c r="D74" s="230">
        <v>1.1537312209539783</v>
      </c>
    </row>
    <row r="75" spans="1:4" x14ac:dyDescent="0.45">
      <c r="A75" s="228">
        <v>54</v>
      </c>
      <c r="B75" s="229">
        <v>1.0931999999999999</v>
      </c>
      <c r="C75" s="230">
        <v>1.1597430027717377</v>
      </c>
      <c r="D75" s="230">
        <v>1.1610947601494308</v>
      </c>
    </row>
    <row r="76" spans="1:4" x14ac:dyDescent="0.45">
      <c r="A76" s="231">
        <v>54.5</v>
      </c>
      <c r="B76" s="232">
        <v>1.0931999999999999</v>
      </c>
      <c r="C76" s="233">
        <v>1.1554735691510398</v>
      </c>
      <c r="D76" s="230">
        <v>1.1685528967595622</v>
      </c>
    </row>
    <row r="77" spans="1:4" x14ac:dyDescent="0.45">
      <c r="A77" s="231">
        <v>55</v>
      </c>
      <c r="B77" s="232">
        <v>1.0931999999999999</v>
      </c>
      <c r="C77" s="233">
        <v>1.1512354548923549</v>
      </c>
      <c r="D77" s="230">
        <v>1.1672084475655169</v>
      </c>
    </row>
    <row r="78" spans="1:4" x14ac:dyDescent="0.45">
      <c r="A78" s="235" t="s">
        <v>421</v>
      </c>
      <c r="B78" s="237"/>
      <c r="C78" s="234"/>
      <c r="D78" s="237"/>
    </row>
    <row r="79" spans="1:4" x14ac:dyDescent="0.45">
      <c r="A79" s="106" t="s">
        <v>422</v>
      </c>
      <c r="B79" s="238"/>
      <c r="C79" s="127"/>
      <c r="D79" s="127"/>
    </row>
    <row r="80" spans="1:4" s="236" customFormat="1" ht="39.6" customHeight="1" x14ac:dyDescent="0.3">
      <c r="A80" s="236" t="s">
        <v>423</v>
      </c>
    </row>
    <row r="81" spans="1:4" x14ac:dyDescent="0.45">
      <c r="A81" s="106" t="s">
        <v>424</v>
      </c>
      <c r="B81" s="127"/>
      <c r="C81" s="127"/>
      <c r="D81" s="127"/>
    </row>
    <row r="82" spans="1:4" x14ac:dyDescent="0.45">
      <c r="A82" s="106" t="s">
        <v>425</v>
      </c>
      <c r="B82" s="127"/>
      <c r="C82" s="127"/>
      <c r="D82" s="127"/>
    </row>
  </sheetData>
  <sheetProtection sheet="1" objects="1" scenarios="1" selectLockedCells="1"/>
  <mergeCells count="1">
    <mergeCell ref="A80:XFD8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F53CA-52C3-4F8D-9112-7285343E4A8D}">
  <sheetPr codeName="Sheet8"/>
  <dimension ref="A1:XFC18"/>
  <sheetViews>
    <sheetView zoomScaleNormal="100" workbookViewId="0">
      <selection activeCell="A2" sqref="A2"/>
    </sheetView>
  </sheetViews>
  <sheetFormatPr defaultColWidth="0" defaultRowHeight="19.2" zeroHeight="1" x14ac:dyDescent="0.45"/>
  <cols>
    <col min="1" max="1" width="25.44140625" style="106" customWidth="1"/>
    <col min="2" max="2" width="38.77734375" style="106" customWidth="1"/>
    <col min="3" max="16383" width="9.109375" style="106" hidden="1"/>
    <col min="16384" max="16384" width="1.88671875" style="106" hidden="1"/>
  </cols>
  <sheetData>
    <row r="1" spans="1:3" x14ac:dyDescent="0.45">
      <c r="A1" s="85" t="s">
        <v>0</v>
      </c>
      <c r="B1" s="127"/>
    </row>
    <row r="2" spans="1:3" x14ac:dyDescent="0.45">
      <c r="A2" s="92" t="s">
        <v>3</v>
      </c>
      <c r="B2" s="127"/>
    </row>
    <row r="3" spans="1:3" s="101" customFormat="1" ht="33.6" customHeight="1" x14ac:dyDescent="0.45">
      <c r="A3" s="103"/>
      <c r="B3" s="244" t="s">
        <v>460</v>
      </c>
      <c r="C3" s="191"/>
    </row>
    <row r="4" spans="1:3" ht="17.7" customHeight="1" x14ac:dyDescent="0.45">
      <c r="A4" s="101" t="s">
        <v>426</v>
      </c>
      <c r="B4" s="240">
        <v>6926918680</v>
      </c>
      <c r="C4" s="191"/>
    </row>
    <row r="5" spans="1:3" ht="17.7" customHeight="1" x14ac:dyDescent="0.45">
      <c r="A5" s="101" t="s">
        <v>427</v>
      </c>
      <c r="B5" s="240">
        <v>1725856608</v>
      </c>
      <c r="C5" s="191"/>
    </row>
    <row r="6" spans="1:3" ht="39" customHeight="1" thickBot="1" x14ac:dyDescent="0.5">
      <c r="A6" s="245" t="s">
        <v>428</v>
      </c>
      <c r="B6" s="243">
        <v>15129152264</v>
      </c>
      <c r="C6" s="191"/>
    </row>
    <row r="7" spans="1:3" ht="17.7" customHeight="1" x14ac:dyDescent="0.45">
      <c r="A7" s="101" t="s">
        <v>429</v>
      </c>
      <c r="B7" s="241">
        <v>0.45785240039408465</v>
      </c>
      <c r="C7" s="191"/>
    </row>
    <row r="8" spans="1:3" ht="17.7" customHeight="1" x14ac:dyDescent="0.45">
      <c r="A8" s="101" t="s">
        <v>430</v>
      </c>
      <c r="B8" s="242">
        <v>0.11407490504981542</v>
      </c>
      <c r="C8" s="191"/>
    </row>
    <row r="9" spans="1:3" ht="17.100000000000001" customHeight="1" x14ac:dyDescent="0.45">
      <c r="A9" s="101" t="s">
        <v>431</v>
      </c>
      <c r="B9" s="158">
        <v>0.57192730544390002</v>
      </c>
    </row>
    <row r="10" spans="1:3" x14ac:dyDescent="0.45">
      <c r="A10" s="127"/>
      <c r="B10" s="127"/>
    </row>
    <row r="11" spans="1:3" x14ac:dyDescent="0.45">
      <c r="A11" s="106" t="s">
        <v>432</v>
      </c>
      <c r="B11" s="127"/>
    </row>
    <row r="12" spans="1:3" x14ac:dyDescent="0.45">
      <c r="A12" s="239" t="s">
        <v>433</v>
      </c>
      <c r="B12" s="127"/>
    </row>
    <row r="17" s="106" customFormat="1" hidden="1" x14ac:dyDescent="0.45"/>
    <row r="18" s="106" customFormat="1" hidden="1" x14ac:dyDescent="0.45"/>
  </sheetData>
  <sheetProtection sheet="1" objects="1" scenarios="1" selectLockedCells="1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A357-CD7F-470B-8A3D-564C4E2E980C}">
  <sheetPr codeName="Sheet9"/>
  <dimension ref="A1:C14"/>
  <sheetViews>
    <sheetView zoomScale="124" zoomScaleNormal="124" workbookViewId="0">
      <selection activeCell="A2" sqref="A2"/>
    </sheetView>
  </sheetViews>
  <sheetFormatPr defaultColWidth="0" defaultRowHeight="19.2" zeroHeight="1" x14ac:dyDescent="0.45"/>
  <cols>
    <col min="1" max="1" width="64.109375" style="106" bestFit="1" customWidth="1"/>
    <col min="2" max="2" width="13.33203125" style="106" bestFit="1" customWidth="1"/>
    <col min="3" max="3" width="25" style="106" bestFit="1" customWidth="1"/>
    <col min="4" max="16384" width="8.6640625" style="106" hidden="1"/>
  </cols>
  <sheetData>
    <row r="1" spans="1:3" x14ac:dyDescent="0.45">
      <c r="A1" s="85" t="s">
        <v>0</v>
      </c>
      <c r="B1" s="127"/>
      <c r="C1" s="127"/>
    </row>
    <row r="2" spans="1:3" x14ac:dyDescent="0.45">
      <c r="A2" s="92" t="s">
        <v>3</v>
      </c>
      <c r="B2" s="127"/>
      <c r="C2" s="127"/>
    </row>
    <row r="3" spans="1:3" x14ac:dyDescent="0.45">
      <c r="A3" s="127"/>
      <c r="B3" s="127"/>
      <c r="C3" s="246" t="s">
        <v>434</v>
      </c>
    </row>
    <row r="4" spans="1:3" ht="46.5" customHeight="1" x14ac:dyDescent="0.45">
      <c r="A4" s="127"/>
      <c r="B4" s="127"/>
      <c r="C4" s="247" t="s">
        <v>435</v>
      </c>
    </row>
    <row r="5" spans="1:3" x14ac:dyDescent="0.45">
      <c r="A5" s="71" t="s">
        <v>436</v>
      </c>
      <c r="B5" s="248">
        <v>1386763456</v>
      </c>
      <c r="C5" s="138">
        <v>0.33</v>
      </c>
    </row>
    <row r="6" spans="1:3" x14ac:dyDescent="0.45">
      <c r="A6" s="71" t="s">
        <v>437</v>
      </c>
      <c r="B6" s="248">
        <v>1609872415</v>
      </c>
      <c r="C6" s="138">
        <v>0.62</v>
      </c>
    </row>
    <row r="7" spans="1:3" x14ac:dyDescent="0.45">
      <c r="A7" s="71" t="s">
        <v>438</v>
      </c>
      <c r="B7" s="248">
        <v>1861533648</v>
      </c>
      <c r="C7" s="138">
        <v>2.12</v>
      </c>
    </row>
    <row r="8" spans="1:3" x14ac:dyDescent="0.45">
      <c r="A8" s="71" t="s">
        <v>439</v>
      </c>
      <c r="B8" s="248">
        <v>1427049964</v>
      </c>
      <c r="C8" s="138">
        <v>1.17</v>
      </c>
    </row>
    <row r="9" spans="1:3" x14ac:dyDescent="0.45">
      <c r="A9" s="71" t="s">
        <v>440</v>
      </c>
      <c r="B9" s="248">
        <v>1710066634</v>
      </c>
      <c r="C9" s="138">
        <v>1.31</v>
      </c>
    </row>
    <row r="10" spans="1:3" x14ac:dyDescent="0.45">
      <c r="A10" s="71" t="s">
        <v>441</v>
      </c>
      <c r="B10" s="248">
        <v>1326146333</v>
      </c>
      <c r="C10" s="138">
        <v>0.44</v>
      </c>
    </row>
    <row r="11" spans="1:3" x14ac:dyDescent="0.45">
      <c r="A11" s="71" t="s">
        <v>442</v>
      </c>
      <c r="B11" s="248">
        <v>1841342334</v>
      </c>
      <c r="C11" s="138">
        <v>0.56000000000000005</v>
      </c>
    </row>
    <row r="12" spans="1:3" x14ac:dyDescent="0.45">
      <c r="A12" s="71" t="s">
        <v>443</v>
      </c>
      <c r="B12" s="248">
        <v>1619947090</v>
      </c>
      <c r="C12" s="138">
        <v>0.97</v>
      </c>
    </row>
    <row r="13" spans="1:3" x14ac:dyDescent="0.45">
      <c r="A13" s="71" t="s">
        <v>444</v>
      </c>
      <c r="B13" s="248">
        <v>1235352618</v>
      </c>
      <c r="C13" s="138">
        <v>2.74</v>
      </c>
    </row>
    <row r="14" spans="1:3" x14ac:dyDescent="0.45">
      <c r="A14" s="71" t="s">
        <v>445</v>
      </c>
      <c r="B14" s="249">
        <v>1700963956</v>
      </c>
      <c r="C14" s="138">
        <v>0.49</v>
      </c>
    </row>
  </sheetData>
  <sheetProtection sheet="1" objects="1" scenarios="1" selectLockedCell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D209B-5F70-49EF-AFDC-2D3046BE016A}">
  <sheetPr codeName="Sheet10"/>
  <dimension ref="A1:E7"/>
  <sheetViews>
    <sheetView tabSelected="1" zoomScaleNormal="100" workbookViewId="0"/>
  </sheetViews>
  <sheetFormatPr defaultColWidth="0" defaultRowHeight="19.2" zeroHeight="1" x14ac:dyDescent="0.45"/>
  <cols>
    <col min="1" max="1" width="12.5546875" style="106" bestFit="1" customWidth="1"/>
    <col min="2" max="2" width="11.44140625" style="106" bestFit="1" customWidth="1"/>
    <col min="3" max="3" width="10.6640625" style="106" bestFit="1" customWidth="1"/>
    <col min="4" max="4" width="17.33203125" style="106" customWidth="1"/>
    <col min="5" max="5" width="24.5546875" style="106" hidden="1" customWidth="1"/>
    <col min="6" max="16384" width="8.6640625" style="106" hidden="1"/>
  </cols>
  <sheetData>
    <row r="1" spans="1:5" x14ac:dyDescent="0.45">
      <c r="A1" s="85" t="s">
        <v>0</v>
      </c>
      <c r="B1" s="127"/>
      <c r="C1" s="127"/>
      <c r="D1" s="127"/>
    </row>
    <row r="2" spans="1:5" x14ac:dyDescent="0.45">
      <c r="A2" s="92" t="s">
        <v>3</v>
      </c>
      <c r="B2" s="127"/>
      <c r="C2" s="127"/>
      <c r="D2" s="127"/>
    </row>
    <row r="3" spans="1:5" x14ac:dyDescent="0.45">
      <c r="A3" s="224" t="s">
        <v>446</v>
      </c>
      <c r="B3" s="127"/>
      <c r="C3" s="127"/>
      <c r="D3" s="127"/>
    </row>
    <row r="4" spans="1:5" ht="36" customHeight="1" x14ac:dyDescent="0.45">
      <c r="A4" s="250" t="s">
        <v>447</v>
      </c>
      <c r="B4" s="250" t="s">
        <v>448</v>
      </c>
      <c r="C4" s="250" t="s">
        <v>449</v>
      </c>
      <c r="D4" s="250" t="s">
        <v>450</v>
      </c>
    </row>
    <row r="5" spans="1:5" x14ac:dyDescent="0.45">
      <c r="A5" s="251">
        <v>1061</v>
      </c>
      <c r="B5" s="251">
        <v>1061</v>
      </c>
      <c r="C5" s="252">
        <v>281</v>
      </c>
      <c r="D5" s="252">
        <v>361</v>
      </c>
      <c r="E5" s="253"/>
    </row>
    <row r="6" spans="1:5" x14ac:dyDescent="0.45">
      <c r="A6" s="254"/>
      <c r="B6" s="254"/>
      <c r="C6" s="255"/>
      <c r="D6" s="255"/>
      <c r="E6" s="253"/>
    </row>
    <row r="7" spans="1:5" x14ac:dyDescent="0.45">
      <c r="A7" s="256">
        <v>46209</v>
      </c>
      <c r="B7" s="127"/>
      <c r="C7" s="127"/>
      <c r="D7" s="127"/>
    </row>
  </sheetData>
  <sheetProtection sheet="1" objects="1" scenarios="1"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  <TaxCatchAll xmlns="f3a69106-fb92-4d29-9181-f6efe780d3d9" xsi:nil="true"/>
    <Notes xmlns="43f00a5d-55c4-41d3-b741-631800661bd5" xsi:nil="true"/>
    <EstimateSeason xmlns="43f00a5d-55c4-41d3-b741-631800661bd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6FECFE-9938-46C5-BBA8-CB5C3C0BCD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A7471C-F884-46DD-9B88-C99E6E917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507CF1-6B3B-4579-9938-375D8B6B92DA}">
  <ds:schemaRefs>
    <ds:schemaRef ds:uri="http://schemas.microsoft.com/office/2006/metadata/properties"/>
    <ds:schemaRef ds:uri="http://schemas.microsoft.com/office/infopath/2007/PartnerControls"/>
    <ds:schemaRef ds:uri="43f00a5d-55c4-41d3-b741-631800661bd5"/>
    <ds:schemaRef ds:uri="f3a69106-fb92-4d29-9181-f6efe780d3d9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8</vt:i4>
      </vt:variant>
    </vt:vector>
  </HeadingPairs>
  <TitlesOfParts>
    <vt:vector size="22" baseType="lpstr">
      <vt:lpstr>Disclaimer</vt:lpstr>
      <vt:lpstr>Methodology &amp; Column Desc.</vt:lpstr>
      <vt:lpstr>Summary - Rates 2026</vt:lpstr>
      <vt:lpstr>Summary - Rates 2027</vt:lpstr>
      <vt:lpstr>2027 Calcs</vt:lpstr>
      <vt:lpstr>Interim</vt:lpstr>
      <vt:lpstr>Budget Impact</vt:lpstr>
      <vt:lpstr>Data</vt:lpstr>
      <vt:lpstr>Sub Calc</vt:lpstr>
      <vt:lpstr>Closed Facilities</vt:lpstr>
      <vt:lpstr>Inflation Factors 2027</vt:lpstr>
      <vt:lpstr>SWB Ratio</vt:lpstr>
      <vt:lpstr>SB525 Add-Ons</vt:lpstr>
      <vt:lpstr>License Fees</vt:lpstr>
      <vt:lpstr>TitleRegion1.a4.b15.3</vt:lpstr>
      <vt:lpstr>TitleRegion2.a17.b18.3</vt:lpstr>
      <vt:lpstr>TitleRegion3.a20.b24.3</vt:lpstr>
      <vt:lpstr>TitleRegion4.a26.b31.3</vt:lpstr>
      <vt:lpstr>TitleRegion5.a33.b34.3</vt:lpstr>
      <vt:lpstr>TitleRegion6.a36.b37.3</vt:lpstr>
      <vt:lpstr>TitleRegion8.a42.b43.3</vt:lpstr>
      <vt:lpstr>TitleRegion9.a45.b53.3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Seawright, Ken@DHCS</dc:creator>
  <cp:keywords/>
  <dc:description/>
  <cp:lastModifiedBy>Gerstel, Ashley@DHCS</cp:lastModifiedBy>
  <cp:revision/>
  <dcterms:created xsi:type="dcterms:W3CDTF">2023-11-09T22:20:31Z</dcterms:created>
  <dcterms:modified xsi:type="dcterms:W3CDTF">2026-09-25T21:00:54Z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</Properties>
</file>