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328" codeName="{8C4F1C90-05EB-6A55-5F09-09C24B55AC0B}"/>
  <workbookPr codeName="ThisWorkbook"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49A3365C-3A09-46AF-82CA-25CF7C8B36E1}" xr6:coauthVersionLast="45" xr6:coauthVersionMax="45" xr10:uidLastSave="{00000000-0000-0000-0000-000000000000}"/>
  <bookViews>
    <workbookView xWindow="-120" yWindow="-120" windowWidth="20730" windowHeight="11160" tabRatio="682" firstSheet="1" activeTab="5"/>
  </bookViews>
  <sheets>
    <sheet name="Control Worksheet" sheetId="9" state="veryHidden" r:id="rId1"/>
    <sheet name="Comparison" sheetId="8" r:id="rId2"/>
    <sheet name="ODFGFUND-P" sheetId="3" r:id="rId3"/>
    <sheet name="7990ODFG-P" sheetId="4" r:id="rId4"/>
    <sheet name="7895ODFG-P" sheetId="5" r:id="rId5"/>
    <sheet name="Data Entry" sheetId="7" r:id="rId6"/>
  </sheets>
  <externalReferences>
    <externalReference r:id="rId7"/>
  </externalReferences>
  <definedNames>
    <definedName name="\\I4" hidden="1">#NAME?</definedName>
    <definedName name="\\I8" hidden="1">#NAME?</definedName>
    <definedName name="\I" localSheetId="3">'7990ODFG-P'!$K$786:$K$786</definedName>
    <definedName name="\I">#REF!</definedName>
    <definedName name="\I2" localSheetId="3">'7990ODFG-P'!$K$788:$K$788</definedName>
    <definedName name="\I2">#REF!</definedName>
    <definedName name="\I3" localSheetId="3">'7990ODFG-P'!$K$790:$K$790</definedName>
    <definedName name="\I3">#REF!</definedName>
    <definedName name="\I4" localSheetId="3">'7990ODFG-P'!$K$791:$K$791</definedName>
    <definedName name="\I4">#REF!</definedName>
    <definedName name="\I5" localSheetId="3">'7990ODFG-P'!$K$792:$K$792</definedName>
    <definedName name="\I5">#REF!</definedName>
    <definedName name="\I6" localSheetId="3">'7990ODFG-P'!$K$793:$K$793</definedName>
    <definedName name="\I6">#REF!</definedName>
    <definedName name="\I7" localSheetId="3">'7990ODFG-P'!$K$794:$K$794</definedName>
    <definedName name="\I7">#REF!</definedName>
    <definedName name="\I8" localSheetId="3">'7990ODFG-P'!$K$795:$K$795</definedName>
    <definedName name="\I8">#REF!</definedName>
    <definedName name="\I8a">#REF!</definedName>
    <definedName name="\I9" localSheetId="3">'7990ODFG-P'!$K$796:$K$796</definedName>
    <definedName name="\I9">#REF!</definedName>
    <definedName name="_1_5" localSheetId="3">'7990ODFG-P'!$J$759:$J$760</definedName>
    <definedName name="_2_5">#REF!</definedName>
    <definedName name="BACKA">'ODFGFUND-P'!$J$10:$J$10</definedName>
    <definedName name="BACKB">'ODFGFUND-P'!#REF!</definedName>
    <definedName name="BACKC">'ODFGFUND-P'!#REF!</definedName>
    <definedName name="BACKD">'ODFGFUND-P'!$J$19:$J$29</definedName>
    <definedName name="BLOCK">'ODFGFUND-P'!$J$18:$J$18</definedName>
    <definedName name="i">#REF!</definedName>
    <definedName name="_xlnm.Print_Area" localSheetId="4">'7895ODFG-P'!$A$1:$G$98</definedName>
    <definedName name="_xlnm.Print_Area" localSheetId="3">'7990ODFG-P'!$A$1:$I$87</definedName>
    <definedName name="_xlnm.Print_Area" localSheetId="5">'Data Entry'!$A$1:$D$103</definedName>
    <definedName name="_xlnm.Print_Area" localSheetId="2">'ODFGFUND-P'!$A$1:$J$45</definedName>
    <definedName name="_xlnm.Print_Titles" localSheetId="4">'7895ODFG-P'!$1:$10</definedName>
    <definedName name="_xlnm.Print_Titles" localSheetId="5">'Data Entry'!$1:$8</definedName>
    <definedName name="repor1">#REF!</definedName>
    <definedName name="REPORT" localSheetId="3">'7990ODFG-P'!$A$1:$I$90</definedName>
    <definedName name="REPORT">#REF!</definedName>
  </definedNames>
  <calcPr calcId="191029" fullCalcOnLoad="1"/>
</workbook>
</file>

<file path=xl/calcChain.xml><?xml version="1.0" encoding="utf-8"?>
<calcChain xmlns="http://schemas.openxmlformats.org/spreadsheetml/2006/main">
  <c r="E48" i="5" l="1"/>
  <c r="E50" i="5" s="1"/>
  <c r="E15" i="5" s="1"/>
  <c r="E49" i="5"/>
  <c r="F48" i="5"/>
  <c r="F50" i="5" s="1"/>
  <c r="F15" i="5" s="1"/>
  <c r="F49" i="5"/>
  <c r="E52" i="5"/>
  <c r="E54" i="5"/>
  <c r="E55" i="5"/>
  <c r="E56" i="5"/>
  <c r="E57" i="5"/>
  <c r="E16" i="5" s="1"/>
  <c r="F52" i="5"/>
  <c r="F53" i="5"/>
  <c r="F54" i="5"/>
  <c r="F57" i="5" s="1"/>
  <c r="F16" i="5" s="1"/>
  <c r="F55" i="5"/>
  <c r="F56" i="5"/>
  <c r="E59" i="5"/>
  <c r="E60" i="5"/>
  <c r="E67" i="5" s="1"/>
  <c r="E17" i="5" s="1"/>
  <c r="E61" i="5"/>
  <c r="E62" i="5"/>
  <c r="E63" i="5"/>
  <c r="E64" i="5"/>
  <c r="E65" i="5"/>
  <c r="E66" i="5"/>
  <c r="F59" i="5"/>
  <c r="F60" i="5"/>
  <c r="F61" i="5"/>
  <c r="F62" i="5"/>
  <c r="F63" i="5"/>
  <c r="F64" i="5"/>
  <c r="F65" i="5"/>
  <c r="F66" i="5"/>
  <c r="E69" i="5"/>
  <c r="E70" i="5"/>
  <c r="E71" i="5"/>
  <c r="E72" i="5"/>
  <c r="E73" i="5"/>
  <c r="E74" i="5"/>
  <c r="E75" i="5"/>
  <c r="E76" i="5"/>
  <c r="E77" i="5"/>
  <c r="E78" i="5"/>
  <c r="E79" i="5"/>
  <c r="E80" i="5"/>
  <c r="E81" i="5"/>
  <c r="E82" i="5"/>
  <c r="E83" i="5"/>
  <c r="E84" i="5"/>
  <c r="E18" i="5" s="1"/>
  <c r="F69" i="5"/>
  <c r="F70" i="5"/>
  <c r="F71" i="5"/>
  <c r="F72" i="5"/>
  <c r="F73" i="5"/>
  <c r="F74" i="5"/>
  <c r="F75" i="5"/>
  <c r="F76" i="5"/>
  <c r="F77" i="5"/>
  <c r="F78" i="5"/>
  <c r="F79" i="5"/>
  <c r="F80" i="5"/>
  <c r="F81" i="5"/>
  <c r="F82" i="5"/>
  <c r="F83" i="5"/>
  <c r="E85" i="5"/>
  <c r="F85" i="5"/>
  <c r="F19" i="5" s="1"/>
  <c r="E87" i="5"/>
  <c r="E88" i="5"/>
  <c r="E89" i="5"/>
  <c r="E90" i="5"/>
  <c r="G90" i="5" s="1"/>
  <c r="E91" i="5"/>
  <c r="F87" i="5"/>
  <c r="F88" i="5"/>
  <c r="F89" i="5"/>
  <c r="F90" i="5"/>
  <c r="F91" i="5"/>
  <c r="G91" i="5" s="1"/>
  <c r="E94" i="5"/>
  <c r="E21" i="5" s="1"/>
  <c r="G21" i="5" s="1"/>
  <c r="D25" i="4" s="1"/>
  <c r="F94" i="5"/>
  <c r="F21" i="5" s="1"/>
  <c r="E96" i="5"/>
  <c r="D41" i="4"/>
  <c r="F41" i="4" s="1"/>
  <c r="E41" i="4"/>
  <c r="D47" i="4"/>
  <c r="E47" i="4"/>
  <c r="F47" i="4" s="1"/>
  <c r="F31" i="5"/>
  <c r="F33" i="5"/>
  <c r="E42" i="4"/>
  <c r="E43" i="4"/>
  <c r="E44" i="4"/>
  <c r="E45" i="4"/>
  <c r="E46" i="4"/>
  <c r="E48" i="4"/>
  <c r="F39" i="5"/>
  <c r="H36" i="3"/>
  <c r="D26" i="4"/>
  <c r="E22" i="5"/>
  <c r="H27" i="4" s="1"/>
  <c r="D36" i="4"/>
  <c r="A88" i="7"/>
  <c r="B88" i="7"/>
  <c r="G27" i="3" s="1"/>
  <c r="A89" i="7"/>
  <c r="B89" i="7" s="1"/>
  <c r="D79" i="4"/>
  <c r="F27" i="3"/>
  <c r="D80" i="4"/>
  <c r="F28" i="3" s="1"/>
  <c r="I28" i="3" s="1"/>
  <c r="G28" i="3"/>
  <c r="E98" i="5"/>
  <c r="B33" i="8" s="1"/>
  <c r="F98" i="5"/>
  <c r="B4" i="3"/>
  <c r="F22" i="3"/>
  <c r="I22" i="3" s="1"/>
  <c r="H28" i="3"/>
  <c r="H27" i="3"/>
  <c r="D48" i="4"/>
  <c r="B71" i="7"/>
  <c r="B70" i="7"/>
  <c r="E33" i="5" s="1"/>
  <c r="D35" i="5"/>
  <c r="D33" i="5"/>
  <c r="C33" i="5" s="1"/>
  <c r="E38" i="5"/>
  <c r="B35" i="8" s="1"/>
  <c r="F38" i="5"/>
  <c r="C38" i="5" s="1"/>
  <c r="B23" i="8"/>
  <c r="D42" i="4"/>
  <c r="D43" i="4"/>
  <c r="D44" i="4"/>
  <c r="D45" i="4"/>
  <c r="D46" i="4"/>
  <c r="E4" i="9"/>
  <c r="B6" i="9"/>
  <c r="B69" i="7"/>
  <c r="F36" i="5"/>
  <c r="C36" i="5"/>
  <c r="G36" i="5"/>
  <c r="B13" i="9"/>
  <c r="D17" i="4" s="1"/>
  <c r="B34" i="4" s="1"/>
  <c r="B5" i="9"/>
  <c r="F3" i="3"/>
  <c r="N17" i="7"/>
  <c r="B12" i="9"/>
  <c r="B10" i="9"/>
  <c r="A21" i="8" s="1"/>
  <c r="B9" i="9"/>
  <c r="A32" i="8" s="1"/>
  <c r="B7" i="9"/>
  <c r="B4" i="9"/>
  <c r="I18" i="9"/>
  <c r="B91" i="7"/>
  <c r="I37" i="3"/>
  <c r="F22" i="9"/>
  <c r="B10" i="8"/>
  <c r="B9" i="8"/>
  <c r="B8" i="8"/>
  <c r="B7" i="8"/>
  <c r="F9" i="5"/>
  <c r="F10" i="4" s="1"/>
  <c r="F8" i="5"/>
  <c r="B9" i="5"/>
  <c r="B8" i="5"/>
  <c r="B7" i="5"/>
  <c r="D72" i="7"/>
  <c r="I17" i="9"/>
  <c r="I22" i="9"/>
  <c r="I21" i="9"/>
  <c r="I20" i="9"/>
  <c r="I19" i="9"/>
  <c r="B11" i="9"/>
  <c r="D73" i="7" s="1"/>
  <c r="F21" i="9"/>
  <c r="F20" i="9"/>
  <c r="F19" i="9"/>
  <c r="B8" i="9"/>
  <c r="H13" i="3"/>
  <c r="I13" i="3" s="1"/>
  <c r="M30" i="7" s="1"/>
  <c r="A5" i="5"/>
  <c r="A1" i="8"/>
  <c r="P26" i="7"/>
  <c r="P24" i="7"/>
  <c r="P23" i="7"/>
  <c r="P22" i="7"/>
  <c r="P21" i="7"/>
  <c r="P20" i="7"/>
  <c r="M19" i="7"/>
  <c r="M20" i="7"/>
  <c r="M21" i="7"/>
  <c r="N21" i="7"/>
  <c r="M22" i="7"/>
  <c r="M23" i="7"/>
  <c r="M24" i="7"/>
  <c r="M25" i="7"/>
  <c r="C60" i="7"/>
  <c r="B60" i="7"/>
  <c r="A60" i="7"/>
  <c r="A5" i="4"/>
  <c r="A4" i="5"/>
  <c r="D49" i="4"/>
  <c r="A5" i="8"/>
  <c r="A7" i="4"/>
  <c r="G38" i="5"/>
  <c r="G22" i="5"/>
  <c r="E25" i="5"/>
  <c r="F25" i="5"/>
  <c r="G25" i="5"/>
  <c r="E26" i="5"/>
  <c r="F26" i="5"/>
  <c r="D48" i="5"/>
  <c r="D49" i="5"/>
  <c r="D52" i="5"/>
  <c r="D53" i="5"/>
  <c r="C53" i="5" s="1"/>
  <c r="D54" i="5"/>
  <c r="C54" i="5" s="1"/>
  <c r="D55" i="5"/>
  <c r="C55" i="5"/>
  <c r="D56" i="5"/>
  <c r="D59" i="5"/>
  <c r="D60" i="5"/>
  <c r="D61" i="5"/>
  <c r="D62" i="5"/>
  <c r="D67" i="5" s="1"/>
  <c r="D17" i="5" s="1"/>
  <c r="D63" i="5"/>
  <c r="D64" i="5"/>
  <c r="D65" i="5"/>
  <c r="D66" i="5"/>
  <c r="D69" i="5"/>
  <c r="D70" i="5"/>
  <c r="C70" i="5" s="1"/>
  <c r="D71" i="5"/>
  <c r="D72" i="5"/>
  <c r="D73" i="5"/>
  <c r="C73" i="5" s="1"/>
  <c r="D74" i="5"/>
  <c r="C74" i="5" s="1"/>
  <c r="D75" i="5"/>
  <c r="D76" i="5"/>
  <c r="D77" i="5"/>
  <c r="C77" i="5" s="1"/>
  <c r="D78" i="5"/>
  <c r="C78" i="5" s="1"/>
  <c r="D79" i="5"/>
  <c r="D80" i="5"/>
  <c r="D81" i="5"/>
  <c r="C81" i="5" s="1"/>
  <c r="D82" i="5"/>
  <c r="C82" i="5" s="1"/>
  <c r="D83" i="5"/>
  <c r="D85" i="5"/>
  <c r="D19" i="5" s="1"/>
  <c r="D87" i="5"/>
  <c r="C87" i="5" s="1"/>
  <c r="D88" i="5"/>
  <c r="C88" i="5" s="1"/>
  <c r="D89" i="5"/>
  <c r="D90" i="5"/>
  <c r="D91" i="5"/>
  <c r="C91" i="5" s="1"/>
  <c r="D92" i="5"/>
  <c r="D20" i="5" s="1"/>
  <c r="D94" i="5"/>
  <c r="D21" i="5"/>
  <c r="C21" i="5" s="1"/>
  <c r="D25" i="5"/>
  <c r="D26" i="5"/>
  <c r="C22" i="5"/>
  <c r="D39" i="5"/>
  <c r="D38" i="5"/>
  <c r="G96" i="5"/>
  <c r="C96" i="5"/>
  <c r="G94" i="5"/>
  <c r="G52" i="5"/>
  <c r="G53" i="5"/>
  <c r="G54" i="5"/>
  <c r="G57" i="5" s="1"/>
  <c r="G55" i="5"/>
  <c r="G56" i="5"/>
  <c r="G59" i="5"/>
  <c r="G60" i="5"/>
  <c r="G62" i="5"/>
  <c r="G63" i="5"/>
  <c r="G64" i="5"/>
  <c r="G66" i="5"/>
  <c r="G69" i="5"/>
  <c r="G70" i="5"/>
  <c r="G71" i="5"/>
  <c r="G84" i="5" s="1"/>
  <c r="G72" i="5"/>
  <c r="G73" i="5"/>
  <c r="G74" i="5"/>
  <c r="G75" i="5"/>
  <c r="G76" i="5"/>
  <c r="G77" i="5"/>
  <c r="G78" i="5"/>
  <c r="G79" i="5"/>
  <c r="G80" i="5"/>
  <c r="G81" i="5"/>
  <c r="G82" i="5"/>
  <c r="G83" i="5"/>
  <c r="G88" i="5"/>
  <c r="G89" i="5"/>
  <c r="C56" i="5"/>
  <c r="C59" i="5"/>
  <c r="C60" i="5"/>
  <c r="C63" i="5"/>
  <c r="C64" i="5"/>
  <c r="C66" i="5"/>
  <c r="C71" i="5"/>
  <c r="C72" i="5"/>
  <c r="C75" i="5"/>
  <c r="C76" i="5"/>
  <c r="C79" i="5"/>
  <c r="C80" i="5"/>
  <c r="C83" i="5"/>
  <c r="C89" i="5"/>
  <c r="C90" i="5"/>
  <c r="G48" i="5"/>
  <c r="G50" i="5" s="1"/>
  <c r="G49" i="5"/>
  <c r="G39" i="5"/>
  <c r="C39" i="5"/>
  <c r="J6" i="3"/>
  <c r="F9" i="4"/>
  <c r="H6" i="3" s="1"/>
  <c r="B10" i="4"/>
  <c r="B9" i="4"/>
  <c r="C5" i="3" s="1"/>
  <c r="J760" i="4"/>
  <c r="K777" i="4"/>
  <c r="K796" i="4"/>
  <c r="B34" i="8"/>
  <c r="B22" i="8"/>
  <c r="C39" i="3"/>
  <c r="C6" i="3"/>
  <c r="AC107" i="3"/>
  <c r="I27" i="3"/>
  <c r="H15" i="3"/>
  <c r="I15" i="3" s="1"/>
  <c r="M32" i="7" s="1"/>
  <c r="N23" i="7"/>
  <c r="E36" i="3"/>
  <c r="D19" i="8"/>
  <c r="B19" i="8"/>
  <c r="I38" i="3"/>
  <c r="C71" i="7"/>
  <c r="F35" i="5" s="1"/>
  <c r="E32" i="5"/>
  <c r="E29" i="5"/>
  <c r="E31" i="5"/>
  <c r="D29" i="5"/>
  <c r="D30" i="5"/>
  <c r="D32" i="5"/>
  <c r="D69" i="7"/>
  <c r="E35" i="5"/>
  <c r="G35" i="5" s="1"/>
  <c r="G33" i="5"/>
  <c r="G22" i="3"/>
  <c r="P25" i="7"/>
  <c r="C49" i="5"/>
  <c r="C85" i="5"/>
  <c r="C25" i="5"/>
  <c r="E27" i="4"/>
  <c r="F27" i="4"/>
  <c r="C33" i="8" s="1"/>
  <c r="C36" i="3"/>
  <c r="C12" i="3" s="1"/>
  <c r="B33" i="4"/>
  <c r="C37" i="3"/>
  <c r="B12" i="3" s="1"/>
  <c r="C22" i="8"/>
  <c r="G67" i="5" l="1"/>
  <c r="C38" i="3"/>
  <c r="C34" i="8"/>
  <c r="D59" i="4"/>
  <c r="G17" i="5"/>
  <c r="D21" i="4" s="1"/>
  <c r="D60" i="4"/>
  <c r="D84" i="5"/>
  <c r="D18" i="5" s="1"/>
  <c r="C18" i="5" s="1"/>
  <c r="D57" i="5"/>
  <c r="G26" i="5"/>
  <c r="C26" i="5"/>
  <c r="C35" i="5"/>
  <c r="H14" i="3"/>
  <c r="F49" i="4"/>
  <c r="D33" i="8"/>
  <c r="D22" i="8"/>
  <c r="B35" i="4"/>
  <c r="G31" i="5"/>
  <c r="C62" i="5"/>
  <c r="F29" i="5"/>
  <c r="E30" i="5"/>
  <c r="D70" i="7"/>
  <c r="D31" i="5"/>
  <c r="C31" i="5" s="1"/>
  <c r="F30" i="5"/>
  <c r="F92" i="5"/>
  <c r="F20" i="5" s="1"/>
  <c r="G87" i="5"/>
  <c r="G92" i="5" s="1"/>
  <c r="G93" i="5" s="1"/>
  <c r="E19" i="5"/>
  <c r="G85" i="5"/>
  <c r="G18" i="5"/>
  <c r="D22" i="4" s="1"/>
  <c r="F23" i="5"/>
  <c r="C94" i="5"/>
  <c r="P19" i="7"/>
  <c r="E34" i="5"/>
  <c r="I36" i="3"/>
  <c r="C52" i="5"/>
  <c r="C57" i="5" s="1"/>
  <c r="D50" i="5"/>
  <c r="D15" i="5" s="1"/>
  <c r="C48" i="5"/>
  <c r="C50" i="5" s="1"/>
  <c r="E92" i="5"/>
  <c r="E20" i="5" s="1"/>
  <c r="F84" i="5"/>
  <c r="F18" i="5" s="1"/>
  <c r="G32" i="5"/>
  <c r="C92" i="5"/>
  <c r="F32" i="5"/>
  <c r="C32" i="5" s="1"/>
  <c r="E49" i="4"/>
  <c r="D54" i="4" s="1"/>
  <c r="G65" i="5"/>
  <c r="C65" i="5"/>
  <c r="F67" i="5"/>
  <c r="F17" i="5" s="1"/>
  <c r="C17" i="5" s="1"/>
  <c r="G61" i="5"/>
  <c r="C61" i="5"/>
  <c r="C67" i="5" s="1"/>
  <c r="G16" i="5"/>
  <c r="D20" i="4" s="1"/>
  <c r="G15" i="5"/>
  <c r="C69" i="5"/>
  <c r="C84" i="5" s="1"/>
  <c r="H37" i="3" l="1"/>
  <c r="F54" i="4"/>
  <c r="C32" i="8" s="1"/>
  <c r="D63" i="4"/>
  <c r="D34" i="5"/>
  <c r="D37" i="5" s="1"/>
  <c r="C93" i="5"/>
  <c r="F93" i="5"/>
  <c r="F95" i="5" s="1"/>
  <c r="F97" i="5" s="1"/>
  <c r="G30" i="5"/>
  <c r="C30" i="5"/>
  <c r="E93" i="5"/>
  <c r="E95" i="5" s="1"/>
  <c r="I14" i="3"/>
  <c r="M31" i="7" s="1"/>
  <c r="N22" i="7"/>
  <c r="E37" i="5"/>
  <c r="B32" i="8" s="1"/>
  <c r="B20" i="8"/>
  <c r="E30" i="3"/>
  <c r="F41" i="5"/>
  <c r="F27" i="5"/>
  <c r="C15" i="5"/>
  <c r="C23" i="5" s="1"/>
  <c r="D23" i="5"/>
  <c r="D19" i="4"/>
  <c r="G23" i="5"/>
  <c r="G20" i="5"/>
  <c r="D24" i="4" s="1"/>
  <c r="G19" i="5"/>
  <c r="D23" i="4" s="1"/>
  <c r="C19" i="5"/>
  <c r="F34" i="5"/>
  <c r="C29" i="5"/>
  <c r="C34" i="5" s="1"/>
  <c r="C37" i="5" s="1"/>
  <c r="E23" i="5"/>
  <c r="D16" i="5"/>
  <c r="C16" i="5" s="1"/>
  <c r="D93" i="5"/>
  <c r="D95" i="5" s="1"/>
  <c r="D97" i="5" s="1"/>
  <c r="G29" i="5"/>
  <c r="C13" i="3"/>
  <c r="D34" i="8"/>
  <c r="H16" i="3"/>
  <c r="C20" i="5"/>
  <c r="E27" i="5" l="1"/>
  <c r="E41" i="5"/>
  <c r="B31" i="8"/>
  <c r="E40" i="5"/>
  <c r="H35" i="3"/>
  <c r="I31" i="3" s="1"/>
  <c r="E97" i="5"/>
  <c r="C95" i="5"/>
  <c r="C97" i="5" s="1"/>
  <c r="G95" i="5"/>
  <c r="G97" i="5" s="1"/>
  <c r="D27" i="5"/>
  <c r="D40" i="5"/>
  <c r="D41" i="5"/>
  <c r="E38" i="3"/>
  <c r="D32" i="8"/>
  <c r="C15" i="3"/>
  <c r="E37" i="3"/>
  <c r="N24" i="7"/>
  <c r="I16" i="3"/>
  <c r="M33" i="7" s="1"/>
  <c r="C54" i="4"/>
  <c r="E54" i="4" s="1"/>
  <c r="F37" i="5"/>
  <c r="G27" i="5"/>
  <c r="G41" i="5"/>
  <c r="G40" i="5"/>
  <c r="C40" i="5"/>
  <c r="C27" i="5"/>
  <c r="C41" i="5"/>
  <c r="D27" i="4"/>
  <c r="E31" i="3"/>
  <c r="G34" i="5"/>
  <c r="G37" i="5" s="1"/>
  <c r="H38" i="3" l="1"/>
  <c r="C21" i="8"/>
  <c r="F55" i="4"/>
  <c r="D34" i="4" s="1"/>
  <c r="E40" i="3"/>
  <c r="E32" i="3" s="1"/>
  <c r="B21" i="8"/>
  <c r="F40" i="5"/>
  <c r="G27" i="4"/>
  <c r="D33" i="4" s="1"/>
  <c r="F32" i="3"/>
  <c r="E39" i="3"/>
  <c r="H39" i="3"/>
  <c r="E34" i="3" l="1"/>
  <c r="H17" i="3" s="1"/>
  <c r="D20" i="8"/>
  <c r="D31" i="8"/>
  <c r="E33" i="3"/>
  <c r="G56" i="4"/>
  <c r="H12" i="3" s="1"/>
  <c r="D35" i="4"/>
  <c r="D58" i="4" s="1"/>
  <c r="D61" i="4" s="1"/>
  <c r="D21" i="8"/>
  <c r="H11" i="3"/>
  <c r="H40" i="3"/>
  <c r="B15" i="3"/>
  <c r="C40" i="3"/>
  <c r="D62" i="4" l="1"/>
  <c r="H31" i="3" s="1"/>
  <c r="H30" i="3" s="1"/>
  <c r="C31" i="8"/>
  <c r="C11" i="3"/>
  <c r="C14" i="3" s="1"/>
  <c r="C16" i="3" s="1"/>
  <c r="D64" i="4"/>
  <c r="B11" i="3"/>
  <c r="B14" i="3" s="1"/>
  <c r="B16" i="3" s="1"/>
  <c r="N20" i="7"/>
  <c r="I12" i="3"/>
  <c r="M29" i="7" s="1"/>
  <c r="I11" i="3"/>
  <c r="M28" i="7" s="1"/>
  <c r="N19" i="7"/>
  <c r="N25" i="7"/>
  <c r="I17" i="3"/>
  <c r="M34" i="7" s="1"/>
  <c r="D65" i="4" l="1"/>
  <c r="D68" i="4"/>
  <c r="D66" i="4"/>
  <c r="D69" i="4"/>
  <c r="D71" i="4" l="1"/>
  <c r="D72" i="4"/>
  <c r="D74" i="4" s="1"/>
  <c r="D75" i="4" l="1"/>
  <c r="D76" i="4" s="1"/>
  <c r="D83" i="4" l="1"/>
  <c r="F24" i="3"/>
  <c r="I24" i="3" l="1"/>
  <c r="G24" i="3"/>
  <c r="F30" i="3"/>
  <c r="I30" i="3" s="1"/>
  <c r="F31" i="3" l="1"/>
  <c r="I32" i="3" l="1"/>
  <c r="F33" i="3"/>
  <c r="G31" i="3"/>
  <c r="G30" i="3" s="1"/>
  <c r="F34" i="3"/>
  <c r="I34" i="3" l="1"/>
  <c r="I33" i="3"/>
</calcChain>
</file>

<file path=xl/comments1.xml><?xml version="1.0" encoding="utf-8"?>
<comments xmlns="http://schemas.openxmlformats.org/spreadsheetml/2006/main">
  <authors>
    <author>cdicely</author>
  </authors>
  <commentList>
    <comment ref="B15" authorId="0" shapeId="0">
      <text>
        <r>
          <rPr>
            <sz val="8"/>
            <color indexed="81"/>
            <rFont val="Tahoma"/>
            <family val="2"/>
          </rPr>
          <t>Enter the Program Code(s) from the Paradox Fiscal Detail for the NNA programs included on these forms.</t>
        </r>
        <r>
          <rPr>
            <sz val="8"/>
            <color indexed="81"/>
            <rFont val="Tahoma"/>
            <family val="2"/>
          </rPr>
          <t xml:space="preserve">
</t>
        </r>
      </text>
    </comment>
    <comment ref="E19" authorId="0" shapeId="0">
      <text>
        <r>
          <rPr>
            <sz val="8"/>
            <color indexed="81"/>
            <rFont val="Tahoma"/>
            <family val="2"/>
          </rPr>
          <t>Fiscal detail in Paradox must match the amounts on the OK Worksheet. Review to insure that these amounts match.</t>
        </r>
      </text>
    </comment>
    <comment ref="E20" authorId="0" shapeId="0">
      <text>
        <r>
          <rPr>
            <sz val="8"/>
            <color indexed="81"/>
            <rFont val="Tahoma"/>
            <family val="2"/>
          </rPr>
          <t>Fiscal detail in Paradox must match the amounts on the OK Worksheet. Review to insure that these amounts match.</t>
        </r>
      </text>
    </comment>
    <comment ref="E21" authorId="0" shapeId="0">
      <text>
        <r>
          <rPr>
            <sz val="8"/>
            <color indexed="81"/>
            <rFont val="Tahoma"/>
            <family val="2"/>
          </rPr>
          <t>Fiscal detail in Paradox must match the amounts on the OK Worksheet. Review to insure that these amounts match.</t>
        </r>
      </text>
    </comment>
    <comment ref="E22" authorId="0" shapeId="0">
      <text>
        <r>
          <rPr>
            <sz val="8"/>
            <color indexed="81"/>
            <rFont val="Tahoma"/>
            <family val="2"/>
          </rPr>
          <t>Fiscal detail in Paradox must match the amounts on the OK Worksheet. Review to insure that these amounts match.</t>
        </r>
      </text>
    </comment>
    <comment ref="E23" authorId="0" shapeId="0">
      <text>
        <r>
          <rPr>
            <sz val="8"/>
            <color indexed="81"/>
            <rFont val="Tahoma"/>
            <family val="2"/>
          </rPr>
          <t>Fiscal detail in Paradox must match the amounts on the OK Worksheet. Review to insure that these amounts match.</t>
        </r>
      </text>
    </comment>
    <comment ref="B27" authorId="0" shapeId="0">
      <text>
        <r>
          <rPr>
            <sz val="8"/>
            <color indexed="81"/>
            <rFont val="Tahoma"/>
            <family val="2"/>
          </rPr>
          <t>Enter the Program Code(s) from the Paradox Fiscal Detail for the DMC programs included on these forms.</t>
        </r>
      </text>
    </comment>
    <comment ref="E31" authorId="0" shapeId="0">
      <text>
        <r>
          <rPr>
            <sz val="8"/>
            <color indexed="81"/>
            <rFont val="Tahoma"/>
            <family val="2"/>
          </rPr>
          <t>Fiscal detail in Paradox must match the amounts on the OK Worksheet. Review to insure that these amounts match.</t>
        </r>
      </text>
    </comment>
    <comment ref="E32" authorId="0" shapeId="0">
      <text>
        <r>
          <rPr>
            <sz val="8"/>
            <color indexed="81"/>
            <rFont val="Tahoma"/>
            <family val="2"/>
          </rPr>
          <t>Fiscal detail in Paradox must match the amounts on the OK Worksheet. Review to insure that these amounts match.</t>
        </r>
      </text>
    </comment>
    <comment ref="E33" authorId="0" shapeId="0">
      <text>
        <r>
          <rPr>
            <sz val="8"/>
            <color indexed="81"/>
            <rFont val="Tahoma"/>
            <family val="2"/>
          </rPr>
          <t>Fiscal detail in Paradox must match the amounts on the OK Worksheet. Review to insure that these amounts match.</t>
        </r>
      </text>
    </comment>
    <comment ref="E34" authorId="0" shapeId="0">
      <text>
        <r>
          <rPr>
            <sz val="8"/>
            <color indexed="81"/>
            <rFont val="Tahoma"/>
            <family val="2"/>
          </rPr>
          <t>Fiscal detail in Paradox must match the amounts on the OK Worksheet. Review to insure that these amounts match.</t>
        </r>
      </text>
    </comment>
    <comment ref="E35" authorId="0" shapeId="0">
      <text>
        <r>
          <rPr>
            <sz val="8"/>
            <color indexed="81"/>
            <rFont val="Tahoma"/>
            <family val="2"/>
          </rPr>
          <t>Fiscal detail in Paradox must match the amounts on the OK Worksheet. Review to insure that these amounts match.</t>
        </r>
      </text>
    </comment>
  </commentList>
</comments>
</file>

<file path=xl/comments2.xml><?xml version="1.0" encoding="utf-8"?>
<comments xmlns="http://schemas.openxmlformats.org/spreadsheetml/2006/main">
  <authors>
    <author>elee</author>
  </authors>
  <commentList>
    <comment ref="E32" authorId="0" shapeId="0">
      <text>
        <r>
          <rPr>
            <sz val="8"/>
            <color indexed="81"/>
            <rFont val="Tahoma"/>
            <family val="2"/>
          </rPr>
          <t xml:space="preserve">The Form 7895, 7990, Comparison Worksheet, and the Paradox Fiscal Detail for the NNA Program(s) must match this amount..
</t>
        </r>
      </text>
    </comment>
    <comment ref="F32" authorId="0" shapeId="0">
      <text>
        <r>
          <rPr>
            <sz val="8"/>
            <color indexed="81"/>
            <rFont val="Tahoma"/>
            <family val="2"/>
          </rPr>
          <t xml:space="preserve">The Form 7895, 7990, Comparison Worksheet, and the Paradox Fiscal Detail for the NNA Program(s) must match this amount..
</t>
        </r>
      </text>
    </comment>
    <comment ref="E34" authorId="0" shapeId="0">
      <text>
        <r>
          <rPr>
            <sz val="8"/>
            <color indexed="81"/>
            <rFont val="Tahoma"/>
            <family val="2"/>
          </rPr>
          <t>If there is a positive or negative amount shown, a funding shift is required. You must increase or decrease cost by this amount for one or more of the NNA expenditure lines on the</t>
        </r>
        <r>
          <rPr>
            <sz val="8"/>
            <color indexed="81"/>
            <rFont val="Tahoma"/>
            <family val="2"/>
          </rPr>
          <t xml:space="preserve"> </t>
        </r>
        <r>
          <rPr>
            <b/>
            <u/>
            <sz val="8"/>
            <color indexed="81"/>
            <rFont val="Tahoma"/>
            <family val="2"/>
          </rPr>
          <t>Data Entry Sheet</t>
        </r>
        <r>
          <rPr>
            <sz val="8"/>
            <color indexed="81"/>
            <rFont val="Tahoma"/>
            <family val="2"/>
          </rPr>
          <t xml:space="preserve">. Once this adjustment is made, there should be a "zero" in this box.
The total amount for the NNA Program(s) should now be correct. The Total NNA Cost on Form 7895, 7990, Comparison Worksheet, and Fiscal Detail should match the total on this Fund Worksheet.
</t>
        </r>
      </text>
    </comment>
    <comment ref="F34" authorId="0" shapeId="0">
      <text>
        <r>
          <rPr>
            <sz val="8"/>
            <color indexed="81"/>
            <rFont val="Tahoma"/>
            <family val="2"/>
          </rPr>
          <t xml:space="preserve">If there is a positive or negative amount shown, a funding shift is required. You must increase or decrease cost by this amount for one or more of the DMC expenditure lines on the </t>
        </r>
        <r>
          <rPr>
            <b/>
            <u/>
            <sz val="8"/>
            <color indexed="81"/>
            <rFont val="Tahoma"/>
            <family val="2"/>
          </rPr>
          <t>Data Entry Sheet</t>
        </r>
        <r>
          <rPr>
            <sz val="8"/>
            <color indexed="81"/>
            <rFont val="Tahoma"/>
            <family val="2"/>
          </rPr>
          <t xml:space="preserve">. Once this adjustment is made, there should be a "zero" in this box.
The total amount for the DMC Program(s) should now be correct. The Total DMC Cost on Form 7895, 7990, Comparison Worksheet, and Fiscal Detail should match the total on this Fund Worksheet.
</t>
        </r>
      </text>
    </comment>
  </commentList>
</comments>
</file>

<file path=xl/comments3.xml><?xml version="1.0" encoding="utf-8"?>
<comments xmlns="http://schemas.openxmlformats.org/spreadsheetml/2006/main">
  <authors>
    <author>lfong</author>
    <author>cdicely</author>
    <author>elee</author>
  </authors>
  <commentList>
    <comment ref="B69"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C69" authorId="1" shapeId="0">
      <text>
        <r>
          <rPr>
            <sz val="8"/>
            <color indexed="81"/>
            <rFont val="Tahoma"/>
            <family val="2"/>
          </rPr>
          <t xml:space="preserve">NNA/Public Funded units of service reported here </t>
        </r>
        <r>
          <rPr>
            <b/>
            <sz val="8"/>
            <color indexed="81"/>
            <rFont val="Tahoma"/>
            <family val="2"/>
          </rPr>
          <t>exclude</t>
        </r>
        <r>
          <rPr>
            <sz val="8"/>
            <color indexed="81"/>
            <rFont val="Tahoma"/>
            <family val="2"/>
          </rPr>
          <t xml:space="preserve"> units submitted as DMC units but denied or disallowed, which are reported below in the Drug Medi-Cal Reconciliation of Claims (Units) section under the heading Total Claims (Units) Adjusted/Erroneous.</t>
        </r>
      </text>
    </comment>
    <comment ref="B70"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B71" authorId="1"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 The amount will be automatically calculated.</t>
        </r>
      </text>
    </comment>
    <comment ref="C71"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t>
        </r>
      </text>
    </comment>
    <comment ref="A88"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participant fee information entered above.
</t>
        </r>
      </text>
    </comment>
    <comment ref="A89"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third party information entered above.
</t>
        </r>
      </text>
    </comment>
  </commentList>
</comments>
</file>

<file path=xl/sharedStrings.xml><?xml version="1.0" encoding="utf-8"?>
<sst xmlns="http://schemas.openxmlformats.org/spreadsheetml/2006/main" count="574" uniqueCount="434">
  <si>
    <t xml:space="preserve">  MEDI-CAL PROV. NUMBER</t>
  </si>
  <si>
    <t xml:space="preserve">                                                    ADJUSTMENT OF TOTAL COST</t>
  </si>
  <si>
    <t>1</t>
  </si>
  <si>
    <t>2</t>
  </si>
  <si>
    <t>3</t>
  </si>
  <si>
    <t>4</t>
  </si>
  <si>
    <t>5</t>
  </si>
  <si>
    <t>TOTAL</t>
  </si>
  <si>
    <t>ADJUSTED</t>
  </si>
  <si>
    <t>CATEGORY</t>
  </si>
  <si>
    <t>PROVIDER COSTS</t>
  </si>
  <si>
    <t>A.  PERSONNEL SERVICES</t>
  </si>
  <si>
    <t>B.  DIRECT SERVICES</t>
  </si>
  <si>
    <t>C.  EQUIPMENT, MATERIAL, &amp; SUPPLIES</t>
  </si>
  <si>
    <t>D.  OTHER OPERATION EXPENSES</t>
  </si>
  <si>
    <t>E.  PROFESSIONAL &amp; SPECIAL SERVICES</t>
  </si>
  <si>
    <t>F.  TRANSPORTATION</t>
  </si>
  <si>
    <t>G.  INDIRECT COSTS</t>
  </si>
  <si>
    <t>H.  TOTAL COSTS</t>
  </si>
  <si>
    <t xml:space="preserve">                                       MEDI-CAL PROVIDER COST CALCULATION</t>
  </si>
  <si>
    <t>01</t>
  </si>
  <si>
    <t>02</t>
  </si>
  <si>
    <t>03</t>
  </si>
  <si>
    <t>04</t>
  </si>
  <si>
    <t>09</t>
  </si>
  <si>
    <t>10a</t>
  </si>
  <si>
    <t>COUNTY MEDI-CAL ADMINISTRATION</t>
  </si>
  <si>
    <t>10b</t>
  </si>
  <si>
    <t>11</t>
  </si>
  <si>
    <t>TOTAL MEDI-CAL COSTS (Add Lines 9 + 10a + 10b)</t>
  </si>
  <si>
    <t>12</t>
  </si>
  <si>
    <t>13</t>
  </si>
  <si>
    <t>14</t>
  </si>
  <si>
    <t/>
  </si>
  <si>
    <t>14d</t>
  </si>
  <si>
    <t>15</t>
  </si>
  <si>
    <t>LESS:  AMOUNT RECEIVED</t>
  </si>
  <si>
    <t>BALANCE DUE (COUNTY) PROVIDER</t>
  </si>
  <si>
    <t>FILE:</t>
  </si>
  <si>
    <t>xxcc</t>
  </si>
  <si>
    <t>DATE:</t>
  </si>
  <si>
    <t>DATE CREATED:</t>
  </si>
  <si>
    <t>Centers "[----- Your heading -----]" over a range of columns.</t>
  </si>
  <si>
    <t>\H</t>
  </si>
  <si>
    <t>{OnError \H3}{Blank \H6}{Getlabel "Heading? ",\H4}</t>
  </si>
  <si>
    <t>/rnc\H10~{bs}.{?}~{Let \H5,@cols(\H10)}</t>
  </si>
  <si>
    <t>\H2</t>
  </si>
  <si>
    <t>{Let \H6,\H6+1}{Let \H7,\H7+@cellpointer("width")}{IF \H6&lt;\H5}{r}{Branch \H2}</t>
  </si>
  <si>
    <t>{L \H5-1}{Let \H8,\H7-(@length(@cell("contents",\H4))+4)}{ReCalc \H4}{ReCalc \H5}{ReCalc \H6}{ReCalc \H7}{ReCalc \H8}{ReCalc \H9}/rv{bs}\H9~~</t>
  </si>
  <si>
    <t>\H3</t>
  </si>
  <si>
    <t>{Blank \H4}{Blank \H5}{Blank \H6}{Blank \H7}{Blank \H8}{ReCalc \H9}/rnd\H10~{quit}</t>
  </si>
  <si>
    <t>\H4</t>
  </si>
  <si>
    <t>\H5</t>
  </si>
  <si>
    <t>\H6</t>
  </si>
  <si>
    <t>\H7</t>
  </si>
  <si>
    <t>\H8</t>
  </si>
  <si>
    <t>\H9</t>
  </si>
  <si>
    <t>_____________________________________________________________</t>
  </si>
  <si>
    <t>Centers an EXISTING heading over a range of columns.</t>
  </si>
  <si>
    <t>\I</t>
  </si>
  <si>
    <t>{OnError \I3}{Blank \I6}{Let \I4,@trim(@cellpointer("contents"))}</t>
  </si>
  <si>
    <t>/rnc\I10~{bs}.{?}~{Let \I5,@cols(\I10)}</t>
  </si>
  <si>
    <t>\I2</t>
  </si>
  <si>
    <t>{Let \I6,\I6+1}{Let \I7,\I7+@cellpointer("width")}{IF \I6&lt;\I5}{r}{Branch \I2}</t>
  </si>
  <si>
    <t>{L \I5-1}{Let \I8,@int((\I7-@length(@cell("contents",\I4)))/2)}{ReCalc \I4}{ReCalc \I5}{ReCalc \I6}{ReCalc \I7}{ReCalc \I8}{ReCalc \I9}{IF \I8&gt;0}/rv{bs}\I9~~</t>
  </si>
  <si>
    <t>\I3</t>
  </si>
  <si>
    <t>{Blank \I4}{Blank \I5}{Blank \I6}{Blank \I7}{Blank \I8}{ReCalc \I9}/rnd\I10~{quit}</t>
  </si>
  <si>
    <t>\I4</t>
  </si>
  <si>
    <t>\I5</t>
  </si>
  <si>
    <t>\I6</t>
  </si>
  <si>
    <t>\I7</t>
  </si>
  <si>
    <t>\I8</t>
  </si>
  <si>
    <t>\I9</t>
  </si>
  <si>
    <t>DENIED</t>
  </si>
  <si>
    <t>SUBMITTED</t>
  </si>
  <si>
    <t>04a</t>
  </si>
  <si>
    <t>04b</t>
  </si>
  <si>
    <t>COST OF DRUG MEDI-CAL UNITS OF SERVICE</t>
  </si>
  <si>
    <t>DIRECT DMC COSTS</t>
  </si>
  <si>
    <t>DRUG MEDI-CAL ALLOWED (Lesser of Lines 11 or 13)</t>
  </si>
  <si>
    <t>REVENUE FROM DRUG MEDI-CAL UNITS OF SERVICE</t>
  </si>
  <si>
    <t>DRUG MEDI-CAL PROGRAM COST SUMMARY</t>
  </si>
  <si>
    <t>DRUG MEDI-CAL FISCAL DETAIL</t>
  </si>
  <si>
    <t>NET DRUG MEDI-CAL COSTS</t>
  </si>
  <si>
    <t>UNITS</t>
  </si>
  <si>
    <t>DRUG MEDI-CAL (DMC) RECONCILIATION OF CLAIMS (UNITS)</t>
  </si>
  <si>
    <t>TOTAL UNITS</t>
  </si>
  <si>
    <t>COUNTY</t>
  </si>
  <si>
    <t>PROVIDER</t>
  </si>
  <si>
    <t>DMC</t>
  </si>
  <si>
    <t>County:</t>
  </si>
  <si>
    <t>Provider:</t>
  </si>
  <si>
    <t>DMC #</t>
  </si>
  <si>
    <t>DMC Units:</t>
  </si>
  <si>
    <t>Line #</t>
  </si>
  <si>
    <t>Amount</t>
  </si>
  <si>
    <t>Total</t>
  </si>
  <si>
    <t>DMC Cost Per Unit:</t>
  </si>
  <si>
    <t>Total Costs</t>
  </si>
  <si>
    <t>EDITS</t>
  </si>
  <si>
    <t>84</t>
  </si>
  <si>
    <t>Fees / D/MC Share of Costs</t>
  </si>
  <si>
    <t>Insurance</t>
  </si>
  <si>
    <t>Total:</t>
  </si>
  <si>
    <t>FUNDING NEEDED</t>
  </si>
  <si>
    <t>Direct DMC Costs:</t>
  </si>
  <si>
    <t>DMC County Administration</t>
  </si>
  <si>
    <t>Group Sessions:</t>
  </si>
  <si>
    <t>Combined Cost Per Unit:</t>
  </si>
  <si>
    <t>COSTREP</t>
  </si>
  <si>
    <t>04c1</t>
  </si>
  <si>
    <t>04c2</t>
  </si>
  <si>
    <t>04c3</t>
  </si>
  <si>
    <t>TOTAL MEDI-CAL COST PER UNIT (line 11/ Total Adjusted Units Line)</t>
  </si>
  <si>
    <t>14a(1)</t>
  </si>
  <si>
    <t>14a(2)</t>
  </si>
  <si>
    <t>14b(1)</t>
  </si>
  <si>
    <t>14b(2)</t>
  </si>
  <si>
    <t>BEGINNING</t>
  </si>
  <si>
    <t>05</t>
  </si>
  <si>
    <t>UNALLOWABLE</t>
  </si>
  <si>
    <t>FINAL</t>
  </si>
  <si>
    <t>DMC UNITS</t>
  </si>
  <si>
    <t>CONTRACTOR</t>
  </si>
  <si>
    <t>CONTRACT PERIOD</t>
  </si>
  <si>
    <t>MEDI-CAL PROV. NO.</t>
  </si>
  <si>
    <t>A</t>
  </si>
  <si>
    <t>B</t>
  </si>
  <si>
    <t>C</t>
  </si>
  <si>
    <t>D</t>
  </si>
  <si>
    <t>E</t>
  </si>
  <si>
    <t>PRIVATE</t>
  </si>
  <si>
    <t>TOTAL MC/</t>
  </si>
  <si>
    <t xml:space="preserve">                            CATEGORIES  </t>
  </si>
  <si>
    <t>PROGRAM</t>
  </si>
  <si>
    <t>PAY</t>
  </si>
  <si>
    <t>MEDI-CAL</t>
  </si>
  <si>
    <t>FUNDED</t>
  </si>
  <si>
    <t xml:space="preserve">A.  PERSONNEL SERVICES                                                                                                         </t>
  </si>
  <si>
    <t>C.  EQUIPMENT MATERIALS &amp; SUPPLIES</t>
  </si>
  <si>
    <t>D.  OTHER OPERATING EXPENSES</t>
  </si>
  <si>
    <t>G1. COUNTY ADMINISTRATION</t>
  </si>
  <si>
    <t xml:space="preserve">    TOTAL GROSS COSTS</t>
  </si>
  <si>
    <t xml:space="preserve">    REVENUES</t>
  </si>
  <si>
    <t>H.  PARTICIPANT FEES</t>
  </si>
  <si>
    <t>I.  INSURANCE, MEDICARE, &amp; OTHER THIRD PARTY</t>
  </si>
  <si>
    <t xml:space="preserve">    UNITS OF SERVICE</t>
  </si>
  <si>
    <t>L.  INDIVIDUAL FACE TO FACE VISITS</t>
  </si>
  <si>
    <t>M.  GROUP FACE TO FACE VISITS</t>
  </si>
  <si>
    <t>N.  DAYCARE DAY</t>
  </si>
  <si>
    <t>O.  RESIDENTIAL DAY</t>
  </si>
  <si>
    <t>R.  GROUP SESSIONS</t>
  </si>
  <si>
    <t>S.  STAFF HOURS (DIRECT SVCS - COUNSELING, MEDICAL, ETC.)</t>
  </si>
  <si>
    <t>U.  COST PER STAFF HOUR (GROSS COSTS/LINE S)</t>
  </si>
  <si>
    <t>PERSONNEL SERVICES</t>
  </si>
  <si>
    <t xml:space="preserve">  Salaries &amp; Wages                                                                                                             </t>
  </si>
  <si>
    <t xml:space="preserve">  Employee Benefits                                                                                                            </t>
  </si>
  <si>
    <t xml:space="preserve">  TOTAL PERSONNEL SERVICES                                                                                                     </t>
  </si>
  <si>
    <t>DIRECT SERVICES</t>
  </si>
  <si>
    <t xml:space="preserve">  Clothing &amp; Personal Supplies</t>
  </si>
  <si>
    <t xml:space="preserve">  Food                                                                                                                         </t>
  </si>
  <si>
    <t xml:space="preserve">  Laundry Services &amp; Supplies</t>
  </si>
  <si>
    <t xml:space="preserve">  Pharmaceutical                                                                                                               </t>
  </si>
  <si>
    <t xml:space="preserve">  Other (Specify)</t>
  </si>
  <si>
    <t xml:space="preserve">  SUBTOTAL DIRECT SERVICES</t>
  </si>
  <si>
    <t>EQUIPMENT, MATERIALS &amp; SUPPLIES</t>
  </si>
  <si>
    <t xml:space="preserve">  Depreciation-Equipment                                                                                                       </t>
  </si>
  <si>
    <t xml:space="preserve">  Maintenance-Equipment                                                                                                        </t>
  </si>
  <si>
    <t xml:space="preserve">  Medical, Dental, and Labratory Supplies</t>
  </si>
  <si>
    <t xml:space="preserve">  Membership Dues                                                                                                              </t>
  </si>
  <si>
    <t xml:space="preserve">  Rents &amp; Leases Equipment                                                                                                     </t>
  </si>
  <si>
    <t xml:space="preserve">  Small Tools &amp; Instruments                                                                                                    </t>
  </si>
  <si>
    <t xml:space="preserve">  Training                                                                                                                     </t>
  </si>
  <si>
    <t xml:space="preserve">  SUBTOTAL EQUIPMENT, MATERIALS &amp; SUPPLIES</t>
  </si>
  <si>
    <t>OTHER OPERATING EXPENSES</t>
  </si>
  <si>
    <t xml:space="preserve">  Communications                                                                                                               </t>
  </si>
  <si>
    <t xml:space="preserve">  Depreciation-Structures &amp; Improvements</t>
  </si>
  <si>
    <t xml:space="preserve">  Household Expenses                                                                                                           </t>
  </si>
  <si>
    <t xml:space="preserve">  Insurance                                                                                                                    </t>
  </si>
  <si>
    <t xml:space="preserve">  Interest Expense                                                                                                             </t>
  </si>
  <si>
    <t xml:space="preserve">  Leased Property Maintenance, Structures Improvements &amp; Grounds</t>
  </si>
  <si>
    <t xml:space="preserve">  Maintenance-Structures, Improvements &amp; Grounds</t>
  </si>
  <si>
    <t xml:space="preserve">  Miscellaneous Expense                                                                                                        </t>
  </si>
  <si>
    <t xml:space="preserve">  Office Expense                                                                                                               </t>
  </si>
  <si>
    <t xml:space="preserve">  Publications and Legal Notices</t>
  </si>
  <si>
    <t xml:space="preserve">  Rents &amp; Leases-Land, Structures &amp; Improvements</t>
  </si>
  <si>
    <t xml:space="preserve">  Taxes &amp; Licenses                                                                                                             </t>
  </si>
  <si>
    <t xml:space="preserve">  Drug Screenings &amp; Other Testing</t>
  </si>
  <si>
    <t xml:space="preserve">  Utilities                                                                                                                    </t>
  </si>
  <si>
    <t xml:space="preserve">  SUBTOTAL OTHER OPERATING EXPENSES</t>
  </si>
  <si>
    <t>PROFESSIONAL &amp; SPECIAL SERVICES</t>
  </si>
  <si>
    <t>TRANSPORTATION</t>
  </si>
  <si>
    <t xml:space="preserve">  Transportation                                                                                                               </t>
  </si>
  <si>
    <t xml:space="preserve">  Travel                                                                                                                       </t>
  </si>
  <si>
    <t xml:space="preserve">  Gas, Oil, &amp; Maintenance - Vehicles</t>
  </si>
  <si>
    <t xml:space="preserve">  Rents &amp; Leases-Vehicles                                                                                                      </t>
  </si>
  <si>
    <t xml:space="preserve">  Depreciation-Vehicles                                                                                                        </t>
  </si>
  <si>
    <t xml:space="preserve">  SUBTOTAL TRANSPORTATION</t>
  </si>
  <si>
    <t xml:space="preserve">  TOTAL NONPERSONNEL                                                                                                           </t>
  </si>
  <si>
    <t xml:space="preserve">  Indirect Costs                                                                                                               </t>
  </si>
  <si>
    <t>PROVIDER TOTAL</t>
  </si>
  <si>
    <t>OVERALL TOTAL</t>
  </si>
  <si>
    <t>DMC COUNTY ADMINISTRATION TOTAL</t>
  </si>
  <si>
    <t>SUBTOTAL</t>
  </si>
  <si>
    <t>Q1.  ADJUSTMENT FOR DMC DENIED/UNALLOWABLE UNITS</t>
  </si>
  <si>
    <t>Q2.  ADJUSTED TOTAL</t>
  </si>
  <si>
    <t>REVENUE/FEES  (Share of Costs)</t>
  </si>
  <si>
    <t>G1. DMC COUNTY ADMINISTRATION</t>
  </si>
  <si>
    <t>ADMIN</t>
  </si>
  <si>
    <t>County Name</t>
  </si>
  <si>
    <t>Contractor/Provider Name</t>
  </si>
  <si>
    <t>Contract Period</t>
  </si>
  <si>
    <t>4-digit DMC Number</t>
  </si>
  <si>
    <t>COST INFORMATION</t>
  </si>
  <si>
    <t>Salary and Wages</t>
  </si>
  <si>
    <t>Employee Benefits</t>
  </si>
  <si>
    <t>Direct Services</t>
  </si>
  <si>
    <t>Clothing and Personal Supplies</t>
  </si>
  <si>
    <t>Food</t>
  </si>
  <si>
    <t>Laundry Services and Supplies</t>
  </si>
  <si>
    <t>Pharmaceutical</t>
  </si>
  <si>
    <t xml:space="preserve">Other </t>
  </si>
  <si>
    <t>Equipment, Materials and Supplies</t>
  </si>
  <si>
    <t>Depreciation - Equipment</t>
  </si>
  <si>
    <t>Maintenance - Equipment</t>
  </si>
  <si>
    <t>Medical, Dental and Laboratory Supplies</t>
  </si>
  <si>
    <t>Membership Dues</t>
  </si>
  <si>
    <t>Rent and Lease Equipment</t>
  </si>
  <si>
    <t>Small Tools and Instruments</t>
  </si>
  <si>
    <t>Training</t>
  </si>
  <si>
    <t>Operating Expenses</t>
  </si>
  <si>
    <t>Communications</t>
  </si>
  <si>
    <t>Depreciation - Structures and Improvements</t>
  </si>
  <si>
    <t>Household Expenses</t>
  </si>
  <si>
    <t>Interest Expense</t>
  </si>
  <si>
    <t>Lease Property Maintenance, Structures, Improvements and Grounds</t>
  </si>
  <si>
    <t>Maintenance - Structures, Improvements, and Grounds</t>
  </si>
  <si>
    <t>Miscellaneous Expense</t>
  </si>
  <si>
    <t>Office Expense</t>
  </si>
  <si>
    <t>Publications and Legal Notices</t>
  </si>
  <si>
    <t>Rents &amp; Leases - Land, Structure, and Improvements</t>
  </si>
  <si>
    <t>Taxes and Licenses</t>
  </si>
  <si>
    <t>Drug Screening and Other Testing</t>
  </si>
  <si>
    <t>Utilities</t>
  </si>
  <si>
    <t>Professional and Special Services</t>
  </si>
  <si>
    <t>Transportation</t>
  </si>
  <si>
    <t>Travel</t>
  </si>
  <si>
    <t>Gas, Oil, &amp; Maintenance - Vehicles</t>
  </si>
  <si>
    <t>Rents &amp; Leases - Vehicles</t>
  </si>
  <si>
    <t>Depreciation - Vehicles</t>
  </si>
  <si>
    <t>Other Costs</t>
  </si>
  <si>
    <t>Indirect Costs</t>
  </si>
  <si>
    <t>Individual Face to Face Visits</t>
  </si>
  <si>
    <t>Group Face to Face Visits</t>
  </si>
  <si>
    <t>Residential Day</t>
  </si>
  <si>
    <t>Drug Medi-Cal Reconciliation of Claims (Units)</t>
  </si>
  <si>
    <t>Revenue from Drug Medi-Cal Units of Service</t>
  </si>
  <si>
    <t>Revenue/Fees (Share of Costs)</t>
  </si>
  <si>
    <t>Personnel Services</t>
  </si>
  <si>
    <t>Staff Hours</t>
  </si>
  <si>
    <t>Comparison Sheet</t>
  </si>
  <si>
    <t>DMC Number:</t>
  </si>
  <si>
    <t>Type of Information</t>
  </si>
  <si>
    <t>Form 7895</t>
  </si>
  <si>
    <t>Form 7990</t>
  </si>
  <si>
    <t>NA</t>
  </si>
  <si>
    <t>DMC Funding Information</t>
  </si>
  <si>
    <t>DMC Total Costs</t>
  </si>
  <si>
    <t>DMC Direct Costs</t>
  </si>
  <si>
    <r>
      <t xml:space="preserve">DMC County Administration </t>
    </r>
    <r>
      <rPr>
        <b/>
        <sz val="10"/>
        <rFont val="Arial"/>
        <family val="2"/>
      </rPr>
      <t>(REQUIRED)</t>
    </r>
  </si>
  <si>
    <t>FEES, INSURANCE, UNIT INFORMATION</t>
  </si>
  <si>
    <t xml:space="preserve">    NET COSTS (GROSS COSTS LESS LINES H,I)</t>
  </si>
  <si>
    <t>04c</t>
  </si>
  <si>
    <t xml:space="preserve">3nd Reporting Period - April thru June </t>
  </si>
  <si>
    <t>Minor Consent - April thru June - 7N AID Code Clients</t>
  </si>
  <si>
    <t>04c4</t>
  </si>
  <si>
    <t>14c(1)</t>
  </si>
  <si>
    <t>14c(2)</t>
  </si>
  <si>
    <t>Total Cost</t>
  </si>
  <si>
    <t>Less: Direct Cost</t>
  </si>
  <si>
    <t>Less: DMC Admin.</t>
  </si>
  <si>
    <t>Subtotal</t>
  </si>
  <si>
    <t>Units</t>
  </si>
  <si>
    <t>Cost per unit</t>
  </si>
  <si>
    <t>various</t>
  </si>
  <si>
    <t>DIFFERENCE</t>
  </si>
  <si>
    <t>Paradox Fiscal Detail</t>
  </si>
  <si>
    <t>14e</t>
  </si>
  <si>
    <t xml:space="preserve">     Allowed for Apr - June (04c X the lesser line 12 or 4)</t>
  </si>
  <si>
    <t xml:space="preserve">      Allowed for Apr - June (04c3 X the lesser line 12 or 4) - Minor Consent</t>
  </si>
  <si>
    <t>2nd Reporting Period - October thru June</t>
  </si>
  <si>
    <t>REPORT OF EXPENDITURES AND REVENUES</t>
  </si>
  <si>
    <t>SUMMARY</t>
  </si>
  <si>
    <t>Non-Minor Consent - 100% SGF</t>
  </si>
  <si>
    <t>04c5</t>
  </si>
  <si>
    <t>14f</t>
  </si>
  <si>
    <t xml:space="preserve">     Allowed for Non-Minor Consent - 100% SGF</t>
  </si>
  <si>
    <t>Private Pay</t>
  </si>
  <si>
    <t>Drug Medi-Cal</t>
  </si>
  <si>
    <t>DMC County Admin</t>
  </si>
  <si>
    <t>Cost Shifting</t>
  </si>
  <si>
    <t>REMINDER:</t>
  </si>
  <si>
    <t>FUNDING AND UNIT INFORMATION SHOWN ON THIS WORKSHEET SHOULD</t>
  </si>
  <si>
    <t>Denied/Adjusted Total</t>
  </si>
  <si>
    <t>Denied vs. Submitted</t>
  </si>
  <si>
    <t>SMA/Prorated Rate</t>
  </si>
  <si>
    <t>Statewide Maximum Allowable (SMA) Rate</t>
  </si>
  <si>
    <t>Total Units</t>
  </si>
  <si>
    <r>
      <t>IMPORTANT NOTE</t>
    </r>
    <r>
      <rPr>
        <sz val="10"/>
        <rFont val="Arial"/>
      </rPr>
      <t>:  The information in the OK Worksheet column should match the Cost Report Fiscal Detail Pages in Paradox</t>
    </r>
  </si>
  <si>
    <t>Drug Medi-Cal Breakout</t>
  </si>
  <si>
    <t>Title XIX</t>
  </si>
  <si>
    <r>
      <t xml:space="preserve">MAXIMUM DMC ALLOWABLE (Line 4 </t>
    </r>
    <r>
      <rPr>
        <sz val="9"/>
        <color indexed="8"/>
        <rFont val="Arial"/>
        <family val="2"/>
      </rPr>
      <t>×</t>
    </r>
    <r>
      <rPr>
        <sz val="9"/>
        <color indexed="8"/>
        <rFont val="Arial"/>
        <family val="2"/>
      </rPr>
      <t xml:space="preserve"> Total Adjusted Units Line)</t>
    </r>
  </si>
  <si>
    <r>
      <t xml:space="preserve">     Allowed for Oct - June (04b </t>
    </r>
    <r>
      <rPr>
        <sz val="9"/>
        <color indexed="8"/>
        <rFont val="Arial"/>
        <family val="2"/>
      </rPr>
      <t>×</t>
    </r>
    <r>
      <rPr>
        <sz val="9"/>
        <color indexed="8"/>
        <rFont val="Arial"/>
        <family val="2"/>
      </rPr>
      <t xml:space="preserve"> the lesser line 12 or 4)</t>
    </r>
  </si>
  <si>
    <t>STATEWIDE MAXIMUM ALLOWABLE RATE OR PRORATED RATE</t>
  </si>
  <si>
    <t>7990</t>
  </si>
  <si>
    <t>ERROR CHECKING DATA</t>
  </si>
  <si>
    <t>All above cells should have values &gt; 0 if there are no errors</t>
  </si>
  <si>
    <t>OK Worksheet</t>
  </si>
  <si>
    <t>DMC Program Codes</t>
  </si>
  <si>
    <t>Minor Consent</t>
  </si>
  <si>
    <t>Submitted Units</t>
  </si>
  <si>
    <t>Denied Units</t>
  </si>
  <si>
    <t>Adjustment for DMC Denied/Adjusted Units</t>
  </si>
  <si>
    <t>DMC County Administration:</t>
  </si>
  <si>
    <t>DMC Excess Costs:</t>
  </si>
  <si>
    <t xml:space="preserve">Total Costs: </t>
  </si>
  <si>
    <t>Minor Consent - July thru September - Title XIX Clients</t>
  </si>
  <si>
    <t>Minor Consent - October thru June - Title XIX Clients</t>
  </si>
  <si>
    <t>Minor Consent - July thru June - Non-Title XIX Clients</t>
  </si>
  <si>
    <t>DMC Costs:</t>
  </si>
  <si>
    <r>
      <t xml:space="preserve">      Allowed for Oct - June (04c2 </t>
    </r>
    <r>
      <rPr>
        <sz val="9"/>
        <color indexed="8"/>
        <rFont val="Arial"/>
        <family val="2"/>
      </rPr>
      <t>×</t>
    </r>
    <r>
      <rPr>
        <sz val="9"/>
        <color indexed="8"/>
        <rFont val="Arial"/>
        <family val="2"/>
      </rPr>
      <t xml:space="preserve"> the lesser line 12 or 4) - Minor Consent Title XIX</t>
    </r>
  </si>
  <si>
    <r>
      <t xml:space="preserve">     Allowed for July - Sept (04c1 </t>
    </r>
    <r>
      <rPr>
        <sz val="9"/>
        <color indexed="8"/>
        <rFont val="Arial"/>
        <family val="2"/>
      </rPr>
      <t>×</t>
    </r>
    <r>
      <rPr>
        <sz val="9"/>
        <color indexed="8"/>
        <rFont val="Arial"/>
        <family val="2"/>
      </rPr>
      <t xml:space="preserve"> the lesser line 12 or 4) - Minor Consent Title XIX</t>
    </r>
  </si>
  <si>
    <t>DETAIL</t>
  </si>
  <si>
    <t>DMC Max. Allowable:</t>
  </si>
  <si>
    <t>DMC Max. Rate:</t>
  </si>
  <si>
    <t>Funding Source</t>
  </si>
  <si>
    <t>Control Worksheet</t>
  </si>
  <si>
    <t>ODF Group Counseling - Alcohol/Drug</t>
  </si>
  <si>
    <t>ODF Group Counseling - Perinatal</t>
  </si>
  <si>
    <t>ODF Individual Counseling - Alcohol/Drug</t>
  </si>
  <si>
    <t>ODF Individual Counseling - Perinatal</t>
  </si>
  <si>
    <t>Day Care Rehabilitative - Alcohol/Drug</t>
  </si>
  <si>
    <t>Day Care Rehabilitative - Perinatal</t>
  </si>
  <si>
    <t>Service - Program</t>
  </si>
  <si>
    <t>Rate</t>
  </si>
  <si>
    <t>Heading</t>
  </si>
  <si>
    <t>Unit (7895)</t>
  </si>
  <si>
    <t>DMC Unit (Funding)</t>
  </si>
  <si>
    <t>NNA Unit (Funding)</t>
  </si>
  <si>
    <t>Daycare Day</t>
  </si>
  <si>
    <t>Individuals</t>
  </si>
  <si>
    <t xml:space="preserve">Residential - Perinatal </t>
  </si>
  <si>
    <t>COST (Line 3 × Total Adjusted Units Line)</t>
  </si>
  <si>
    <t>Compare NNA?</t>
  </si>
  <si>
    <t>Parameter</t>
  </si>
  <si>
    <t>DMC Unit (Paradox)</t>
  </si>
  <si>
    <t>Per Person (Individuals)</t>
  </si>
  <si>
    <t>NNA Unit (Paradox)</t>
  </si>
  <si>
    <t>Abbreviation</t>
  </si>
  <si>
    <t>DCR-AD</t>
  </si>
  <si>
    <t>DCR-P</t>
  </si>
  <si>
    <t>ODFG-AD</t>
  </si>
  <si>
    <t>ODFG-P</t>
  </si>
  <si>
    <t>ODFI-AD</t>
  </si>
  <si>
    <t>ODFI-P</t>
  </si>
  <si>
    <t>RES-P</t>
  </si>
  <si>
    <t>Day Care Days</t>
  </si>
  <si>
    <t>Residential Days</t>
  </si>
  <si>
    <t>COST REPORT APPLICATION FUNDING WORKSHEET</t>
  </si>
  <si>
    <t>Rate Override?</t>
  </si>
  <si>
    <t>Bed Days (Residential Days)</t>
  </si>
  <si>
    <t>Status</t>
  </si>
  <si>
    <t>Various (funding lines displayed in Paradox Fiscal Detail)*</t>
  </si>
  <si>
    <t>This form must be completed to provide adequate cost data (refer to 42 CFR 413.24 and 45 CFR 96.30).</t>
  </si>
  <si>
    <t>The detail of the service provider's costs must be identified on this form in the appropriate cost categories provided below.</t>
  </si>
  <si>
    <t>Regular Title XIX -2nd Reporting Period - Oct. through Jun.</t>
  </si>
  <si>
    <t xml:space="preserve">Minor Consent Title XIX- July through September </t>
  </si>
  <si>
    <t>Minor Consent Title XIX - October through June</t>
  </si>
  <si>
    <t>Non-Minor Consent  100% SGF - July through June</t>
  </si>
  <si>
    <t>6-digit Provider Number</t>
  </si>
  <si>
    <t>6-DIGIT PROVIDER NO.</t>
  </si>
  <si>
    <t xml:space="preserve">  6-DIGIT PROVIDER NUMBER</t>
  </si>
  <si>
    <t>6-DIGIT PROVIDER #</t>
  </si>
  <si>
    <t>6-Digit Provider Number:</t>
  </si>
  <si>
    <t>Notes</t>
  </si>
  <si>
    <t>DMC Rate</t>
  </si>
  <si>
    <t>15a</t>
  </si>
  <si>
    <t>Prorated or Usual and Customary Rate</t>
  </si>
  <si>
    <t>APPROPRIATE ENTRIES ON THE PARADOX COST REPORT.</t>
  </si>
  <si>
    <r>
      <t xml:space="preserve">BE USED AS THE </t>
    </r>
    <r>
      <rPr>
        <u/>
        <sz val="11"/>
        <rFont val="Arial"/>
        <family val="2"/>
      </rPr>
      <t>SUPPORTING DOCUMENTATION</t>
    </r>
    <r>
      <rPr>
        <sz val="11"/>
        <rFont val="Arial"/>
        <family val="2"/>
      </rPr>
      <t xml:space="preserve"> TO MAKE THE</t>
    </r>
  </si>
  <si>
    <t>P.  OTHER (Specify)  - MINOR CONSENT 100% SGF</t>
  </si>
  <si>
    <t>Q1a. LESS ADJUSTMENTS FOR DENIED UNITS, NO SERVICES PROVIDED</t>
  </si>
  <si>
    <t>Locked</t>
  </si>
  <si>
    <t>Group Sessions</t>
  </si>
  <si>
    <t>INSURANCE / 3rd Party Fees</t>
  </si>
  <si>
    <t>Participant Fees - Funding Line 84</t>
  </si>
  <si>
    <t>Regular Title XIX - Jul 01 through June 30</t>
  </si>
  <si>
    <t>Minor Consent  non-Title XIX - July 01 through June 30</t>
  </si>
  <si>
    <t>T.  COST PER UNIT OF SERVICE (UNITS) (GROSS COSTS/LINE Q2)</t>
  </si>
  <si>
    <t>ADJUSTED
PROGRAM
COSTS</t>
  </si>
  <si>
    <r>
      <t xml:space="preserve">LESS DIRECT
</t>
    </r>
    <r>
      <rPr>
        <b/>
        <sz val="8"/>
        <color indexed="8"/>
        <rFont val="Arial"/>
        <family val="2"/>
      </rPr>
      <t>DMC</t>
    </r>
    <r>
      <rPr>
        <sz val="8"/>
        <color indexed="8"/>
        <rFont val="Arial"/>
        <family val="2"/>
      </rPr>
      <t xml:space="preserve">
COSTS</t>
    </r>
  </si>
  <si>
    <t xml:space="preserve">     Total of 14a(1) and 14d</t>
  </si>
  <si>
    <t>Adjusted Units</t>
  </si>
  <si>
    <r>
      <t xml:space="preserve">Utilize the 
</t>
    </r>
    <r>
      <rPr>
        <b/>
        <sz val="10"/>
        <rFont val="Arial"/>
        <family val="2"/>
      </rPr>
      <t>VOID</t>
    </r>
    <r>
      <rPr>
        <sz val="10"/>
        <rFont val="Arial"/>
      </rPr>
      <t xml:space="preserve"> or </t>
    </r>
    <r>
      <rPr>
        <b/>
        <sz val="10"/>
        <rFont val="Arial"/>
        <family val="2"/>
      </rPr>
      <t>REPLACE</t>
    </r>
    <r>
      <rPr>
        <sz val="10"/>
        <rFont val="Arial"/>
      </rPr>
      <t xml:space="preserve"> 
function in SDMC</t>
    </r>
  </si>
  <si>
    <t>05a</t>
  </si>
  <si>
    <t xml:space="preserve">Title XIX Clients - July thru June </t>
  </si>
  <si>
    <t>40a</t>
  </si>
  <si>
    <t>Drug Medi-Cal (Fed Share Only) Fed Cat#93.778</t>
  </si>
  <si>
    <t>Perinatal Medi-Cal (Fed Share Only) Fed Cat #93.778</t>
  </si>
  <si>
    <t>NET COST (Line 14f minus Line 15 and 15a)</t>
  </si>
  <si>
    <t>DEPARTMENT OF HEALTH CARE SERVICES</t>
  </si>
  <si>
    <t>Data Entry Sheet - FY 2012-13</t>
  </si>
  <si>
    <t>Insurance, Medicare, Other Third Party - Funding Line 85</t>
  </si>
  <si>
    <r>
      <t xml:space="preserve">     Allowed for July 01- June 30 (04a </t>
    </r>
    <r>
      <rPr>
        <sz val="9"/>
        <color indexed="8"/>
        <rFont val="Arial"/>
        <family val="2"/>
      </rPr>
      <t>×</t>
    </r>
    <r>
      <rPr>
        <sz val="9"/>
        <color indexed="8"/>
        <rFont val="Arial"/>
        <family val="2"/>
      </rPr>
      <t xml:space="preserve"> the lesser line 4 or 12)</t>
    </r>
  </si>
  <si>
    <t xml:space="preserve">     Allowed for Minor Consent - Non-Title XIX (04c4 x the lesser line 4 or 12)</t>
  </si>
  <si>
    <t>Non DMC / Public Funded</t>
  </si>
  <si>
    <t xml:space="preserve">Direct Costs (only if both Non DMC and DMC funds are identified) </t>
  </si>
  <si>
    <t>Non DMC / PUBLIC</t>
  </si>
  <si>
    <t>DIRECT COSTS (Only if both Non DMC  and D/MC funding is identified)</t>
  </si>
  <si>
    <r>
      <t xml:space="preserve">LESS DIRECT
</t>
    </r>
    <r>
      <rPr>
        <b/>
        <sz val="8"/>
        <color indexed="8"/>
        <rFont val="Arial"/>
        <family val="2"/>
      </rPr>
      <t>Non DMC</t>
    </r>
    <r>
      <rPr>
        <sz val="8"/>
        <color indexed="8"/>
        <rFont val="Arial"/>
        <family val="2"/>
      </rPr>
      <t xml:space="preserve">
COSTS</t>
    </r>
  </si>
  <si>
    <t>NEGOTIATED NET AMOUNT (Non DMC) UNITS OF SERVICE</t>
  </si>
  <si>
    <t xml:space="preserve">TOTAL Non DMC AND DMC UNITS     </t>
  </si>
  <si>
    <t>Non DMC</t>
  </si>
  <si>
    <t>Non DMC and DMC Adjusted Units of Service</t>
  </si>
  <si>
    <t>Non DMC Staff Hours</t>
  </si>
  <si>
    <t>Direct Non DMC Costs:</t>
  </si>
  <si>
    <t>Non DMC Staff Hours:</t>
  </si>
  <si>
    <t>Non DMC Units:</t>
  </si>
  <si>
    <t>Non DMC Cost Per Unit:</t>
  </si>
  <si>
    <t>Non DMC Costs:</t>
  </si>
  <si>
    <t>Non DMC Funding Information</t>
  </si>
  <si>
    <t>Non DMC Program Codes</t>
  </si>
  <si>
    <t>Non DMC Total Costs</t>
  </si>
  <si>
    <t>Non DMC Direct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</si>
</sst>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5" formatCode="&quot;$&quot;#,##0_);\(&quot;$&quot;#,##0\)"/>
    <numFmt numFmtId="42" formatCode="_(&quot;$&quot;* #,##0_);_(&quot;$&quot;* \(#,##0\);_(&quot;$&quot;* &quot;-&quot;_);_(@_)"/>
    <numFmt numFmtId="44" formatCode="_(&quot;$&quot;* #,##0.00_);_(&quot;$&quot;* \(#,##0.00\);_(&quot;$&quot;* &quot;-&quot;??_);_(@_)"/>
    <numFmt numFmtId="164" formatCode="0_);\(0\)"/>
    <numFmt numFmtId="165" formatCode="mmmm\ d\,\ yyyy"/>
    <numFmt numFmtId="171" formatCode="\ #,##0\ ;\(#,##0\)"/>
  </numFmts>
  <fonts count="63" x14ac:knownFonts="1">
    <font>
      <sz val="10"/>
      <name val="Arial"/>
    </font>
    <font>
      <sz val="8"/>
      <color indexed="8"/>
      <name val="Arial"/>
    </font>
    <font>
      <b/>
      <sz val="10"/>
      <color indexed="8"/>
      <name val="Arial"/>
    </font>
    <font>
      <sz val="10"/>
      <name val="Arial"/>
    </font>
    <font>
      <sz val="9"/>
      <color indexed="8"/>
      <name val="Arial"/>
      <family val="2"/>
    </font>
    <font>
      <b/>
      <sz val="9"/>
      <color indexed="8"/>
      <name val="Arial"/>
      <family val="2"/>
    </font>
    <font>
      <b/>
      <sz val="10"/>
      <name val="Arial"/>
      <family val="2"/>
    </font>
    <font>
      <b/>
      <u/>
      <sz val="10"/>
      <name val="Arial"/>
      <family val="2"/>
    </font>
    <font>
      <sz val="8"/>
      <color indexed="8"/>
      <name val="Arial"/>
      <family val="2"/>
    </font>
    <font>
      <b/>
      <u/>
      <sz val="12"/>
      <name val="Arial"/>
      <family val="2"/>
    </font>
    <font>
      <sz val="10"/>
      <name val="Arial"/>
      <family val="2"/>
    </font>
    <font>
      <b/>
      <sz val="8"/>
      <color indexed="8"/>
      <name val="Arial"/>
      <family val="2"/>
    </font>
    <font>
      <sz val="12"/>
      <color indexed="8"/>
      <name val="Arial"/>
      <family val="2"/>
    </font>
    <font>
      <sz val="8"/>
      <color indexed="9"/>
      <name val="Arial"/>
      <family val="2"/>
    </font>
    <font>
      <b/>
      <sz val="12"/>
      <color indexed="8"/>
      <name val="Arial"/>
      <family val="2"/>
    </font>
    <font>
      <b/>
      <sz val="10"/>
      <color indexed="8"/>
      <name val="Arial"/>
      <family val="2"/>
    </font>
    <font>
      <sz val="8"/>
      <name val="Arial"/>
      <family val="2"/>
    </font>
    <font>
      <sz val="10"/>
      <color indexed="8"/>
      <name val="Arial"/>
      <family val="2"/>
    </font>
    <font>
      <sz val="12"/>
      <name val="Arial"/>
      <family val="2"/>
    </font>
    <font>
      <b/>
      <sz val="12"/>
      <name val="Arial"/>
      <family val="2"/>
    </font>
    <font>
      <b/>
      <sz val="8"/>
      <name val="Arial"/>
      <family val="2"/>
    </font>
    <font>
      <u/>
      <sz val="10"/>
      <name val="Arial"/>
      <family val="2"/>
    </font>
    <font>
      <b/>
      <sz val="20"/>
      <name val="Arial"/>
      <family val="2"/>
    </font>
    <font>
      <b/>
      <sz val="16"/>
      <name val="Arial"/>
      <family val="2"/>
    </font>
    <font>
      <sz val="12"/>
      <name val="Arial"/>
      <family val="2"/>
    </font>
    <font>
      <sz val="8"/>
      <color indexed="81"/>
      <name val="Tahoma"/>
      <family val="2"/>
    </font>
    <font>
      <sz val="8"/>
      <color indexed="81"/>
      <name val="Arial"/>
      <family val="2"/>
    </font>
    <font>
      <b/>
      <u/>
      <sz val="8"/>
      <color indexed="81"/>
      <name val="Tahoma"/>
      <family val="2"/>
    </font>
    <font>
      <b/>
      <sz val="10"/>
      <color indexed="13"/>
      <name val="Arial"/>
      <family val="2"/>
    </font>
    <font>
      <sz val="11"/>
      <name val="Arial"/>
      <family val="2"/>
    </font>
    <font>
      <sz val="8"/>
      <color indexed="81"/>
      <name val="Tahoma"/>
      <family val="2"/>
    </font>
    <font>
      <b/>
      <sz val="8"/>
      <color indexed="81"/>
      <name val="Tahoma"/>
      <family val="2"/>
    </font>
    <font>
      <i/>
      <sz val="10"/>
      <name val="Arial"/>
      <family val="2"/>
    </font>
    <font>
      <b/>
      <i/>
      <sz val="10"/>
      <name val="Arial"/>
      <family val="2"/>
    </font>
    <font>
      <sz val="10"/>
      <color indexed="8"/>
      <name val="Arial"/>
      <family val="2"/>
    </font>
    <font>
      <sz val="9"/>
      <color indexed="8"/>
      <name val="Arial"/>
      <family val="2"/>
    </font>
    <font>
      <sz val="10"/>
      <color indexed="9"/>
      <name val="Arial"/>
      <family val="2"/>
    </font>
    <font>
      <sz val="10"/>
      <name val="Arial Narrow"/>
      <family val="2"/>
    </font>
    <font>
      <sz val="8"/>
      <name val="Arial Narrow"/>
      <family val="2"/>
    </font>
    <font>
      <b/>
      <sz val="8"/>
      <name val="Arial Narrow"/>
      <family val="2"/>
    </font>
    <font>
      <sz val="8"/>
      <color indexed="81"/>
      <name val="Tahoma"/>
      <family val="2"/>
    </font>
    <font>
      <b/>
      <u/>
      <sz val="10"/>
      <name val="Arial Narrow"/>
      <family val="2"/>
    </font>
    <font>
      <b/>
      <i/>
      <sz val="10"/>
      <name val="Arial Narrow"/>
      <family val="2"/>
    </font>
    <font>
      <b/>
      <sz val="14"/>
      <name val="Arial"/>
      <family val="2"/>
    </font>
    <font>
      <sz val="14"/>
      <name val="Arial"/>
      <family val="2"/>
    </font>
    <font>
      <b/>
      <u/>
      <sz val="12"/>
      <color indexed="8"/>
      <name val="Arial"/>
      <family val="2"/>
    </font>
    <font>
      <sz val="12"/>
      <name val="Arial Narrow"/>
      <family val="2"/>
    </font>
    <font>
      <sz val="9"/>
      <name val="Arial Narrow"/>
      <family val="2"/>
    </font>
    <font>
      <b/>
      <sz val="10"/>
      <color indexed="8"/>
      <name val="Arial Narrow"/>
      <family val="2"/>
    </font>
    <font>
      <b/>
      <sz val="10"/>
      <name val="Arial Narrow"/>
      <family val="2"/>
    </font>
    <font>
      <u/>
      <sz val="10"/>
      <color indexed="8"/>
      <name val="Arial"/>
      <family val="2"/>
    </font>
    <font>
      <b/>
      <sz val="10"/>
      <color indexed="13"/>
      <name val="Arial Narrow"/>
      <family val="2"/>
    </font>
    <font>
      <b/>
      <sz val="11"/>
      <name val="Arial"/>
      <family val="2"/>
    </font>
    <font>
      <sz val="11"/>
      <name val="Arial"/>
      <family val="2"/>
    </font>
    <font>
      <i/>
      <sz val="10"/>
      <name val="Arial Narrow"/>
      <family val="2"/>
    </font>
    <font>
      <b/>
      <sz val="9"/>
      <color indexed="8"/>
      <name val="Arial Narrow"/>
      <family val="2"/>
    </font>
    <font>
      <b/>
      <u/>
      <sz val="8"/>
      <color indexed="81"/>
      <name val="Arial"/>
      <family val="2"/>
    </font>
    <font>
      <sz val="8"/>
      <name val="Arial"/>
      <family val="2"/>
    </font>
    <font>
      <sz val="9"/>
      <name val="Arial"/>
      <family val="2"/>
    </font>
    <font>
      <sz val="10"/>
      <color indexed="10"/>
      <name val="Arial Narrow"/>
      <family val="2"/>
    </font>
    <font>
      <u/>
      <sz val="11"/>
      <name val="Arial"/>
      <family val="2"/>
    </font>
    <font>
      <sz val="10"/>
      <color indexed="10"/>
      <name val="Arial"/>
    </font>
    <font>
      <sz val="10"/>
      <name val="Arial"/>
    </font>
  </fonts>
  <fills count="13">
    <fill>
      <patternFill patternType="none"/>
    </fill>
    <fill>
      <patternFill patternType="gray125"/>
    </fill>
    <fill>
      <patternFill patternType="solid">
        <fgColor indexed="9"/>
      </patternFill>
    </fill>
    <fill>
      <patternFill patternType="lightGray">
        <bgColor indexed="8"/>
      </patternFill>
    </fill>
    <fill>
      <patternFill patternType="solid">
        <fgColor indexed="8"/>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42"/>
        <bgColor indexed="64"/>
      </patternFill>
    </fill>
    <fill>
      <patternFill patternType="solid">
        <fgColor indexed="10"/>
        <bgColor indexed="64"/>
      </patternFill>
    </fill>
    <fill>
      <patternFill patternType="lightGray">
        <fgColor indexed="9"/>
        <bgColor indexed="9"/>
      </patternFill>
    </fill>
    <fill>
      <patternFill patternType="solid">
        <fgColor indexed="22"/>
        <bgColor indexed="64"/>
      </patternFill>
    </fill>
    <fill>
      <patternFill patternType="solid">
        <fgColor indexed="41"/>
        <bgColor indexed="64"/>
      </patternFill>
    </fill>
  </fills>
  <borders count="114">
    <border>
      <left/>
      <right/>
      <top/>
      <bottom/>
      <diagonal/>
    </border>
    <border>
      <left/>
      <right/>
      <top/>
      <bottom style="thin">
        <color indexed="8"/>
      </bottom>
      <diagonal/>
    </border>
    <border>
      <left/>
      <right/>
      <top/>
      <bottom style="double">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right style="thin">
        <color indexed="8"/>
      </right>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64"/>
      </right>
      <top style="double">
        <color indexed="8"/>
      </top>
      <bottom/>
      <diagonal/>
    </border>
    <border>
      <left style="thin">
        <color indexed="8"/>
      </left>
      <right style="thin">
        <color indexed="64"/>
      </right>
      <top/>
      <bottom style="thin">
        <color indexed="8"/>
      </bottom>
      <diagonal/>
    </border>
    <border>
      <left style="thin">
        <color indexed="64"/>
      </left>
      <right/>
      <top style="double">
        <color indexed="8"/>
      </top>
      <bottom/>
      <diagonal/>
    </border>
    <border>
      <left style="thin">
        <color indexed="64"/>
      </left>
      <right/>
      <top/>
      <bottom style="thin">
        <color indexed="8"/>
      </bottom>
      <diagonal/>
    </border>
    <border>
      <left style="thin">
        <color indexed="64"/>
      </left>
      <right/>
      <top/>
      <bottom/>
      <diagonal/>
    </border>
    <border>
      <left style="thin">
        <color indexed="64"/>
      </left>
      <right/>
      <top/>
      <bottom style="thick">
        <color indexed="8"/>
      </bottom>
      <diagonal/>
    </border>
    <border>
      <left/>
      <right style="thin">
        <color indexed="64"/>
      </right>
      <top/>
      <bottom style="thin">
        <color indexed="8"/>
      </bottom>
      <diagonal/>
    </border>
    <border>
      <left/>
      <right style="thin">
        <color indexed="64"/>
      </right>
      <top/>
      <bottom/>
      <diagonal/>
    </border>
    <border>
      <left style="thin">
        <color indexed="8"/>
      </left>
      <right/>
      <top style="thin">
        <color indexed="8"/>
      </top>
      <bottom style="thin">
        <color indexed="8"/>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double">
        <color indexed="8"/>
      </top>
      <bottom/>
      <diagonal/>
    </border>
    <border>
      <left style="thin">
        <color indexed="8"/>
      </left>
      <right style="thin">
        <color indexed="8"/>
      </right>
      <top/>
      <bottom/>
      <diagonal/>
    </border>
    <border>
      <left style="thin">
        <color indexed="8"/>
      </left>
      <right/>
      <top/>
      <bottom style="thin">
        <color indexed="8"/>
      </bottom>
      <diagonal/>
    </border>
    <border>
      <left style="thin">
        <color indexed="64"/>
      </left>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bottom style="double">
        <color indexed="8"/>
      </bottom>
      <diagonal/>
    </border>
    <border>
      <left/>
      <right style="thin">
        <color indexed="8"/>
      </right>
      <top/>
      <bottom style="double">
        <color indexed="8"/>
      </bottom>
      <diagonal/>
    </border>
    <border>
      <left style="thin">
        <color indexed="8"/>
      </left>
      <right style="thin">
        <color indexed="8"/>
      </right>
      <top style="thin">
        <color indexed="8"/>
      </top>
      <bottom style="double">
        <color indexed="64"/>
      </bottom>
      <diagonal/>
    </border>
    <border>
      <left/>
      <right style="thin">
        <color indexed="8"/>
      </right>
      <top style="thin">
        <color indexed="8"/>
      </top>
      <bottom style="double">
        <color indexed="64"/>
      </bottom>
      <diagonal/>
    </border>
    <border>
      <left style="thin">
        <color indexed="8"/>
      </left>
      <right style="thin">
        <color indexed="8"/>
      </right>
      <top style="double">
        <color indexed="8"/>
      </top>
      <bottom/>
      <diagonal/>
    </border>
    <border>
      <left style="thin">
        <color indexed="8"/>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medium">
        <color indexed="64"/>
      </bottom>
      <diagonal/>
    </border>
    <border>
      <left/>
      <right/>
      <top/>
      <bottom style="thick">
        <color indexed="8"/>
      </bottom>
      <diagonal/>
    </border>
    <border>
      <left style="double">
        <color indexed="64"/>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right/>
      <top style="double">
        <color indexed="64"/>
      </top>
      <bottom style="thin">
        <color indexed="64"/>
      </bottom>
      <diagonal/>
    </border>
    <border>
      <left style="double">
        <color indexed="64"/>
      </left>
      <right/>
      <top/>
      <bottom style="double">
        <color indexed="64"/>
      </bottom>
      <diagonal/>
    </border>
    <border>
      <left/>
      <right style="double">
        <color indexed="64"/>
      </right>
      <top/>
      <bottom style="thin">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8"/>
      </top>
      <bottom style="double">
        <color indexed="64"/>
      </bottom>
      <diagonal/>
    </border>
    <border>
      <left/>
      <right style="thin">
        <color indexed="64"/>
      </right>
      <top/>
      <bottom style="thick">
        <color indexed="8"/>
      </bottom>
      <diagonal/>
    </border>
    <border>
      <left style="thin">
        <color indexed="8"/>
      </left>
      <right style="thin">
        <color indexed="64"/>
      </right>
      <top style="thin">
        <color indexed="8"/>
      </top>
      <bottom style="double">
        <color indexed="64"/>
      </bottom>
      <diagonal/>
    </border>
    <border>
      <left style="thin">
        <color indexed="8"/>
      </left>
      <right style="thin">
        <color indexed="64"/>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8"/>
      </right>
      <top/>
      <bottom style="thin">
        <color indexed="8"/>
      </bottom>
      <diagonal/>
    </border>
    <border>
      <left style="double">
        <color indexed="8"/>
      </left>
      <right/>
      <top/>
      <bottom style="thin">
        <color indexed="8"/>
      </bottom>
      <diagonal/>
    </border>
    <border>
      <left style="thin">
        <color indexed="8"/>
      </left>
      <right/>
      <top style="thin">
        <color indexed="64"/>
      </top>
      <bottom style="thin">
        <color indexed="64"/>
      </bottom>
      <diagonal/>
    </border>
    <border>
      <left style="thin">
        <color indexed="64"/>
      </left>
      <right/>
      <top style="thin">
        <color indexed="64"/>
      </top>
      <bottom style="thin">
        <color indexed="8"/>
      </bottom>
      <diagonal/>
    </border>
    <border>
      <left style="thin">
        <color indexed="8"/>
      </left>
      <right style="thin">
        <color indexed="8"/>
      </right>
      <top style="thick">
        <color indexed="8"/>
      </top>
      <bottom style="thin">
        <color indexed="8"/>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8"/>
      </left>
      <right style="thin">
        <color indexed="8"/>
      </right>
      <top style="thin">
        <color indexed="8"/>
      </top>
      <bottom style="thin">
        <color indexed="8"/>
      </bottom>
      <diagonal/>
    </border>
    <border>
      <left style="double">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64"/>
      </left>
      <right/>
      <top style="medium">
        <color indexed="64"/>
      </top>
      <bottom/>
      <diagonal/>
    </border>
    <border>
      <left/>
      <right style="thin">
        <color indexed="8"/>
      </right>
      <top style="medium">
        <color indexed="64"/>
      </top>
      <bottom/>
      <diagonal/>
    </border>
    <border>
      <left style="thin">
        <color indexed="64"/>
      </left>
      <right/>
      <top/>
      <bottom style="medium">
        <color indexed="64"/>
      </bottom>
      <diagonal/>
    </border>
    <border>
      <left/>
      <right style="thin">
        <color indexed="8"/>
      </right>
      <top/>
      <bottom style="medium">
        <color indexed="64"/>
      </bottom>
      <diagonal/>
    </border>
    <border>
      <left style="thin">
        <color indexed="8"/>
      </left>
      <right style="thin">
        <color indexed="64"/>
      </right>
      <top style="medium">
        <color indexed="64"/>
      </top>
      <bottom/>
      <diagonal/>
    </border>
    <border>
      <left/>
      <right/>
      <top style="medium">
        <color indexed="64"/>
      </top>
      <bottom style="medium">
        <color indexed="64"/>
      </bottom>
      <diagonal/>
    </border>
    <border>
      <left style="thin">
        <color indexed="64"/>
      </left>
      <right style="thin">
        <color indexed="8"/>
      </right>
      <top style="thin">
        <color indexed="64"/>
      </top>
      <bottom style="double">
        <color indexed="64"/>
      </bottom>
      <diagonal/>
    </border>
    <border>
      <left style="thin">
        <color indexed="8"/>
      </left>
      <right/>
      <top/>
      <bottom style="double">
        <color indexed="64"/>
      </bottom>
      <diagonal/>
    </border>
    <border>
      <left/>
      <right style="thin">
        <color indexed="64"/>
      </right>
      <top style="thin">
        <color indexed="8"/>
      </top>
      <bottom/>
      <diagonal/>
    </border>
    <border>
      <left style="thin">
        <color indexed="64"/>
      </left>
      <right style="thin">
        <color indexed="64"/>
      </right>
      <top/>
      <bottom style="thin">
        <color indexed="8"/>
      </bottom>
      <diagonal/>
    </border>
    <border>
      <left style="thin">
        <color indexed="64"/>
      </left>
      <right/>
      <top style="thin">
        <color indexed="8"/>
      </top>
      <bottom style="thin">
        <color indexed="8"/>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8"/>
      </top>
      <bottom/>
      <diagonal/>
    </border>
    <border>
      <left style="double">
        <color indexed="8"/>
      </left>
      <right/>
      <top style="thin">
        <color indexed="64"/>
      </top>
      <bottom/>
      <diagonal/>
    </border>
    <border>
      <left style="thin">
        <color indexed="8"/>
      </left>
      <right/>
      <top style="thin">
        <color indexed="64"/>
      </top>
      <bottom style="double">
        <color indexed="8"/>
      </bottom>
      <diagonal/>
    </border>
    <border>
      <left/>
      <right style="thin">
        <color indexed="8"/>
      </right>
      <top style="thin">
        <color indexed="64"/>
      </top>
      <bottom style="double">
        <color indexed="8"/>
      </bottom>
      <diagonal/>
    </border>
    <border>
      <left style="thin">
        <color indexed="64"/>
      </left>
      <right/>
      <top style="thin">
        <color indexed="8"/>
      </top>
      <bottom style="medium">
        <color indexed="64"/>
      </bottom>
      <diagonal/>
    </border>
    <border>
      <left/>
      <right style="thin">
        <color indexed="8"/>
      </right>
      <top style="thin">
        <color indexed="8"/>
      </top>
      <bottom style="medium">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double">
        <color indexed="64"/>
      </bottom>
      <diagonal/>
    </border>
  </borders>
  <cellStyleXfs count="3">
    <xf numFmtId="37" fontId="0" fillId="2" borderId="0"/>
    <xf numFmtId="0" fontId="10" fillId="0" borderId="0">
      <alignment vertical="center"/>
    </xf>
    <xf numFmtId="0" fontId="10" fillId="0" borderId="0">
      <alignment vertical="center"/>
    </xf>
  </cellStyleXfs>
  <cellXfs count="543">
    <xf numFmtId="37" fontId="0" fillId="2" borderId="0" xfId="0" applyNumberFormat="1"/>
    <xf numFmtId="15" fontId="0" fillId="2" borderId="0" xfId="0" applyNumberFormat="1"/>
    <xf numFmtId="37" fontId="0" fillId="2" borderId="1" xfId="0" applyNumberFormat="1" applyBorder="1"/>
    <xf numFmtId="37" fontId="1" fillId="2" borderId="0" xfId="0" applyNumberFormat="1" applyFont="1"/>
    <xf numFmtId="37" fontId="0" fillId="2" borderId="2" xfId="0" applyNumberFormat="1" applyBorder="1"/>
    <xf numFmtId="37" fontId="1" fillId="2" borderId="3" xfId="0" applyNumberFormat="1" applyFont="1" applyBorder="1"/>
    <xf numFmtId="37" fontId="1" fillId="2" borderId="4" xfId="0" applyNumberFormat="1" applyFont="1" applyBorder="1"/>
    <xf numFmtId="37" fontId="0" fillId="2" borderId="0" xfId="0" applyNumberFormat="1" applyAlignment="1">
      <alignment horizontal="right"/>
    </xf>
    <xf numFmtId="37" fontId="1" fillId="2" borderId="3" xfId="0" applyNumberFormat="1" applyFont="1" applyBorder="1" applyAlignment="1">
      <alignment horizontal="center"/>
    </xf>
    <xf numFmtId="37" fontId="1" fillId="2" borderId="4" xfId="0" applyNumberFormat="1" applyFont="1" applyBorder="1" applyAlignment="1">
      <alignment horizontal="center"/>
    </xf>
    <xf numFmtId="37" fontId="1" fillId="2" borderId="5" xfId="0" applyNumberFormat="1" applyFont="1" applyBorder="1" applyAlignment="1">
      <alignment horizontal="center"/>
    </xf>
    <xf numFmtId="37" fontId="0" fillId="2" borderId="6" xfId="0" applyNumberFormat="1" applyBorder="1"/>
    <xf numFmtId="37" fontId="0" fillId="2" borderId="0" xfId="0" applyNumberFormat="1" applyBorder="1"/>
    <xf numFmtId="37" fontId="0" fillId="2" borderId="0" xfId="0" applyNumberFormat="1" applyBorder="1" applyAlignment="1">
      <alignment horizontal="center"/>
    </xf>
    <xf numFmtId="37" fontId="8" fillId="3" borderId="4" xfId="0" applyNumberFormat="1" applyFont="1" applyFill="1" applyBorder="1"/>
    <xf numFmtId="164" fontId="0" fillId="2" borderId="1" xfId="0" applyNumberFormat="1" applyBorder="1"/>
    <xf numFmtId="37" fontId="6" fillId="2" borderId="0" xfId="0" applyNumberFormat="1" applyFont="1"/>
    <xf numFmtId="37" fontId="6" fillId="2" borderId="0" xfId="0" applyNumberFormat="1" applyFont="1" applyAlignment="1"/>
    <xf numFmtId="37" fontId="0" fillId="2" borderId="0" xfId="0" applyNumberFormat="1" applyAlignment="1"/>
    <xf numFmtId="37" fontId="7" fillId="2" borderId="0" xfId="0" applyNumberFormat="1" applyFont="1" applyAlignment="1"/>
    <xf numFmtId="37" fontId="2" fillId="2" borderId="0" xfId="0" applyNumberFormat="1" applyFont="1"/>
    <xf numFmtId="1" fontId="0" fillId="2" borderId="0" xfId="0" applyNumberFormat="1"/>
    <xf numFmtId="37" fontId="0" fillId="2" borderId="3" xfId="0" applyNumberFormat="1" applyBorder="1"/>
    <xf numFmtId="37" fontId="0" fillId="2" borderId="4" xfId="0" applyNumberFormat="1" applyBorder="1"/>
    <xf numFmtId="37" fontId="1" fillId="2" borderId="2" xfId="0" applyNumberFormat="1" applyFont="1" applyBorder="1" applyAlignment="1">
      <alignment horizontal="center"/>
    </xf>
    <xf numFmtId="37" fontId="1" fillId="2" borderId="7" xfId="0" applyNumberFormat="1" applyFont="1" applyBorder="1"/>
    <xf numFmtId="37" fontId="11" fillId="2" borderId="4" xfId="0" applyNumberFormat="1" applyFont="1" applyBorder="1"/>
    <xf numFmtId="37" fontId="15" fillId="2" borderId="4" xfId="0" applyNumberFormat="1" applyFont="1" applyBorder="1"/>
    <xf numFmtId="37" fontId="8" fillId="2" borderId="4" xfId="0" applyNumberFormat="1" applyFont="1" applyBorder="1"/>
    <xf numFmtId="39" fontId="1" fillId="3" borderId="4" xfId="0" applyNumberFormat="1" applyFont="1" applyFill="1" applyBorder="1"/>
    <xf numFmtId="37" fontId="0" fillId="3" borderId="4" xfId="0" applyNumberFormat="1" applyFill="1" applyBorder="1"/>
    <xf numFmtId="39" fontId="0" fillId="3" borderId="4" xfId="0" applyNumberFormat="1" applyFill="1" applyBorder="1"/>
    <xf numFmtId="39" fontId="1" fillId="4" borderId="8" xfId="0" applyNumberFormat="1" applyFont="1" applyFill="1" applyBorder="1"/>
    <xf numFmtId="37" fontId="1" fillId="5" borderId="4" xfId="0" applyNumberFormat="1" applyFont="1" applyFill="1" applyBorder="1"/>
    <xf numFmtId="37" fontId="8" fillId="5" borderId="4" xfId="0" applyNumberFormat="1" applyFont="1" applyFill="1" applyBorder="1"/>
    <xf numFmtId="37" fontId="1" fillId="2" borderId="9" xfId="0" applyNumberFormat="1" applyFont="1" applyBorder="1" applyAlignment="1">
      <alignment horizontal="center"/>
    </xf>
    <xf numFmtId="37" fontId="1" fillId="2" borderId="10" xfId="0" applyNumberFormat="1" applyFont="1" applyBorder="1" applyAlignment="1">
      <alignment horizontal="center"/>
    </xf>
    <xf numFmtId="39" fontId="1" fillId="3" borderId="10" xfId="0" applyNumberFormat="1" applyFont="1" applyFill="1" applyBorder="1"/>
    <xf numFmtId="37" fontId="8" fillId="3" borderId="10" xfId="0" applyNumberFormat="1" applyFont="1" applyFill="1" applyBorder="1"/>
    <xf numFmtId="37" fontId="8" fillId="2" borderId="10" xfId="0" applyNumberFormat="1" applyFont="1" applyBorder="1"/>
    <xf numFmtId="37" fontId="8" fillId="5" borderId="10" xfId="0" applyNumberFormat="1" applyFont="1" applyFill="1" applyBorder="1"/>
    <xf numFmtId="37" fontId="1" fillId="2" borderId="11" xfId="0" applyNumberFormat="1" applyFont="1" applyBorder="1"/>
    <xf numFmtId="37" fontId="1" fillId="2" borderId="12" xfId="0" applyNumberFormat="1" applyFont="1" applyBorder="1"/>
    <xf numFmtId="37" fontId="15" fillId="2" borderId="12" xfId="0" applyNumberFormat="1" applyFont="1" applyBorder="1"/>
    <xf numFmtId="37" fontId="1" fillId="2" borderId="13" xfId="0" applyNumberFormat="1" applyFont="1" applyBorder="1"/>
    <xf numFmtId="37" fontId="1" fillId="5" borderId="12" xfId="0" applyNumberFormat="1" applyFont="1" applyFill="1" applyBorder="1"/>
    <xf numFmtId="37" fontId="11" fillId="2" borderId="12" xfId="0" applyNumberFormat="1" applyFont="1" applyBorder="1"/>
    <xf numFmtId="37" fontId="11" fillId="2" borderId="14" xfId="0" applyNumberFormat="1" applyFont="1" applyBorder="1"/>
    <xf numFmtId="37" fontId="1" fillId="2" borderId="15" xfId="0" applyNumberFormat="1" applyFont="1" applyBorder="1" applyAlignment="1">
      <alignment horizontal="center"/>
    </xf>
    <xf numFmtId="37" fontId="0" fillId="3" borderId="15" xfId="0" applyNumberFormat="1" applyFill="1" applyBorder="1"/>
    <xf numFmtId="37" fontId="0" fillId="2" borderId="16" xfId="0" applyNumberFormat="1" applyBorder="1"/>
    <xf numFmtId="37" fontId="20" fillId="2" borderId="0" xfId="0" applyNumberFormat="1" applyFont="1"/>
    <xf numFmtId="37" fontId="0" fillId="0" borderId="0" xfId="0" applyNumberFormat="1" applyFill="1" applyBorder="1"/>
    <xf numFmtId="165" fontId="0" fillId="0" borderId="0" xfId="0" applyNumberFormat="1" applyFill="1" applyBorder="1" applyAlignment="1">
      <alignment horizontal="left"/>
    </xf>
    <xf numFmtId="5" fontId="1" fillId="4" borderId="17" xfId="0" applyNumberFormat="1" applyFont="1" applyFill="1" applyBorder="1"/>
    <xf numFmtId="37" fontId="8" fillId="5" borderId="8" xfId="0" applyNumberFormat="1" applyFont="1" applyFill="1" applyBorder="1"/>
    <xf numFmtId="37" fontId="12" fillId="5" borderId="1" xfId="0" applyNumberFormat="1" applyFont="1" applyFill="1" applyBorder="1"/>
    <xf numFmtId="37" fontId="21" fillId="0" borderId="18" xfId="0" applyNumberFormat="1" applyFont="1" applyFill="1" applyBorder="1"/>
    <xf numFmtId="37" fontId="0" fillId="0" borderId="19" xfId="0" applyNumberFormat="1" applyFill="1" applyBorder="1"/>
    <xf numFmtId="37" fontId="23" fillId="2" borderId="0" xfId="0" applyNumberFormat="1" applyFont="1" applyAlignment="1">
      <alignment horizontal="center"/>
    </xf>
    <xf numFmtId="37" fontId="19" fillId="2" borderId="0" xfId="0" applyNumberFormat="1" applyFont="1" applyAlignment="1">
      <alignment horizontal="right"/>
    </xf>
    <xf numFmtId="37" fontId="6" fillId="2" borderId="8" xfId="0" applyNumberFormat="1" applyFont="1" applyBorder="1" applyAlignment="1">
      <alignment horizontal="center"/>
    </xf>
    <xf numFmtId="37" fontId="0" fillId="2" borderId="8" xfId="0" applyNumberFormat="1" applyBorder="1" applyAlignment="1">
      <alignment horizontal="left" vertical="center"/>
    </xf>
    <xf numFmtId="37" fontId="0" fillId="2" borderId="20" xfId="0" applyNumberFormat="1" applyBorder="1"/>
    <xf numFmtId="37" fontId="0" fillId="2" borderId="21" xfId="0" applyNumberFormat="1" applyBorder="1"/>
    <xf numFmtId="37" fontId="0" fillId="2" borderId="0" xfId="0" applyNumberFormat="1" applyBorder="1" applyAlignment="1"/>
    <xf numFmtId="37" fontId="0" fillId="2" borderId="18" xfId="0" applyNumberFormat="1" applyBorder="1"/>
    <xf numFmtId="37" fontId="0" fillId="2" borderId="22" xfId="0" applyNumberFormat="1" applyBorder="1"/>
    <xf numFmtId="37" fontId="6" fillId="2" borderId="8" xfId="0" applyNumberFormat="1" applyFont="1" applyBorder="1"/>
    <xf numFmtId="37" fontId="0" fillId="6" borderId="8" xfId="0" applyNumberFormat="1" applyFill="1" applyBorder="1" applyAlignment="1" applyProtection="1">
      <alignment horizontal="center" vertical="center"/>
      <protection locked="0"/>
    </xf>
    <xf numFmtId="37" fontId="0" fillId="2" borderId="0" xfId="0" applyNumberFormat="1" applyAlignment="1">
      <alignment horizontal="centerContinuous" vertical="center"/>
    </xf>
    <xf numFmtId="15" fontId="0" fillId="2" borderId="0" xfId="0" applyNumberFormat="1" applyAlignment="1">
      <alignment horizontal="centerContinuous" vertical="center"/>
    </xf>
    <xf numFmtId="15" fontId="6" fillId="2" borderId="0" xfId="0" applyNumberFormat="1" applyFont="1" applyAlignment="1">
      <alignment horizontal="centerContinuous" vertical="center"/>
    </xf>
    <xf numFmtId="37" fontId="23" fillId="2" borderId="0" xfId="0" applyNumberFormat="1" applyFont="1" applyAlignment="1">
      <alignment horizontal="centerContinuous" vertical="center"/>
    </xf>
    <xf numFmtId="37" fontId="22" fillId="2" borderId="0" xfId="0" applyNumberFormat="1" applyFont="1" applyAlignment="1">
      <alignment horizontal="centerContinuous"/>
    </xf>
    <xf numFmtId="37" fontId="0" fillId="2" borderId="0" xfId="0" applyNumberFormat="1" applyAlignment="1">
      <alignment horizontal="centerContinuous"/>
    </xf>
    <xf numFmtId="37" fontId="0" fillId="7" borderId="8" xfId="0" applyNumberFormat="1" applyFill="1" applyBorder="1" applyProtection="1">
      <protection locked="0"/>
    </xf>
    <xf numFmtId="37" fontId="0" fillId="8" borderId="8" xfId="0" applyNumberFormat="1" applyFill="1" applyBorder="1" applyProtection="1"/>
    <xf numFmtId="38" fontId="0" fillId="8" borderId="8" xfId="0" applyNumberFormat="1" applyFill="1" applyBorder="1" applyProtection="1"/>
    <xf numFmtId="37" fontId="18" fillId="5" borderId="0" xfId="0" applyNumberFormat="1" applyFont="1" applyFill="1" applyBorder="1" applyAlignment="1" applyProtection="1">
      <alignment horizontal="left" vertical="center"/>
    </xf>
    <xf numFmtId="37" fontId="0" fillId="5" borderId="8" xfId="0" applyNumberFormat="1" applyFill="1" applyBorder="1" applyAlignment="1" applyProtection="1">
      <alignment horizontal="center" vertical="center"/>
    </xf>
    <xf numFmtId="37" fontId="0" fillId="2" borderId="0" xfId="0" applyNumberFormat="1" applyProtection="1"/>
    <xf numFmtId="37" fontId="0" fillId="2" borderId="0" xfId="0" applyNumberFormat="1" applyBorder="1" applyProtection="1"/>
    <xf numFmtId="37" fontId="7" fillId="2" borderId="0" xfId="0" applyNumberFormat="1" applyFont="1" applyProtection="1"/>
    <xf numFmtId="37" fontId="0" fillId="4" borderId="8" xfId="0" applyNumberFormat="1" applyFill="1" applyBorder="1" applyProtection="1"/>
    <xf numFmtId="37" fontId="10" fillId="4" borderId="8" xfId="0" applyNumberFormat="1" applyFont="1" applyFill="1" applyBorder="1" applyProtection="1"/>
    <xf numFmtId="37" fontId="0" fillId="2" borderId="0" xfId="0" applyNumberFormat="1" applyAlignment="1" applyProtection="1">
      <alignment horizontal="center"/>
    </xf>
    <xf numFmtId="37" fontId="6" fillId="2" borderId="0" xfId="0" applyNumberFormat="1" applyFont="1" applyAlignment="1" applyProtection="1">
      <alignment horizontal="centerContinuous" vertical="center"/>
    </xf>
    <xf numFmtId="37" fontId="6" fillId="2" borderId="0" xfId="0" applyNumberFormat="1" applyFont="1" applyAlignment="1" applyProtection="1">
      <alignment horizontal="center"/>
    </xf>
    <xf numFmtId="37" fontId="9" fillId="2" borderId="0" xfId="0" applyNumberFormat="1" applyFont="1" applyBorder="1" applyAlignment="1" applyProtection="1">
      <alignment horizontal="centerContinuous" vertical="center"/>
    </xf>
    <xf numFmtId="37" fontId="7" fillId="2" borderId="0" xfId="0" applyNumberFormat="1" applyFont="1" applyBorder="1" applyAlignment="1" applyProtection="1">
      <alignment horizontal="center"/>
    </xf>
    <xf numFmtId="37" fontId="10" fillId="2" borderId="0" xfId="0" applyNumberFormat="1" applyFont="1" applyBorder="1" applyProtection="1"/>
    <xf numFmtId="37" fontId="12" fillId="5" borderId="18" xfId="0" applyNumberFormat="1" applyFont="1" applyFill="1" applyBorder="1" applyProtection="1"/>
    <xf numFmtId="164" fontId="12" fillId="5" borderId="18" xfId="0" applyNumberFormat="1" applyFont="1" applyFill="1" applyBorder="1" applyProtection="1"/>
    <xf numFmtId="37" fontId="0" fillId="2" borderId="2" xfId="0" applyNumberFormat="1" applyBorder="1" applyProtection="1"/>
    <xf numFmtId="37" fontId="0" fillId="2" borderId="23" xfId="0" applyNumberFormat="1" applyBorder="1" applyProtection="1"/>
    <xf numFmtId="37" fontId="1" fillId="2" borderId="23" xfId="0" applyNumberFormat="1" applyFont="1" applyBorder="1" applyProtection="1"/>
    <xf numFmtId="37" fontId="0" fillId="2" borderId="0" xfId="0" applyNumberFormat="1" applyBorder="1" applyAlignment="1" applyProtection="1">
      <alignment horizontal="center"/>
    </xf>
    <xf numFmtId="37" fontId="2" fillId="2" borderId="0" xfId="0" applyNumberFormat="1" applyFont="1" applyAlignment="1" applyProtection="1">
      <alignment horizontal="center"/>
    </xf>
    <xf numFmtId="37" fontId="1" fillId="2" borderId="0" xfId="0" applyNumberFormat="1" applyFont="1" applyBorder="1" applyAlignment="1" applyProtection="1">
      <alignment horizontal="center"/>
    </xf>
    <xf numFmtId="37" fontId="0" fillId="2" borderId="1" xfId="0" applyNumberFormat="1" applyBorder="1" applyProtection="1"/>
    <xf numFmtId="37" fontId="1" fillId="2" borderId="1" xfId="0" applyNumberFormat="1" applyFont="1" applyBorder="1" applyAlignment="1" applyProtection="1">
      <alignment horizontal="center"/>
    </xf>
    <xf numFmtId="37" fontId="1" fillId="2" borderId="24" xfId="0" applyNumberFormat="1" applyFont="1" applyBorder="1" applyProtection="1"/>
    <xf numFmtId="37" fontId="1" fillId="2" borderId="0" xfId="0" applyNumberFormat="1" applyFont="1" applyProtection="1"/>
    <xf numFmtId="37" fontId="1" fillId="2" borderId="3" xfId="0" applyNumberFormat="1" applyFont="1" applyBorder="1" applyProtection="1"/>
    <xf numFmtId="37" fontId="1" fillId="2" borderId="3" xfId="0" applyNumberFormat="1" applyFont="1" applyBorder="1" applyAlignment="1" applyProtection="1">
      <alignment horizontal="center"/>
    </xf>
    <xf numFmtId="37" fontId="1" fillId="2" borderId="25" xfId="0" applyNumberFormat="1" applyFont="1" applyBorder="1" applyProtection="1"/>
    <xf numFmtId="37" fontId="1" fillId="0" borderId="26" xfId="0" applyNumberFormat="1" applyFont="1" applyFill="1" applyBorder="1" applyAlignment="1" applyProtection="1">
      <alignment horizontal="center"/>
    </xf>
    <xf numFmtId="37" fontId="0" fillId="2" borderId="6" xfId="0" applyNumberFormat="1" applyBorder="1" applyProtection="1"/>
    <xf numFmtId="37" fontId="1" fillId="2" borderId="4" xfId="0" applyNumberFormat="1" applyFont="1" applyBorder="1" applyAlignment="1" applyProtection="1">
      <alignment horizontal="center"/>
    </xf>
    <xf numFmtId="37" fontId="1" fillId="2" borderId="4" xfId="0" applyNumberFormat="1" applyFont="1" applyBorder="1" applyProtection="1"/>
    <xf numFmtId="37" fontId="4" fillId="2" borderId="1" xfId="0" applyNumberFormat="1" applyFont="1" applyBorder="1" applyProtection="1"/>
    <xf numFmtId="37" fontId="12" fillId="5" borderId="4" xfId="0" applyNumberFormat="1" applyFont="1" applyFill="1" applyBorder="1" applyProtection="1"/>
    <xf numFmtId="37" fontId="4" fillId="0" borderId="1" xfId="0" applyNumberFormat="1" applyFont="1" applyFill="1" applyBorder="1" applyProtection="1"/>
    <xf numFmtId="37" fontId="4" fillId="2" borderId="27" xfId="0" applyNumberFormat="1" applyFont="1" applyBorder="1" applyProtection="1"/>
    <xf numFmtId="37" fontId="1" fillId="2" borderId="28" xfId="0" applyNumberFormat="1" applyFont="1" applyBorder="1" applyProtection="1"/>
    <xf numFmtId="37" fontId="12" fillId="5" borderId="3" xfId="0" applyNumberFormat="1" applyFont="1" applyFill="1" applyBorder="1" applyProtection="1"/>
    <xf numFmtId="37" fontId="1" fillId="2" borderId="29" xfId="0" applyNumberFormat="1" applyFont="1" applyBorder="1" applyProtection="1"/>
    <xf numFmtId="37" fontId="4" fillId="2" borderId="2" xfId="0" applyNumberFormat="1" applyFont="1" applyBorder="1" applyProtection="1"/>
    <xf numFmtId="37" fontId="1" fillId="2" borderId="30" xfId="0" applyNumberFormat="1" applyFont="1" applyBorder="1" applyProtection="1"/>
    <xf numFmtId="37" fontId="12" fillId="5" borderId="31" xfId="0" applyNumberFormat="1" applyFont="1" applyFill="1" applyBorder="1" applyProtection="1"/>
    <xf numFmtId="37" fontId="12" fillId="5" borderId="32" xfId="0" applyNumberFormat="1" applyFont="1" applyFill="1" applyBorder="1" applyProtection="1"/>
    <xf numFmtId="37" fontId="1" fillId="2" borderId="0" xfId="0" applyNumberFormat="1" applyFont="1" applyAlignment="1" applyProtection="1">
      <alignment horizontal="center"/>
    </xf>
    <xf numFmtId="37" fontId="1" fillId="2" borderId="2" xfId="0" applyNumberFormat="1" applyFont="1" applyBorder="1" applyProtection="1"/>
    <xf numFmtId="37" fontId="1" fillId="2" borderId="33" xfId="0" applyNumberFormat="1" applyFont="1" applyBorder="1" applyProtection="1"/>
    <xf numFmtId="37" fontId="1" fillId="2" borderId="5" xfId="0" applyNumberFormat="1" applyFont="1" applyBorder="1" applyProtection="1"/>
    <xf numFmtId="37" fontId="1" fillId="2" borderId="1" xfId="0" applyNumberFormat="1" applyFont="1" applyBorder="1" applyProtection="1"/>
    <xf numFmtId="37" fontId="1" fillId="3" borderId="4" xfId="0" applyNumberFormat="1" applyFont="1" applyFill="1" applyBorder="1" applyProtection="1"/>
    <xf numFmtId="37" fontId="1" fillId="2" borderId="5" xfId="0" applyNumberFormat="1" applyFont="1" applyBorder="1" applyAlignment="1" applyProtection="1">
      <alignment horizontal="center"/>
    </xf>
    <xf numFmtId="37" fontId="1" fillId="4" borderId="4" xfId="0" applyNumberFormat="1" applyFont="1" applyFill="1" applyBorder="1" applyProtection="1"/>
    <xf numFmtId="37" fontId="12" fillId="2" borderId="4" xfId="0" applyNumberFormat="1" applyFont="1" applyBorder="1" applyProtection="1"/>
    <xf numFmtId="37" fontId="12" fillId="5" borderId="34" xfId="0" applyNumberFormat="1" applyFont="1" applyFill="1" applyBorder="1" applyProtection="1"/>
    <xf numFmtId="2" fontId="12" fillId="0" borderId="4" xfId="0" applyNumberFormat="1" applyFont="1" applyFill="1" applyBorder="1" applyProtection="1"/>
    <xf numFmtId="2" fontId="12" fillId="2" borderId="4" xfId="0" applyNumberFormat="1" applyFont="1" applyBorder="1" applyProtection="1"/>
    <xf numFmtId="37" fontId="4" fillId="2" borderId="0" xfId="0" applyNumberFormat="1" applyFont="1" applyProtection="1"/>
    <xf numFmtId="37" fontId="1" fillId="2" borderId="35" xfId="0" applyNumberFormat="1" applyFont="1" applyBorder="1" applyAlignment="1" applyProtection="1">
      <alignment horizontal="center"/>
    </xf>
    <xf numFmtId="37" fontId="1" fillId="2" borderId="36" xfId="0" applyNumberFormat="1" applyFont="1" applyBorder="1" applyAlignment="1" applyProtection="1">
      <alignment horizontal="center"/>
    </xf>
    <xf numFmtId="37" fontId="1" fillId="2" borderId="37" xfId="0" applyNumberFormat="1" applyFont="1" applyBorder="1" applyAlignment="1" applyProtection="1">
      <alignment horizontal="center"/>
    </xf>
    <xf numFmtId="37" fontId="5" fillId="2" borderId="0" xfId="0" applyNumberFormat="1" applyFont="1" applyProtection="1"/>
    <xf numFmtId="37" fontId="1" fillId="2" borderId="38" xfId="0" applyNumberFormat="1" applyFont="1" applyBorder="1" applyAlignment="1" applyProtection="1">
      <alignment horizontal="center"/>
    </xf>
    <xf numFmtId="37" fontId="1" fillId="2" borderId="39" xfId="0" applyNumberFormat="1" applyFont="1" applyBorder="1" applyAlignment="1" applyProtection="1">
      <alignment horizontal="center"/>
    </xf>
    <xf numFmtId="37" fontId="1" fillId="2" borderId="40" xfId="0" applyNumberFormat="1" applyFont="1" applyBorder="1" applyAlignment="1" applyProtection="1">
      <alignment horizontal="center"/>
    </xf>
    <xf numFmtId="37" fontId="4" fillId="2" borderId="41" xfId="0" applyNumberFormat="1" applyFont="1" applyBorder="1" applyProtection="1"/>
    <xf numFmtId="37" fontId="1" fillId="2" borderId="42" xfId="0" applyNumberFormat="1" applyFont="1" applyBorder="1" applyProtection="1"/>
    <xf numFmtId="37" fontId="12" fillId="5" borderId="43" xfId="0" applyNumberFormat="1" applyFont="1" applyFill="1" applyBorder="1" applyProtection="1"/>
    <xf numFmtId="37" fontId="12" fillId="2" borderId="40" xfId="0" applyNumberFormat="1" applyFont="1" applyBorder="1" applyProtection="1"/>
    <xf numFmtId="37" fontId="1" fillId="2" borderId="8" xfId="0" applyNumberFormat="1" applyFont="1" applyBorder="1" applyAlignment="1" applyProtection="1">
      <alignment horizontal="center"/>
    </xf>
    <xf numFmtId="37" fontId="4" fillId="2" borderId="44" xfId="0" applyNumberFormat="1" applyFont="1" applyBorder="1" applyProtection="1"/>
    <xf numFmtId="37" fontId="1" fillId="2" borderId="6" xfId="0" applyNumberFormat="1" applyFont="1" applyBorder="1" applyProtection="1"/>
    <xf numFmtId="37" fontId="12" fillId="5" borderId="8" xfId="0" applyNumberFormat="1" applyFont="1" applyFill="1" applyBorder="1" applyProtection="1"/>
    <xf numFmtId="37" fontId="12" fillId="2" borderId="8" xfId="0" applyNumberFormat="1" applyFont="1" applyBorder="1" applyProtection="1"/>
    <xf numFmtId="37" fontId="1" fillId="4" borderId="8" xfId="0" applyNumberFormat="1" applyFont="1" applyFill="1" applyBorder="1" applyAlignment="1" applyProtection="1">
      <alignment horizontal="center"/>
    </xf>
    <xf numFmtId="37" fontId="4" fillId="4" borderId="44" xfId="0" applyNumberFormat="1" applyFont="1" applyFill="1" applyBorder="1" applyProtection="1"/>
    <xf numFmtId="37" fontId="1" fillId="4" borderId="45" xfId="0" applyNumberFormat="1" applyFont="1" applyFill="1" applyBorder="1" applyProtection="1"/>
    <xf numFmtId="37" fontId="12" fillId="4" borderId="8" xfId="0" applyNumberFormat="1" applyFont="1" applyFill="1" applyBorder="1" applyProtection="1"/>
    <xf numFmtId="37" fontId="0" fillId="0" borderId="0" xfId="0" applyNumberFormat="1" applyFill="1" applyProtection="1"/>
    <xf numFmtId="37" fontId="1" fillId="4" borderId="21" xfId="0" applyNumberFormat="1" applyFont="1" applyFill="1" applyBorder="1" applyProtection="1"/>
    <xf numFmtId="37" fontId="1" fillId="2" borderId="45" xfId="0" applyNumberFormat="1" applyFont="1" applyBorder="1" applyProtection="1"/>
    <xf numFmtId="37" fontId="4" fillId="2" borderId="0" xfId="0" applyNumberFormat="1" applyFont="1" applyBorder="1" applyProtection="1"/>
    <xf numFmtId="37" fontId="11" fillId="2" borderId="46" xfId="0" applyNumberFormat="1" applyFont="1" applyBorder="1" applyAlignment="1" applyProtection="1">
      <alignment horizontal="center"/>
    </xf>
    <xf numFmtId="37" fontId="12" fillId="2" borderId="45" xfId="0" applyNumberFormat="1" applyFont="1" applyBorder="1" applyProtection="1"/>
    <xf numFmtId="37" fontId="1" fillId="2" borderId="0" xfId="0" applyNumberFormat="1" applyFont="1" applyBorder="1" applyProtection="1"/>
    <xf numFmtId="37" fontId="11" fillId="2" borderId="0" xfId="0" applyNumberFormat="1" applyFont="1" applyBorder="1" applyAlignment="1" applyProtection="1">
      <alignment horizontal="center"/>
    </xf>
    <xf numFmtId="37" fontId="12" fillId="2" borderId="0" xfId="0" applyNumberFormat="1" applyFont="1" applyBorder="1" applyProtection="1"/>
    <xf numFmtId="37" fontId="13" fillId="5" borderId="0" xfId="0" applyNumberFormat="1" applyFont="1" applyFill="1" applyBorder="1" applyProtection="1"/>
    <xf numFmtId="37" fontId="8" fillId="2" borderId="35" xfId="0" applyNumberFormat="1" applyFont="1" applyBorder="1" applyAlignment="1" applyProtection="1">
      <alignment horizontal="center"/>
    </xf>
    <xf numFmtId="37" fontId="16" fillId="2" borderId="47" xfId="0" applyNumberFormat="1" applyFont="1" applyBorder="1" applyAlignment="1" applyProtection="1">
      <alignment horizontal="center"/>
    </xf>
    <xf numFmtId="37" fontId="8" fillId="2" borderId="37" xfId="0" applyNumberFormat="1" applyFont="1" applyBorder="1" applyAlignment="1" applyProtection="1">
      <alignment horizontal="center"/>
    </xf>
    <xf numFmtId="37" fontId="16" fillId="2" borderId="48" xfId="0" applyNumberFormat="1" applyFont="1" applyBorder="1" applyAlignment="1" applyProtection="1">
      <alignment horizontal="center"/>
    </xf>
    <xf numFmtId="37" fontId="8" fillId="2" borderId="38" xfId="0" applyNumberFormat="1" applyFont="1" applyBorder="1" applyAlignment="1" applyProtection="1">
      <alignment horizontal="center"/>
    </xf>
    <xf numFmtId="37" fontId="16" fillId="2" borderId="49" xfId="0" applyNumberFormat="1" applyFont="1" applyBorder="1" applyAlignment="1" applyProtection="1">
      <alignment horizontal="center"/>
    </xf>
    <xf numFmtId="37" fontId="1" fillId="2" borderId="40" xfId="0" quotePrefix="1" applyNumberFormat="1" applyFont="1" applyBorder="1" applyAlignment="1" applyProtection="1">
      <alignment horizontal="center"/>
    </xf>
    <xf numFmtId="37" fontId="14" fillId="5" borderId="46" xfId="0" applyNumberFormat="1" applyFont="1" applyFill="1" applyBorder="1" applyProtection="1"/>
    <xf numFmtId="37" fontId="14" fillId="0" borderId="46" xfId="0" applyNumberFormat="1" applyFont="1" applyFill="1" applyBorder="1" applyProtection="1"/>
    <xf numFmtId="37" fontId="1" fillId="2" borderId="50" xfId="0" quotePrefix="1" applyNumberFormat="1" applyFont="1" applyBorder="1" applyAlignment="1" applyProtection="1">
      <alignment horizontal="center"/>
    </xf>
    <xf numFmtId="37" fontId="5" fillId="2" borderId="2" xfId="0" applyNumberFormat="1" applyFont="1" applyBorder="1" applyProtection="1"/>
    <xf numFmtId="37" fontId="12" fillId="3" borderId="4" xfId="0" applyNumberFormat="1" applyFont="1" applyFill="1" applyBorder="1" applyProtection="1"/>
    <xf numFmtId="37" fontId="1" fillId="2" borderId="24" xfId="0" applyNumberFormat="1" applyFont="1" applyBorder="1" applyAlignment="1" applyProtection="1">
      <alignment horizontal="center"/>
    </xf>
    <xf numFmtId="37" fontId="1" fillId="2" borderId="19" xfId="0" applyNumberFormat="1" applyFont="1" applyBorder="1" applyProtection="1"/>
    <xf numFmtId="37" fontId="1" fillId="4" borderId="0" xfId="0" applyNumberFormat="1" applyFont="1" applyFill="1" applyBorder="1" applyProtection="1"/>
    <xf numFmtId="37" fontId="1" fillId="4" borderId="5" xfId="0" applyNumberFormat="1" applyFont="1" applyFill="1" applyBorder="1" applyAlignment="1" applyProtection="1">
      <alignment horizontal="center"/>
    </xf>
    <xf numFmtId="37" fontId="4" fillId="4" borderId="1" xfId="0" applyNumberFormat="1" applyFont="1" applyFill="1" applyBorder="1" applyProtection="1"/>
    <xf numFmtId="37" fontId="1" fillId="4" borderId="24" xfId="0" applyNumberFormat="1" applyFont="1" applyFill="1" applyBorder="1" applyAlignment="1" applyProtection="1">
      <alignment horizontal="center"/>
    </xf>
    <xf numFmtId="37" fontId="4" fillId="4" borderId="27" xfId="0" applyNumberFormat="1" applyFont="1" applyFill="1" applyBorder="1" applyProtection="1"/>
    <xf numFmtId="37" fontId="1" fillId="4" borderId="28" xfId="0" applyNumberFormat="1" applyFont="1" applyFill="1" applyBorder="1" applyProtection="1"/>
    <xf numFmtId="37" fontId="4" fillId="4" borderId="0" xfId="0" applyNumberFormat="1" applyFont="1" applyFill="1" applyBorder="1" applyProtection="1"/>
    <xf numFmtId="37" fontId="1" fillId="2" borderId="44" xfId="0" applyNumberFormat="1" applyFont="1" applyBorder="1" applyAlignment="1" applyProtection="1">
      <alignment horizontal="center"/>
    </xf>
    <xf numFmtId="37" fontId="4" fillId="2" borderId="26" xfId="0" applyNumberFormat="1" applyFont="1" applyBorder="1" applyProtection="1"/>
    <xf numFmtId="37" fontId="1" fillId="2" borderId="29" xfId="0" applyNumberFormat="1" applyFont="1" applyBorder="1" applyAlignment="1" applyProtection="1">
      <alignment horizontal="center"/>
    </xf>
    <xf numFmtId="37" fontId="1" fillId="4" borderId="30" xfId="0" applyNumberFormat="1" applyFont="1" applyFill="1" applyBorder="1" applyProtection="1"/>
    <xf numFmtId="37" fontId="12" fillId="2" borderId="30" xfId="0" applyNumberFormat="1" applyFont="1" applyBorder="1" applyProtection="1"/>
    <xf numFmtId="37" fontId="12" fillId="2" borderId="0" xfId="0" applyNumberFormat="1" applyFont="1" applyProtection="1"/>
    <xf numFmtId="37" fontId="1" fillId="3" borderId="30" xfId="0" applyNumberFormat="1" applyFont="1" applyFill="1" applyBorder="1" applyProtection="1"/>
    <xf numFmtId="37" fontId="1" fillId="2" borderId="30" xfId="0" applyNumberFormat="1" applyFont="1" applyBorder="1" applyAlignment="1" applyProtection="1">
      <alignment horizontal="center"/>
    </xf>
    <xf numFmtId="37" fontId="6" fillId="2" borderId="0" xfId="0" applyNumberFormat="1" applyFont="1" applyProtection="1"/>
    <xf numFmtId="37" fontId="0" fillId="2" borderId="0" xfId="0" applyNumberFormat="1" applyAlignment="1" applyProtection="1">
      <alignment horizontal="right"/>
    </xf>
    <xf numFmtId="15" fontId="0" fillId="2" borderId="0" xfId="0" applyNumberFormat="1" applyProtection="1"/>
    <xf numFmtId="37" fontId="7" fillId="2" borderId="19" xfId="0" applyNumberFormat="1" applyFont="1" applyBorder="1" applyProtection="1"/>
    <xf numFmtId="37" fontId="0" fillId="2" borderId="44" xfId="0" applyNumberFormat="1" applyBorder="1" applyProtection="1"/>
    <xf numFmtId="37" fontId="0" fillId="2" borderId="45" xfId="0" applyNumberFormat="1" applyBorder="1" applyProtection="1"/>
    <xf numFmtId="37" fontId="0" fillId="2" borderId="0" xfId="0" applyNumberFormat="1" applyBorder="1" applyAlignment="1">
      <alignment horizontal="right"/>
    </xf>
    <xf numFmtId="37" fontId="6" fillId="2" borderId="18" xfId="0" applyNumberFormat="1" applyFont="1" applyBorder="1" applyAlignment="1">
      <alignment horizontal="center"/>
    </xf>
    <xf numFmtId="37" fontId="28" fillId="9" borderId="8" xfId="0" applyNumberFormat="1" applyFont="1" applyFill="1" applyBorder="1" applyAlignment="1">
      <alignment horizontal="center"/>
    </xf>
    <xf numFmtId="37" fontId="29" fillId="2" borderId="0" xfId="0" applyNumberFormat="1" applyFont="1" applyBorder="1"/>
    <xf numFmtId="37" fontId="6" fillId="2" borderId="0" xfId="0" applyNumberFormat="1" applyFont="1" applyBorder="1"/>
    <xf numFmtId="37" fontId="0" fillId="4" borderId="43" xfId="0" applyNumberFormat="1" applyFill="1" applyBorder="1" applyProtection="1"/>
    <xf numFmtId="37" fontId="0" fillId="7" borderId="43" xfId="0" applyNumberFormat="1" applyFill="1" applyBorder="1" applyProtection="1">
      <protection locked="0"/>
    </xf>
    <xf numFmtId="37" fontId="33" fillId="8" borderId="51" xfId="0" applyNumberFormat="1" applyFont="1" applyFill="1" applyBorder="1" applyProtection="1"/>
    <xf numFmtId="37" fontId="3" fillId="2" borderId="52" xfId="0" applyNumberFormat="1" applyFont="1" applyBorder="1"/>
    <xf numFmtId="5" fontId="34" fillId="2" borderId="53" xfId="0" applyNumberFormat="1" applyFont="1" applyBorder="1"/>
    <xf numFmtId="37" fontId="0" fillId="2" borderId="54" xfId="0" applyNumberFormat="1" applyBorder="1"/>
    <xf numFmtId="37" fontId="0" fillId="2" borderId="46" xfId="0" applyNumberFormat="1" applyBorder="1"/>
    <xf numFmtId="39" fontId="0" fillId="2" borderId="0" xfId="0" applyNumberFormat="1" applyProtection="1"/>
    <xf numFmtId="39" fontId="0" fillId="8" borderId="8" xfId="0" applyNumberFormat="1" applyFill="1" applyBorder="1" applyProtection="1"/>
    <xf numFmtId="9" fontId="12" fillId="2" borderId="2" xfId="0" applyNumberFormat="1" applyFont="1" applyBorder="1" applyAlignment="1" applyProtection="1">
      <alignment horizontal="center"/>
    </xf>
    <xf numFmtId="37" fontId="32" fillId="2" borderId="55" xfId="0" applyNumberFormat="1" applyFont="1" applyBorder="1"/>
    <xf numFmtId="37" fontId="32" fillId="2" borderId="7" xfId="0" applyNumberFormat="1" applyFont="1" applyBorder="1" applyAlignment="1">
      <alignment horizontal="center"/>
    </xf>
    <xf numFmtId="37" fontId="32" fillId="2" borderId="0" xfId="0" applyNumberFormat="1" applyFont="1"/>
    <xf numFmtId="37" fontId="32" fillId="2" borderId="0" xfId="0" applyNumberFormat="1" applyFont="1" applyBorder="1"/>
    <xf numFmtId="37" fontId="22" fillId="2" borderId="0" xfId="0" applyNumberFormat="1" applyFont="1" applyBorder="1" applyAlignment="1">
      <alignment horizontal="center"/>
    </xf>
    <xf numFmtId="49" fontId="0" fillId="2" borderId="0" xfId="0" applyNumberFormat="1" applyAlignment="1">
      <alignment horizontal="left"/>
    </xf>
    <xf numFmtId="49" fontId="32" fillId="2" borderId="0" xfId="0" applyNumberFormat="1" applyFont="1" applyAlignment="1">
      <alignment horizontal="left"/>
    </xf>
    <xf numFmtId="37" fontId="6" fillId="2" borderId="18" xfId="0" applyNumberFormat="1" applyFont="1" applyBorder="1" applyAlignment="1">
      <alignment horizontal="centerContinuous"/>
    </xf>
    <xf numFmtId="164" fontId="0" fillId="2" borderId="0" xfId="0" applyNumberFormat="1" applyBorder="1"/>
    <xf numFmtId="37" fontId="2" fillId="2" borderId="0" xfId="0" applyNumberFormat="1" applyFont="1" applyBorder="1" applyAlignment="1">
      <alignment horizontal="right"/>
    </xf>
    <xf numFmtId="37" fontId="2" fillId="2" borderId="0" xfId="0" applyNumberFormat="1" applyFont="1" applyBorder="1"/>
    <xf numFmtId="2" fontId="0" fillId="2" borderId="0" xfId="0" applyNumberFormat="1" applyBorder="1"/>
    <xf numFmtId="37" fontId="0" fillId="2" borderId="56" xfId="0" applyNumberFormat="1" applyBorder="1"/>
    <xf numFmtId="37" fontId="0" fillId="2" borderId="57" xfId="0" applyNumberFormat="1" applyBorder="1"/>
    <xf numFmtId="37" fontId="0" fillId="2" borderId="58" xfId="0" applyNumberFormat="1" applyBorder="1"/>
    <xf numFmtId="37" fontId="0" fillId="2" borderId="58" xfId="0" applyNumberFormat="1" applyBorder="1" applyAlignment="1"/>
    <xf numFmtId="37" fontId="6" fillId="2" borderId="58" xfId="0" applyNumberFormat="1" applyFont="1" applyBorder="1"/>
    <xf numFmtId="37" fontId="6" fillId="2" borderId="59" xfId="0" applyNumberFormat="1" applyFont="1" applyBorder="1" applyAlignment="1">
      <alignment horizontal="centerContinuous"/>
    </xf>
    <xf numFmtId="37" fontId="0" fillId="2" borderId="60" xfId="0" applyNumberFormat="1" applyBorder="1" applyAlignment="1">
      <alignment horizontal="center"/>
    </xf>
    <xf numFmtId="37" fontId="0" fillId="2" borderId="61" xfId="0" applyNumberFormat="1" applyBorder="1"/>
    <xf numFmtId="37" fontId="0" fillId="2" borderId="62" xfId="0" applyNumberFormat="1" applyBorder="1"/>
    <xf numFmtId="37" fontId="0" fillId="2" borderId="63" xfId="0" applyNumberFormat="1" applyBorder="1"/>
    <xf numFmtId="37" fontId="6" fillId="2" borderId="64" xfId="0" applyNumberFormat="1" applyFont="1" applyBorder="1" applyAlignment="1">
      <alignment horizontal="center"/>
    </xf>
    <xf numFmtId="37" fontId="36" fillId="2" borderId="0" xfId="0" applyNumberFormat="1" applyFont="1" applyAlignment="1" applyProtection="1">
      <alignment horizontal="center"/>
    </xf>
    <xf numFmtId="37" fontId="38" fillId="2" borderId="0" xfId="0" applyNumberFormat="1" applyFont="1" applyBorder="1"/>
    <xf numFmtId="37" fontId="39" fillId="2" borderId="57" xfId="0" applyNumberFormat="1" applyFont="1" applyBorder="1"/>
    <xf numFmtId="37" fontId="39" fillId="2" borderId="65" xfId="0" applyNumberFormat="1" applyFont="1" applyBorder="1"/>
    <xf numFmtId="37" fontId="0" fillId="2" borderId="66" xfId="0" applyNumberFormat="1" applyBorder="1" applyAlignment="1">
      <alignment horizontal="centerContinuous"/>
    </xf>
    <xf numFmtId="37" fontId="0" fillId="2" borderId="67" xfId="0" applyNumberFormat="1" applyBorder="1" applyProtection="1"/>
    <xf numFmtId="37" fontId="0" fillId="2" borderId="68" xfId="0" quotePrefix="1" applyNumberFormat="1" applyBorder="1" applyAlignment="1" applyProtection="1">
      <alignment horizontal="center"/>
    </xf>
    <xf numFmtId="37" fontId="0" fillId="2" borderId="67" xfId="0" applyNumberFormat="1" applyBorder="1" applyAlignment="1" applyProtection="1">
      <alignment horizontal="center"/>
    </xf>
    <xf numFmtId="37" fontId="0" fillId="2" borderId="63" xfId="0" applyNumberFormat="1" applyBorder="1" applyProtection="1"/>
    <xf numFmtId="37" fontId="0" fillId="2" borderId="58" xfId="0" applyNumberFormat="1" applyBorder="1" applyProtection="1"/>
    <xf numFmtId="37" fontId="0" fillId="2" borderId="65" xfId="0" applyNumberFormat="1" applyBorder="1"/>
    <xf numFmtId="37" fontId="0" fillId="2" borderId="60" xfId="0" applyNumberFormat="1" applyBorder="1" applyAlignment="1"/>
    <xf numFmtId="37" fontId="0" fillId="2" borderId="61" xfId="0" applyNumberFormat="1" applyBorder="1" applyProtection="1"/>
    <xf numFmtId="37" fontId="6" fillId="2" borderId="0" xfId="0" applyNumberFormat="1" applyFont="1" applyBorder="1" applyAlignment="1">
      <alignment horizontal="center"/>
    </xf>
    <xf numFmtId="37" fontId="19" fillId="2" borderId="69" xfId="0" applyNumberFormat="1" applyFont="1" applyBorder="1" applyAlignment="1">
      <alignment horizontal="center" vertical="center"/>
    </xf>
    <xf numFmtId="37" fontId="22" fillId="2" borderId="0" xfId="0" applyNumberFormat="1" applyFont="1" applyBorder="1" applyAlignment="1">
      <alignment horizontal="centerContinuous"/>
    </xf>
    <xf numFmtId="37" fontId="8" fillId="4" borderId="4" xfId="0" applyNumberFormat="1" applyFont="1" applyFill="1" applyBorder="1"/>
    <xf numFmtId="37" fontId="1" fillId="2" borderId="16" xfId="0" applyNumberFormat="1" applyFont="1" applyBorder="1" applyAlignment="1">
      <alignment horizontal="center"/>
    </xf>
    <xf numFmtId="37" fontId="1" fillId="2" borderId="70" xfId="0" applyNumberFormat="1" applyFont="1" applyBorder="1"/>
    <xf numFmtId="37" fontId="1" fillId="2" borderId="32" xfId="0" applyNumberFormat="1" applyFont="1" applyBorder="1"/>
    <xf numFmtId="37" fontId="37" fillId="2" borderId="0" xfId="0" applyNumberFormat="1" applyFont="1" applyProtection="1"/>
    <xf numFmtId="37" fontId="37" fillId="2" borderId="8" xfId="0" applyNumberFormat="1" applyFont="1" applyBorder="1" applyProtection="1"/>
    <xf numFmtId="37" fontId="41" fillId="2" borderId="0" xfId="0" applyNumberFormat="1" applyFont="1" applyAlignment="1" applyProtection="1">
      <alignment horizontal="center"/>
    </xf>
    <xf numFmtId="37" fontId="37" fillId="4" borderId="8" xfId="0" applyNumberFormat="1" applyFont="1" applyFill="1" applyBorder="1" applyProtection="1"/>
    <xf numFmtId="37" fontId="41" fillId="2" borderId="8" xfId="0" applyNumberFormat="1" applyFont="1" applyBorder="1" applyProtection="1"/>
    <xf numFmtId="37" fontId="42" fillId="2" borderId="51" xfId="0" applyNumberFormat="1" applyFont="1" applyBorder="1" applyProtection="1"/>
    <xf numFmtId="37" fontId="41" fillId="2" borderId="18" xfId="0" applyNumberFormat="1" applyFont="1" applyBorder="1" applyAlignment="1" applyProtection="1">
      <alignment horizontal="center"/>
    </xf>
    <xf numFmtId="37" fontId="37" fillId="2" borderId="18" xfId="0" applyNumberFormat="1" applyFont="1" applyBorder="1" applyProtection="1"/>
    <xf numFmtId="37" fontId="37" fillId="2" borderId="19" xfId="0" applyNumberFormat="1" applyFont="1" applyBorder="1" applyProtection="1"/>
    <xf numFmtId="37" fontId="19" fillId="2" borderId="0" xfId="0" applyNumberFormat="1" applyFont="1" applyProtection="1"/>
    <xf numFmtId="37" fontId="18" fillId="2" borderId="0" xfId="0" applyNumberFormat="1" applyFont="1" applyProtection="1"/>
    <xf numFmtId="37" fontId="18" fillId="2" borderId="0" xfId="0" applyNumberFormat="1" applyFont="1" applyAlignment="1"/>
    <xf numFmtId="37" fontId="43" fillId="2" borderId="0" xfId="0" applyNumberFormat="1" applyFont="1" applyAlignment="1" applyProtection="1"/>
    <xf numFmtId="37" fontId="43" fillId="2" borderId="0" xfId="0" applyNumberFormat="1" applyFont="1" applyAlignment="1" applyProtection="1">
      <alignment horizontal="left"/>
    </xf>
    <xf numFmtId="37" fontId="44" fillId="2" borderId="0" xfId="0" applyNumberFormat="1" applyFont="1" applyProtection="1"/>
    <xf numFmtId="37" fontId="44" fillId="2" borderId="0" xfId="0" applyNumberFormat="1" applyFont="1"/>
    <xf numFmtId="37" fontId="45" fillId="0" borderId="0" xfId="0" applyNumberFormat="1" applyFont="1" applyFill="1" applyBorder="1" applyAlignment="1" applyProtection="1">
      <alignment horizontal="centerContinuous"/>
    </xf>
    <xf numFmtId="37" fontId="24" fillId="2" borderId="0" xfId="0" applyNumberFormat="1" applyFont="1" applyBorder="1" applyAlignment="1" applyProtection="1">
      <alignment horizontal="centerContinuous"/>
    </xf>
    <xf numFmtId="37" fontId="24" fillId="2" borderId="0" xfId="0" applyNumberFormat="1" applyFont="1" applyAlignment="1" applyProtection="1">
      <alignment horizontal="centerContinuous"/>
    </xf>
    <xf numFmtId="37" fontId="24" fillId="2" borderId="0" xfId="0" applyNumberFormat="1" applyFont="1" applyProtection="1"/>
    <xf numFmtId="37" fontId="24" fillId="2" borderId="0" xfId="0" applyNumberFormat="1" applyFont="1" applyBorder="1"/>
    <xf numFmtId="37" fontId="46" fillId="2" borderId="0" xfId="0" applyNumberFormat="1" applyFont="1" applyAlignment="1" applyProtection="1">
      <alignment horizontal="centerContinuous"/>
    </xf>
    <xf numFmtId="37" fontId="24" fillId="2" borderId="0" xfId="0" applyNumberFormat="1" applyFont="1"/>
    <xf numFmtId="37" fontId="38" fillId="2" borderId="8" xfId="0" applyNumberFormat="1" applyFont="1" applyBorder="1" applyProtection="1"/>
    <xf numFmtId="37" fontId="47" fillId="2" borderId="43" xfId="0" applyNumberFormat="1" applyFont="1" applyBorder="1" applyProtection="1"/>
    <xf numFmtId="37" fontId="37" fillId="2" borderId="0" xfId="0" applyNumberFormat="1" applyFont="1"/>
    <xf numFmtId="37" fontId="37" fillId="2" borderId="1" xfId="0" applyNumberFormat="1" applyFont="1" applyBorder="1"/>
    <xf numFmtId="37" fontId="48" fillId="2" borderId="0" xfId="0" applyNumberFormat="1" applyFont="1"/>
    <xf numFmtId="3" fontId="8" fillId="2" borderId="4" xfId="0" applyNumberFormat="1" applyFont="1" applyBorder="1"/>
    <xf numFmtId="3" fontId="8" fillId="2" borderId="10" xfId="0" applyNumberFormat="1" applyFont="1" applyBorder="1"/>
    <xf numFmtId="3" fontId="8" fillId="5" borderId="4" xfId="0" applyNumberFormat="1" applyFont="1" applyFill="1" applyBorder="1"/>
    <xf numFmtId="37" fontId="1" fillId="3" borderId="4" xfId="0" applyNumberFormat="1" applyFont="1" applyFill="1" applyBorder="1"/>
    <xf numFmtId="37" fontId="17" fillId="2" borderId="4" xfId="0" applyNumberFormat="1" applyFont="1" applyBorder="1"/>
    <xf numFmtId="37" fontId="15" fillId="2" borderId="15" xfId="0" applyNumberFormat="1" applyFont="1" applyBorder="1"/>
    <xf numFmtId="37" fontId="8" fillId="2" borderId="15" xfId="0" applyNumberFormat="1" applyFont="1" applyBorder="1"/>
    <xf numFmtId="37" fontId="1" fillId="3" borderId="15" xfId="0" applyNumberFormat="1" applyFont="1" applyFill="1" applyBorder="1"/>
    <xf numFmtId="37" fontId="17" fillId="2" borderId="15" xfId="0" applyNumberFormat="1" applyFont="1" applyBorder="1"/>
    <xf numFmtId="42" fontId="15" fillId="2" borderId="1" xfId="0" applyNumberFormat="1" applyFont="1" applyBorder="1"/>
    <xf numFmtId="42" fontId="15" fillId="2" borderId="8" xfId="0" applyNumberFormat="1" applyFont="1" applyBorder="1"/>
    <xf numFmtId="42" fontId="15" fillId="2" borderId="4" xfId="0" applyNumberFormat="1" applyFont="1" applyBorder="1"/>
    <xf numFmtId="42" fontId="15" fillId="2" borderId="15" xfId="0" applyNumberFormat="1" applyFont="1" applyBorder="1"/>
    <xf numFmtId="42" fontId="17" fillId="2" borderId="4" xfId="0" applyNumberFormat="1" applyFont="1" applyBorder="1"/>
    <xf numFmtId="42" fontId="17" fillId="3" borderId="4" xfId="0" applyNumberFormat="1" applyFont="1" applyFill="1" applyBorder="1"/>
    <xf numFmtId="42" fontId="8" fillId="5" borderId="4" xfId="0" applyNumberFormat="1" applyFont="1" applyFill="1" applyBorder="1"/>
    <xf numFmtId="42" fontId="17" fillId="2" borderId="15" xfId="0" applyNumberFormat="1" applyFont="1" applyBorder="1"/>
    <xf numFmtId="42" fontId="15" fillId="2" borderId="7" xfId="0" applyNumberFormat="1" applyFont="1" applyBorder="1"/>
    <xf numFmtId="42" fontId="15" fillId="2" borderId="71" xfId="0" applyNumberFormat="1" applyFont="1" applyBorder="1"/>
    <xf numFmtId="42" fontId="15" fillId="2" borderId="10" xfId="0" applyNumberFormat="1" applyFont="1" applyBorder="1"/>
    <xf numFmtId="44" fontId="8" fillId="2" borderId="4" xfId="0" applyNumberFormat="1" applyFont="1" applyBorder="1"/>
    <xf numFmtId="44" fontId="8" fillId="2" borderId="10" xfId="0" applyNumberFormat="1" applyFont="1" applyBorder="1"/>
    <xf numFmtId="44" fontId="8" fillId="2" borderId="32" xfId="0" applyNumberFormat="1" applyFont="1" applyBorder="1"/>
    <xf numFmtId="44" fontId="8" fillId="0" borderId="32" xfId="0" applyNumberFormat="1" applyFont="1" applyFill="1" applyBorder="1"/>
    <xf numFmtId="44" fontId="8" fillId="2" borderId="72" xfId="0" applyNumberFormat="1" applyFont="1" applyBorder="1"/>
    <xf numFmtId="37" fontId="8" fillId="2" borderId="53" xfId="0" applyNumberFormat="1" applyFont="1" applyBorder="1"/>
    <xf numFmtId="37" fontId="8" fillId="5" borderId="53" xfId="0" applyNumberFormat="1" applyFont="1" applyFill="1" applyBorder="1"/>
    <xf numFmtId="37" fontId="8" fillId="4" borderId="52" xfId="0" applyNumberFormat="1" applyFont="1" applyFill="1" applyBorder="1"/>
    <xf numFmtId="37" fontId="8" fillId="5" borderId="52" xfId="0" applyNumberFormat="1" applyFont="1" applyFill="1" applyBorder="1"/>
    <xf numFmtId="37" fontId="8" fillId="2" borderId="73" xfId="0" applyNumberFormat="1" applyFont="1" applyBorder="1"/>
    <xf numFmtId="37" fontId="6" fillId="2" borderId="0" xfId="0" applyNumberFormat="1" applyFont="1" applyBorder="1" applyAlignment="1">
      <alignment horizontal="centerContinuous"/>
    </xf>
    <xf numFmtId="37" fontId="21" fillId="2" borderId="0" xfId="0" applyNumberFormat="1" applyFont="1" applyAlignment="1">
      <alignment horizontal="centerContinuous"/>
    </xf>
    <xf numFmtId="37" fontId="1" fillId="2" borderId="60" xfId="0" applyNumberFormat="1" applyFont="1" applyBorder="1"/>
    <xf numFmtId="37" fontId="1" fillId="2" borderId="62" xfId="0" applyNumberFormat="1" applyFont="1" applyBorder="1"/>
    <xf numFmtId="44" fontId="8" fillId="2" borderId="62" xfId="0" applyNumberFormat="1" applyFont="1" applyBorder="1"/>
    <xf numFmtId="44" fontId="8" fillId="0" borderId="62" xfId="0" applyNumberFormat="1" applyFont="1" applyFill="1" applyBorder="1"/>
    <xf numFmtId="44" fontId="8" fillId="2" borderId="60" xfId="0" applyNumberFormat="1" applyFont="1" applyBorder="1" applyAlignment="1">
      <alignment horizontal="center"/>
    </xf>
    <xf numFmtId="44" fontId="8" fillId="0" borderId="60" xfId="0" applyNumberFormat="1" applyFont="1" applyFill="1" applyBorder="1" applyAlignment="1">
      <alignment horizontal="center"/>
    </xf>
    <xf numFmtId="37" fontId="50" fillId="2" borderId="0" xfId="0" applyNumberFormat="1" applyFont="1" applyBorder="1" applyAlignment="1">
      <alignment horizontal="centerContinuous"/>
    </xf>
    <xf numFmtId="37" fontId="1" fillId="2" borderId="0" xfId="0" applyNumberFormat="1" applyFont="1" applyBorder="1" applyAlignment="1">
      <alignment horizontal="centerContinuous"/>
    </xf>
    <xf numFmtId="44" fontId="8" fillId="2" borderId="0" xfId="0" applyNumberFormat="1" applyFont="1" applyBorder="1" applyAlignment="1">
      <alignment horizontal="centerContinuous"/>
    </xf>
    <xf numFmtId="44" fontId="8" fillId="0" borderId="0" xfId="0" applyNumberFormat="1" applyFont="1" applyFill="1" applyBorder="1" applyAlignment="1">
      <alignment horizontal="centerContinuous"/>
    </xf>
    <xf numFmtId="37" fontId="12" fillId="4" borderId="4" xfId="0" applyNumberFormat="1" applyFont="1" applyFill="1" applyBorder="1" applyProtection="1"/>
    <xf numFmtId="37" fontId="37" fillId="2" borderId="74" xfId="0" applyNumberFormat="1" applyFont="1" applyBorder="1" applyAlignment="1">
      <alignment horizontal="center"/>
    </xf>
    <xf numFmtId="37" fontId="49" fillId="2" borderId="0" xfId="0" applyNumberFormat="1" applyFont="1" applyAlignment="1">
      <alignment horizontal="center"/>
    </xf>
    <xf numFmtId="37" fontId="51" fillId="9" borderId="8" xfId="0" applyNumberFormat="1" applyFont="1" applyFill="1" applyBorder="1" applyAlignment="1">
      <alignment horizontal="center"/>
    </xf>
    <xf numFmtId="37" fontId="52" fillId="2" borderId="75" xfId="0" applyNumberFormat="1" applyFont="1" applyBorder="1" applyAlignment="1">
      <alignment horizontal="center"/>
    </xf>
    <xf numFmtId="37" fontId="53" fillId="2" borderId="76" xfId="0" applyNumberFormat="1" applyFont="1" applyBorder="1"/>
    <xf numFmtId="37" fontId="53" fillId="2" borderId="77" xfId="0" applyNumberFormat="1" applyFont="1" applyBorder="1"/>
    <xf numFmtId="37" fontId="52" fillId="2" borderId="78" xfId="0" applyNumberFormat="1" applyFont="1" applyBorder="1"/>
    <xf numFmtId="37" fontId="53" fillId="2" borderId="0" xfId="0" applyNumberFormat="1" applyFont="1" applyBorder="1"/>
    <xf numFmtId="37" fontId="53" fillId="2" borderId="79" xfId="0" applyNumberFormat="1" applyFont="1" applyBorder="1"/>
    <xf numFmtId="37" fontId="52" fillId="2" borderId="80" xfId="0" applyNumberFormat="1" applyFont="1" applyBorder="1"/>
    <xf numFmtId="37" fontId="53" fillId="2" borderId="81" xfId="0" applyNumberFormat="1" applyFont="1" applyBorder="1"/>
    <xf numFmtId="37" fontId="53" fillId="2" borderId="82" xfId="0" applyNumberFormat="1" applyFont="1" applyBorder="1"/>
    <xf numFmtId="37" fontId="47" fillId="2" borderId="0" xfId="0" applyNumberFormat="1" applyFont="1" applyBorder="1" applyAlignment="1">
      <alignment horizontal="right"/>
    </xf>
    <xf numFmtId="37" fontId="49" fillId="2" borderId="0" xfId="0" applyNumberFormat="1" applyFont="1"/>
    <xf numFmtId="37" fontId="37" fillId="2" borderId="36" xfId="0" applyNumberFormat="1" applyFont="1" applyBorder="1"/>
    <xf numFmtId="37" fontId="37" fillId="2" borderId="13" xfId="0" applyNumberFormat="1" applyFont="1" applyBorder="1"/>
    <xf numFmtId="37" fontId="37" fillId="2" borderId="26" xfId="0" applyNumberFormat="1" applyFont="1" applyBorder="1"/>
    <xf numFmtId="37" fontId="37" fillId="2" borderId="83" xfId="0" applyNumberFormat="1" applyFont="1" applyBorder="1" applyAlignment="1">
      <alignment horizontal="center"/>
    </xf>
    <xf numFmtId="37" fontId="54" fillId="2" borderId="14" xfId="0" applyNumberFormat="1" applyFont="1" applyBorder="1"/>
    <xf numFmtId="37" fontId="48" fillId="0" borderId="0" xfId="0" applyNumberFormat="1" applyFont="1" applyFill="1"/>
    <xf numFmtId="37" fontId="49" fillId="2" borderId="3" xfId="0" applyNumberFormat="1" applyFont="1" applyBorder="1" applyAlignment="1">
      <alignment horizontal="center"/>
    </xf>
    <xf numFmtId="37" fontId="49" fillId="2" borderId="0" xfId="0" applyNumberFormat="1" applyFont="1" applyBorder="1" applyAlignment="1">
      <alignment horizontal="center"/>
    </xf>
    <xf numFmtId="37" fontId="37" fillId="2" borderId="3" xfId="0" applyNumberFormat="1" applyFont="1" applyBorder="1"/>
    <xf numFmtId="37" fontId="37" fillId="2" borderId="4" xfId="0" applyNumberFormat="1" applyFont="1" applyBorder="1" applyAlignment="1">
      <alignment horizontal="center"/>
    </xf>
    <xf numFmtId="37" fontId="37" fillId="2" borderId="1" xfId="0" applyNumberFormat="1" applyFont="1" applyBorder="1" applyAlignment="1">
      <alignment horizontal="center"/>
    </xf>
    <xf numFmtId="0" fontId="37" fillId="2" borderId="84" xfId="0" applyNumberFormat="1" applyFont="1" applyBorder="1" applyAlignment="1">
      <alignment horizontal="center"/>
    </xf>
    <xf numFmtId="0" fontId="37" fillId="2" borderId="1" xfId="0" applyNumberFormat="1" applyFont="1" applyBorder="1" applyAlignment="1">
      <alignment horizontal="center"/>
    </xf>
    <xf numFmtId="37" fontId="37" fillId="3" borderId="4" xfId="0" applyNumberFormat="1" applyFont="1" applyFill="1" applyBorder="1" applyProtection="1">
      <protection locked="0"/>
    </xf>
    <xf numFmtId="37" fontId="37" fillId="0" borderId="17" xfId="0" applyNumberFormat="1" applyFont="1" applyFill="1" applyBorder="1"/>
    <xf numFmtId="37" fontId="37" fillId="2" borderId="4" xfId="0" applyNumberFormat="1" applyFont="1" applyBorder="1"/>
    <xf numFmtId="37" fontId="37" fillId="4" borderId="4" xfId="0" applyNumberFormat="1" applyFont="1" applyFill="1" applyBorder="1" applyProtection="1">
      <protection locked="0"/>
    </xf>
    <xf numFmtId="37" fontId="37" fillId="4" borderId="8" xfId="0" applyNumberFormat="1" applyFont="1" applyFill="1" applyBorder="1" applyProtection="1">
      <protection locked="0"/>
    </xf>
    <xf numFmtId="37" fontId="37" fillId="2" borderId="85" xfId="0" applyNumberFormat="1" applyFont="1" applyBorder="1"/>
    <xf numFmtId="37" fontId="37" fillId="0" borderId="86" xfId="0" applyNumberFormat="1" applyFont="1" applyFill="1" applyBorder="1" applyProtection="1"/>
    <xf numFmtId="37" fontId="54" fillId="2" borderId="7" xfId="0" applyNumberFormat="1" applyFont="1" applyBorder="1"/>
    <xf numFmtId="37" fontId="54" fillId="2" borderId="55" xfId="0" applyNumberFormat="1" applyFont="1" applyBorder="1"/>
    <xf numFmtId="37" fontId="49" fillId="2" borderId="4" xfId="0" applyNumberFormat="1" applyFont="1" applyBorder="1"/>
    <xf numFmtId="37" fontId="49" fillId="2" borderId="87" xfId="0" applyNumberFormat="1" applyFont="1" applyBorder="1"/>
    <xf numFmtId="37" fontId="49" fillId="2" borderId="5" xfId="0" applyNumberFormat="1" applyFont="1" applyBorder="1"/>
    <xf numFmtId="37" fontId="37" fillId="2" borderId="20" xfId="0" applyNumberFormat="1" applyFont="1" applyBorder="1"/>
    <xf numFmtId="37" fontId="37" fillId="2" borderId="21" xfId="0" applyNumberFormat="1" applyFont="1" applyBorder="1"/>
    <xf numFmtId="37" fontId="37" fillId="2" borderId="26" xfId="0" applyNumberFormat="1" applyFont="1" applyBorder="1" applyAlignment="1">
      <alignment horizontal="right"/>
    </xf>
    <xf numFmtId="37" fontId="37" fillId="2" borderId="18" xfId="0" applyNumberFormat="1" applyFont="1" applyBorder="1" applyAlignment="1">
      <alignment horizontal="right"/>
    </xf>
    <xf numFmtId="37" fontId="37" fillId="2" borderId="0" xfId="0" applyNumberFormat="1" applyFont="1" applyBorder="1"/>
    <xf numFmtId="37" fontId="37" fillId="2" borderId="16" xfId="0" applyNumberFormat="1" applyFont="1" applyBorder="1"/>
    <xf numFmtId="37" fontId="37" fillId="2" borderId="18" xfId="0" applyNumberFormat="1" applyFont="1" applyBorder="1"/>
    <xf numFmtId="39" fontId="37" fillId="2" borderId="88" xfId="0" applyNumberFormat="1" applyFont="1" applyBorder="1" applyAlignment="1">
      <alignment horizontal="right"/>
    </xf>
    <xf numFmtId="39" fontId="37" fillId="2" borderId="89" xfId="0" applyNumberFormat="1" applyFont="1" applyBorder="1" applyAlignment="1">
      <alignment horizontal="right"/>
    </xf>
    <xf numFmtId="37" fontId="37" fillId="2" borderId="6" xfId="0" applyNumberFormat="1" applyFont="1" applyBorder="1"/>
    <xf numFmtId="37" fontId="37" fillId="2" borderId="1" xfId="0" applyNumberFormat="1" applyFont="1" applyBorder="1" applyAlignment="1">
      <alignment horizontal="centerContinuous"/>
    </xf>
    <xf numFmtId="37" fontId="37" fillId="2" borderId="4" xfId="0" applyNumberFormat="1" applyFont="1" applyBorder="1" applyAlignment="1">
      <alignment horizontal="centerContinuous"/>
    </xf>
    <xf numFmtId="3" fontId="37" fillId="0" borderId="90" xfId="0" applyNumberFormat="1" applyFont="1" applyFill="1" applyBorder="1"/>
    <xf numFmtId="3" fontId="37" fillId="4" borderId="53" xfId="0" applyNumberFormat="1" applyFont="1" applyFill="1" applyBorder="1"/>
    <xf numFmtId="3" fontId="37" fillId="0" borderId="90" xfId="0" applyNumberFormat="1" applyFont="1" applyFill="1" applyBorder="1" applyProtection="1"/>
    <xf numFmtId="3" fontId="37" fillId="0" borderId="53" xfId="0" applyNumberFormat="1" applyFont="1" applyFill="1" applyBorder="1" applyProtection="1"/>
    <xf numFmtId="3" fontId="54" fillId="2" borderId="91" xfId="0" applyNumberFormat="1" applyFont="1" applyBorder="1"/>
    <xf numFmtId="3" fontId="54" fillId="2" borderId="92" xfId="0" applyNumberFormat="1" applyFont="1" applyBorder="1"/>
    <xf numFmtId="37" fontId="0" fillId="2" borderId="0" xfId="0" applyNumberFormat="1" applyBorder="1" applyAlignment="1">
      <alignment horizontal="centerContinuous"/>
    </xf>
    <xf numFmtId="37" fontId="0" fillId="5" borderId="0" xfId="0" applyNumberFormat="1" applyFill="1"/>
    <xf numFmtId="37" fontId="0" fillId="5" borderId="0" xfId="0" applyNumberFormat="1" applyFill="1" applyBorder="1"/>
    <xf numFmtId="37" fontId="48" fillId="5" borderId="0" xfId="0" applyNumberFormat="1" applyFont="1" applyFill="1" applyAlignment="1">
      <alignment horizontal="right"/>
    </xf>
    <xf numFmtId="37" fontId="48" fillId="5" borderId="1" xfId="0" applyNumberFormat="1" applyFont="1" applyFill="1" applyBorder="1" applyProtection="1"/>
    <xf numFmtId="37" fontId="37" fillId="5" borderId="0" xfId="0" applyNumberFormat="1" applyFont="1" applyFill="1" applyAlignment="1">
      <alignment horizontal="right"/>
    </xf>
    <xf numFmtId="39" fontId="48" fillId="5" borderId="1" xfId="0" applyNumberFormat="1" applyFont="1" applyFill="1" applyBorder="1" applyProtection="1"/>
    <xf numFmtId="39" fontId="48" fillId="5" borderId="0" xfId="0" applyNumberFormat="1" applyFont="1" applyFill="1" applyBorder="1" applyProtection="1"/>
    <xf numFmtId="37" fontId="37" fillId="5" borderId="1" xfId="0" applyNumberFormat="1" applyFont="1" applyFill="1" applyBorder="1"/>
    <xf numFmtId="37" fontId="48" fillId="5" borderId="0" xfId="0" applyNumberFormat="1" applyFont="1" applyFill="1"/>
    <xf numFmtId="37" fontId="37" fillId="5" borderId="0" xfId="0" applyNumberFormat="1" applyFont="1" applyFill="1" applyBorder="1"/>
    <xf numFmtId="37" fontId="55" fillId="5" borderId="0" xfId="0" applyNumberFormat="1" applyFont="1" applyFill="1" applyAlignment="1">
      <alignment horizontal="right"/>
    </xf>
    <xf numFmtId="37" fontId="49" fillId="5" borderId="0" xfId="0" applyNumberFormat="1" applyFont="1" applyFill="1" applyAlignment="1">
      <alignment horizontal="right"/>
    </xf>
    <xf numFmtId="2" fontId="37" fillId="5" borderId="1" xfId="0" applyNumberFormat="1" applyFont="1" applyFill="1" applyBorder="1"/>
    <xf numFmtId="2" fontId="37" fillId="5" borderId="1" xfId="0" applyNumberFormat="1" applyFont="1" applyFill="1" applyBorder="1" applyAlignment="1">
      <alignment horizontal="right"/>
    </xf>
    <xf numFmtId="37" fontId="49" fillId="5" borderId="1" xfId="0" applyNumberFormat="1" applyFont="1" applyFill="1" applyBorder="1"/>
    <xf numFmtId="37" fontId="6" fillId="5" borderId="0" xfId="0" applyNumberFormat="1" applyFont="1" applyFill="1" applyBorder="1" applyAlignment="1">
      <alignment horizontal="center"/>
    </xf>
    <xf numFmtId="39" fontId="2" fillId="5" borderId="0" xfId="0" applyNumberFormat="1" applyFont="1" applyFill="1" applyBorder="1" applyProtection="1"/>
    <xf numFmtId="4" fontId="37" fillId="2" borderId="0" xfId="0" applyNumberFormat="1" applyFont="1"/>
    <xf numFmtId="4" fontId="37" fillId="2" borderId="0" xfId="0" applyNumberFormat="1" applyFont="1" applyAlignment="1">
      <alignment horizontal="right" indent="1"/>
    </xf>
    <xf numFmtId="4" fontId="49" fillId="2" borderId="18" xfId="0" applyNumberFormat="1" applyFont="1" applyBorder="1" applyAlignment="1">
      <alignment horizontal="center"/>
    </xf>
    <xf numFmtId="4" fontId="37" fillId="2" borderId="0" xfId="0" applyNumberFormat="1" applyFont="1" applyAlignment="1">
      <alignment horizontal="center"/>
    </xf>
    <xf numFmtId="4" fontId="37" fillId="2" borderId="0" xfId="0" applyNumberFormat="1" applyFont="1" applyBorder="1" applyAlignment="1">
      <alignment horizontal="left" indent="1"/>
    </xf>
    <xf numFmtId="4" fontId="37" fillId="2" borderId="0" xfId="0" applyNumberFormat="1" applyFont="1" applyAlignment="1">
      <alignment shrinkToFit="1"/>
    </xf>
    <xf numFmtId="4" fontId="37" fillId="2" borderId="0" xfId="0" applyNumberFormat="1" applyFont="1" applyAlignment="1"/>
    <xf numFmtId="4" fontId="37" fillId="2" borderId="44" xfId="0" applyNumberFormat="1" applyFont="1" applyBorder="1" applyAlignment="1">
      <alignment horizontal="left" indent="1"/>
    </xf>
    <xf numFmtId="4" fontId="37" fillId="2" borderId="45" xfId="0" applyNumberFormat="1" applyFont="1" applyBorder="1" applyAlignment="1">
      <alignment horizontal="left" indent="1"/>
    </xf>
    <xf numFmtId="37" fontId="49" fillId="5" borderId="0" xfId="0" applyNumberFormat="1" applyFont="1" applyFill="1" applyBorder="1"/>
    <xf numFmtId="37" fontId="49" fillId="2" borderId="87" xfId="0" applyNumberFormat="1" applyFont="1" applyBorder="1" applyAlignment="1">
      <alignment horizontal="center"/>
    </xf>
    <xf numFmtId="37" fontId="10" fillId="2" borderId="0" xfId="0" applyNumberFormat="1" applyFont="1" applyBorder="1" applyAlignment="1" applyProtection="1">
      <alignment horizontal="centerContinuous"/>
    </xf>
    <xf numFmtId="37" fontId="10" fillId="2" borderId="0" xfId="0" applyNumberFormat="1" applyFont="1" applyAlignment="1" applyProtection="1">
      <alignment horizontal="centerContinuous"/>
    </xf>
    <xf numFmtId="37" fontId="10" fillId="2" borderId="0" xfId="0" applyNumberFormat="1" applyFont="1" applyProtection="1"/>
    <xf numFmtId="37" fontId="58" fillId="2" borderId="0" xfId="0" applyNumberFormat="1" applyFont="1" applyBorder="1" applyAlignment="1" applyProtection="1">
      <alignment horizontal="centerContinuous"/>
    </xf>
    <xf numFmtId="37" fontId="12" fillId="5" borderId="9" xfId="0" applyNumberFormat="1" applyFont="1" applyFill="1" applyBorder="1" applyProtection="1"/>
    <xf numFmtId="37" fontId="1" fillId="4" borderId="19" xfId="0" applyNumberFormat="1" applyFont="1" applyFill="1" applyBorder="1" applyProtection="1"/>
    <xf numFmtId="37" fontId="1" fillId="2" borderId="45" xfId="0" applyNumberFormat="1" applyFont="1" applyBorder="1" applyAlignment="1" applyProtection="1">
      <alignment horizontal="center"/>
    </xf>
    <xf numFmtId="37" fontId="0" fillId="2" borderId="36" xfId="0" applyNumberFormat="1" applyBorder="1" applyProtection="1"/>
    <xf numFmtId="37" fontId="0" fillId="2" borderId="21" xfId="0" applyNumberFormat="1" applyBorder="1" applyProtection="1"/>
    <xf numFmtId="37" fontId="37" fillId="4" borderId="0" xfId="0" applyNumberFormat="1" applyFont="1" applyFill="1" applyBorder="1" applyProtection="1">
      <protection locked="0"/>
    </xf>
    <xf numFmtId="37" fontId="4" fillId="4" borderId="26" xfId="0" applyNumberFormat="1" applyFont="1" applyFill="1" applyBorder="1" applyProtection="1"/>
    <xf numFmtId="37" fontId="1" fillId="4" borderId="6" xfId="0" applyNumberFormat="1" applyFont="1" applyFill="1" applyBorder="1" applyProtection="1"/>
    <xf numFmtId="37" fontId="14" fillId="2" borderId="93" xfId="0" applyNumberFormat="1" applyFont="1" applyBorder="1"/>
    <xf numFmtId="37" fontId="1" fillId="2" borderId="94" xfId="0" applyNumberFormat="1" applyFont="1" applyBorder="1"/>
    <xf numFmtId="37" fontId="14" fillId="2" borderId="95" xfId="0" applyNumberFormat="1" applyFont="1" applyBorder="1"/>
    <xf numFmtId="37" fontId="1" fillId="2" borderId="96" xfId="0" applyNumberFormat="1" applyFont="1" applyBorder="1"/>
    <xf numFmtId="37" fontId="14" fillId="2" borderId="94" xfId="0" applyNumberFormat="1" applyFont="1" applyBorder="1"/>
    <xf numFmtId="37" fontId="14" fillId="2" borderId="96" xfId="0" applyNumberFormat="1" applyFont="1" applyBorder="1"/>
    <xf numFmtId="37" fontId="14" fillId="2" borderId="97" xfId="0" applyNumberFormat="1" applyFont="1" applyBorder="1"/>
    <xf numFmtId="39" fontId="10" fillId="7" borderId="35" xfId="0" applyNumberFormat="1" applyFont="1" applyFill="1" applyBorder="1" applyProtection="1"/>
    <xf numFmtId="37" fontId="7" fillId="2" borderId="0" xfId="0" applyNumberFormat="1" applyFont="1" applyBorder="1" applyProtection="1"/>
    <xf numFmtId="37" fontId="8" fillId="4" borderId="8" xfId="0" applyNumberFormat="1" applyFont="1" applyFill="1" applyBorder="1"/>
    <xf numFmtId="37" fontId="17" fillId="5" borderId="8" xfId="0" applyNumberFormat="1" applyFont="1" applyFill="1" applyBorder="1"/>
    <xf numFmtId="37" fontId="17" fillId="2" borderId="8" xfId="0" applyNumberFormat="1" applyFont="1" applyBorder="1"/>
    <xf numFmtId="37" fontId="17" fillId="0" borderId="8" xfId="0" applyNumberFormat="1" applyFont="1" applyFill="1" applyBorder="1"/>
    <xf numFmtId="37" fontId="8" fillId="2" borderId="77" xfId="0" applyNumberFormat="1" applyFont="1" applyBorder="1" applyAlignment="1" applyProtection="1">
      <alignment horizontal="center"/>
    </xf>
    <xf numFmtId="37" fontId="8" fillId="2" borderId="79" xfId="0" applyNumberFormat="1" applyFont="1" applyBorder="1" applyAlignment="1" applyProtection="1">
      <alignment horizontal="center"/>
    </xf>
    <xf numFmtId="37" fontId="8" fillId="2" borderId="82" xfId="0" applyNumberFormat="1" applyFont="1" applyBorder="1" applyAlignment="1" applyProtection="1">
      <alignment horizontal="center"/>
    </xf>
    <xf numFmtId="37" fontId="14" fillId="2" borderId="98" xfId="0" applyNumberFormat="1" applyFont="1" applyBorder="1" applyProtection="1"/>
    <xf numFmtId="37" fontId="0" fillId="4" borderId="8" xfId="0" applyNumberFormat="1" applyFill="1" applyBorder="1" applyProtection="1">
      <protection locked="0"/>
    </xf>
    <xf numFmtId="37" fontId="0" fillId="4" borderId="45" xfId="0" applyNumberFormat="1" applyFill="1" applyBorder="1" applyProtection="1">
      <protection locked="0"/>
    </xf>
    <xf numFmtId="37" fontId="17" fillId="4" borderId="8" xfId="0" applyNumberFormat="1" applyFont="1" applyFill="1" applyBorder="1"/>
    <xf numFmtId="39" fontId="10" fillId="7" borderId="8" xfId="0" applyNumberFormat="1" applyFont="1" applyFill="1" applyBorder="1" applyProtection="1">
      <protection locked="0"/>
    </xf>
    <xf numFmtId="37" fontId="8" fillId="0" borderId="4" xfId="0" applyNumberFormat="1" applyFont="1" applyFill="1" applyBorder="1"/>
    <xf numFmtId="37" fontId="8" fillId="0" borderId="10" xfId="0" applyNumberFormat="1" applyFont="1" applyFill="1" applyBorder="1"/>
    <xf numFmtId="38" fontId="0" fillId="7" borderId="8" xfId="0" applyNumberFormat="1" applyFill="1" applyBorder="1" applyProtection="1">
      <protection locked="0"/>
    </xf>
    <xf numFmtId="37" fontId="0" fillId="2" borderId="8" xfId="0" applyNumberFormat="1" applyBorder="1" applyAlignment="1">
      <alignment vertical="center"/>
    </xf>
    <xf numFmtId="37" fontId="0" fillId="2" borderId="8" xfId="0" applyNumberFormat="1" applyBorder="1" applyAlignment="1">
      <alignment horizontal="center" vertical="center"/>
    </xf>
    <xf numFmtId="37" fontId="0" fillId="6" borderId="8" xfId="0" applyNumberFormat="1" applyFill="1" applyBorder="1" applyProtection="1">
      <protection locked="0"/>
    </xf>
    <xf numFmtId="37" fontId="0" fillId="0" borderId="8" xfId="0" applyNumberFormat="1" applyFill="1" applyBorder="1" applyProtection="1">
      <protection locked="0"/>
    </xf>
    <xf numFmtId="37" fontId="0" fillId="0" borderId="8" xfId="0" applyNumberFormat="1" applyFill="1" applyBorder="1" applyProtection="1"/>
    <xf numFmtId="37" fontId="12" fillId="2" borderId="99" xfId="0" applyNumberFormat="1" applyFont="1" applyBorder="1" applyProtection="1"/>
    <xf numFmtId="37" fontId="12" fillId="5" borderId="1" xfId="0" applyNumberFormat="1" applyFont="1" applyFill="1" applyBorder="1" applyProtection="1"/>
    <xf numFmtId="37" fontId="1" fillId="0" borderId="0" xfId="0" applyNumberFormat="1" applyFont="1" applyFill="1" applyBorder="1" applyAlignment="1" applyProtection="1">
      <alignment horizontal="center"/>
    </xf>
    <xf numFmtId="37" fontId="1" fillId="0" borderId="0" xfId="0" applyNumberFormat="1" applyFont="1" applyFill="1" applyBorder="1" applyProtection="1"/>
    <xf numFmtId="37" fontId="11" fillId="0" borderId="0" xfId="0" applyNumberFormat="1" applyFont="1" applyFill="1" applyBorder="1" applyAlignment="1" applyProtection="1">
      <alignment horizontal="center"/>
    </xf>
    <xf numFmtId="37" fontId="8" fillId="0" borderId="0" xfId="0" applyNumberFormat="1" applyFont="1" applyFill="1" applyBorder="1" applyAlignment="1" applyProtection="1">
      <alignment horizontal="center"/>
    </xf>
    <xf numFmtId="37" fontId="8" fillId="0" borderId="0" xfId="0" applyNumberFormat="1" applyFont="1" applyFill="1" applyBorder="1" applyProtection="1"/>
    <xf numFmtId="37" fontId="8" fillId="0" borderId="13" xfId="0" applyNumberFormat="1" applyFont="1" applyFill="1" applyBorder="1" applyAlignment="1" applyProtection="1">
      <alignment horizontal="center"/>
    </xf>
    <xf numFmtId="37" fontId="8" fillId="0" borderId="18" xfId="0" applyNumberFormat="1" applyFont="1" applyFill="1" applyBorder="1" applyAlignment="1" applyProtection="1">
      <alignment horizontal="center"/>
    </xf>
    <xf numFmtId="37" fontId="12" fillId="5" borderId="100" xfId="0" applyNumberFormat="1" applyFont="1" applyFill="1" applyBorder="1" applyProtection="1"/>
    <xf numFmtId="37" fontId="1" fillId="0" borderId="13" xfId="0" applyNumberFormat="1" applyFont="1" applyFill="1" applyBorder="1" applyProtection="1"/>
    <xf numFmtId="37" fontId="0" fillId="0" borderId="13" xfId="0" applyNumberFormat="1" applyFill="1" applyBorder="1" applyProtection="1"/>
    <xf numFmtId="37" fontId="15" fillId="10" borderId="0" xfId="0" applyNumberFormat="1" applyFont="1" applyFill="1" applyBorder="1" applyAlignment="1" applyProtection="1">
      <alignment horizontal="center" vertical="top"/>
    </xf>
    <xf numFmtId="37" fontId="12" fillId="5" borderId="40" xfId="0" applyNumberFormat="1" applyFont="1" applyFill="1" applyBorder="1" applyProtection="1"/>
    <xf numFmtId="37" fontId="1" fillId="2" borderId="101" xfId="0" applyNumberFormat="1" applyFont="1" applyBorder="1" applyAlignment="1" applyProtection="1">
      <alignment horizontal="center"/>
    </xf>
    <xf numFmtId="37" fontId="11" fillId="2" borderId="16" xfId="0" applyNumberFormat="1" applyFont="1" applyBorder="1" applyAlignment="1" applyProtection="1">
      <alignment horizontal="center"/>
    </xf>
    <xf numFmtId="37" fontId="1" fillId="2" borderId="102" xfId="0" applyNumberFormat="1" applyFont="1" applyBorder="1" applyAlignment="1" applyProtection="1">
      <alignment horizontal="center"/>
    </xf>
    <xf numFmtId="37" fontId="12" fillId="5" borderId="15" xfId="0" applyNumberFormat="1" applyFont="1" applyFill="1" applyBorder="1" applyProtection="1"/>
    <xf numFmtId="37" fontId="37" fillId="11" borderId="1" xfId="0" applyNumberFormat="1" applyFont="1" applyFill="1" applyBorder="1"/>
    <xf numFmtId="37" fontId="0" fillId="11" borderId="1" xfId="0" applyNumberFormat="1" applyFill="1" applyBorder="1"/>
    <xf numFmtId="37" fontId="0" fillId="11" borderId="4" xfId="0" applyNumberFormat="1" applyFill="1" applyBorder="1"/>
    <xf numFmtId="37" fontId="37" fillId="11" borderId="17" xfId="0" applyNumberFormat="1" applyFont="1" applyFill="1" applyBorder="1"/>
    <xf numFmtId="37" fontId="0" fillId="11" borderId="45" xfId="0" applyNumberFormat="1" applyFill="1" applyBorder="1"/>
    <xf numFmtId="3" fontId="37" fillId="11" borderId="90" xfId="0" applyNumberFormat="1" applyFont="1" applyFill="1" applyBorder="1"/>
    <xf numFmtId="37" fontId="37" fillId="11" borderId="4" xfId="0" applyNumberFormat="1" applyFont="1" applyFill="1" applyBorder="1"/>
    <xf numFmtId="37" fontId="10" fillId="2" borderId="83" xfId="0" applyNumberFormat="1" applyFont="1" applyBorder="1" applyAlignment="1">
      <alignment horizontal="center"/>
    </xf>
    <xf numFmtId="37" fontId="10" fillId="2" borderId="1" xfId="0" applyNumberFormat="1" applyFont="1" applyBorder="1"/>
    <xf numFmtId="49" fontId="61" fillId="2" borderId="0" xfId="0" applyNumberFormat="1" applyFont="1" applyAlignment="1">
      <alignment horizontal="left"/>
    </xf>
    <xf numFmtId="37" fontId="7" fillId="2" borderId="0" xfId="0" applyNumberFormat="1" applyFont="1" applyAlignment="1" applyProtection="1">
      <alignment wrapText="1"/>
    </xf>
    <xf numFmtId="37" fontId="0" fillId="2" borderId="35" xfId="0" applyNumberFormat="1" applyBorder="1" applyProtection="1"/>
    <xf numFmtId="37" fontId="0" fillId="2" borderId="8" xfId="0" applyNumberFormat="1" applyBorder="1" applyProtection="1"/>
    <xf numFmtId="37" fontId="0" fillId="8" borderId="35" xfId="0" applyNumberFormat="1" applyFill="1" applyBorder="1" applyProtection="1"/>
    <xf numFmtId="3" fontId="37" fillId="0" borderId="53" xfId="0" applyNumberFormat="1" applyFont="1" applyFill="1" applyBorder="1"/>
    <xf numFmtId="37" fontId="41" fillId="2" borderId="0" xfId="0" applyNumberFormat="1" applyFont="1" applyBorder="1" applyAlignment="1" applyProtection="1">
      <alignment horizontal="center"/>
    </xf>
    <xf numFmtId="37" fontId="37" fillId="2" borderId="0" xfId="0" applyNumberFormat="1" applyFont="1" applyBorder="1" applyProtection="1"/>
    <xf numFmtId="37" fontId="37" fillId="4" borderId="0" xfId="0" applyNumberFormat="1" applyFont="1" applyFill="1" applyBorder="1" applyProtection="1"/>
    <xf numFmtId="37" fontId="10" fillId="2" borderId="8" xfId="0" applyNumberFormat="1" applyFont="1" applyBorder="1" applyAlignment="1" applyProtection="1"/>
    <xf numFmtId="171" fontId="10" fillId="0" borderId="8" xfId="2" applyNumberFormat="1" applyFont="1" applyFill="1" applyBorder="1" applyAlignment="1">
      <alignment horizontal="center"/>
    </xf>
    <xf numFmtId="37" fontId="62" fillId="2" borderId="1" xfId="0" applyNumberFormat="1" applyFont="1" applyBorder="1"/>
    <xf numFmtId="37" fontId="62" fillId="11" borderId="1" xfId="0" applyNumberFormat="1" applyFont="1" applyFill="1" applyBorder="1"/>
    <xf numFmtId="3" fontId="59" fillId="4" borderId="53" xfId="0" applyNumberFormat="1" applyFont="1" applyFill="1" applyBorder="1"/>
    <xf numFmtId="171" fontId="37" fillId="0" borderId="44" xfId="2" applyNumberFormat="1" applyFont="1" applyFill="1" applyBorder="1" applyAlignment="1"/>
    <xf numFmtId="37" fontId="0" fillId="7" borderId="21" xfId="0" applyNumberFormat="1" applyFill="1" applyBorder="1" applyProtection="1">
      <protection locked="0"/>
    </xf>
    <xf numFmtId="37" fontId="0" fillId="7" borderId="45" xfId="0" applyNumberFormat="1" applyFill="1" applyBorder="1" applyProtection="1">
      <protection locked="0"/>
    </xf>
    <xf numFmtId="37" fontId="11" fillId="2" borderId="103" xfId="0" applyNumberFormat="1" applyFont="1" applyBorder="1"/>
    <xf numFmtId="4" fontId="37" fillId="12" borderId="44" xfId="0" applyNumberFormat="1" applyFont="1" applyFill="1" applyBorder="1" applyAlignment="1" applyProtection="1">
      <alignment horizontal="left" indent="1"/>
      <protection locked="0"/>
    </xf>
    <xf numFmtId="37" fontId="0" fillId="12" borderId="45" xfId="0" applyNumberFormat="1" applyFill="1" applyBorder="1" applyAlignment="1" applyProtection="1">
      <alignment horizontal="left" indent="1"/>
      <protection locked="0"/>
    </xf>
    <xf numFmtId="49" fontId="18" fillId="6" borderId="104" xfId="0" applyNumberFormat="1" applyFont="1" applyFill="1" applyBorder="1" applyAlignment="1" applyProtection="1">
      <alignment horizontal="center" vertical="center"/>
      <protection locked="0"/>
    </xf>
    <xf numFmtId="49" fontId="18" fillId="2" borderId="105" xfId="0" applyNumberFormat="1" applyFont="1" applyBorder="1" applyAlignment="1" applyProtection="1">
      <alignment horizontal="center" vertical="center"/>
      <protection locked="0"/>
    </xf>
    <xf numFmtId="37" fontId="37" fillId="5" borderId="106" xfId="0" applyNumberFormat="1" applyFont="1" applyFill="1" applyBorder="1" applyAlignment="1">
      <alignment vertical="top" wrapText="1"/>
    </xf>
    <xf numFmtId="37" fontId="0" fillId="5" borderId="106" xfId="0" applyNumberFormat="1" applyFill="1" applyBorder="1" applyAlignment="1">
      <alignment vertical="top" wrapText="1"/>
    </xf>
    <xf numFmtId="37" fontId="0" fillId="5" borderId="0" xfId="0" applyNumberFormat="1" applyFill="1" applyAlignment="1">
      <alignment vertical="top" wrapText="1"/>
    </xf>
    <xf numFmtId="37" fontId="0" fillId="2" borderId="0" xfId="0" applyNumberFormat="1" applyAlignment="1">
      <alignment horizontal="right" wrapText="1"/>
    </xf>
    <xf numFmtId="37" fontId="0" fillId="2" borderId="0" xfId="0" applyNumberFormat="1" applyAlignment="1">
      <alignment wrapText="1"/>
    </xf>
    <xf numFmtId="0" fontId="54" fillId="2" borderId="107" xfId="0" applyNumberFormat="1" applyFont="1" applyBorder="1" applyAlignment="1">
      <alignment horizontal="center"/>
    </xf>
    <xf numFmtId="0" fontId="54" fillId="2" borderId="20" xfId="0" applyNumberFormat="1" applyFont="1" applyBorder="1" applyAlignment="1">
      <alignment horizontal="center"/>
    </xf>
    <xf numFmtId="37" fontId="4" fillId="2" borderId="108" xfId="0" applyNumberFormat="1" applyFont="1" applyBorder="1" applyAlignment="1" applyProtection="1">
      <alignment horizontal="right"/>
    </xf>
    <xf numFmtId="37" fontId="0" fillId="2" borderId="109" xfId="0" applyNumberFormat="1" applyBorder="1" applyAlignment="1">
      <alignment horizontal="right"/>
    </xf>
    <xf numFmtId="37" fontId="12" fillId="5" borderId="0" xfId="0" applyNumberFormat="1" applyFont="1" applyFill="1" applyBorder="1" applyAlignment="1" applyProtection="1">
      <alignment horizontal="right"/>
    </xf>
    <xf numFmtId="37" fontId="0" fillId="2" borderId="0" xfId="0" applyNumberFormat="1" applyAlignment="1">
      <alignment horizontal="right"/>
    </xf>
    <xf numFmtId="37" fontId="0" fillId="2" borderId="79" xfId="0" applyNumberFormat="1" applyBorder="1" applyAlignment="1">
      <alignment horizontal="right"/>
    </xf>
    <xf numFmtId="37" fontId="8" fillId="5" borderId="24" xfId="0" applyNumberFormat="1" applyFont="1" applyFill="1" applyBorder="1" applyAlignment="1" applyProtection="1">
      <alignment horizontal="center" vertical="center" wrapText="1"/>
    </xf>
    <xf numFmtId="37" fontId="0" fillId="5" borderId="24" xfId="0" applyNumberFormat="1" applyFill="1" applyBorder="1" applyAlignment="1">
      <alignment horizontal="center" vertical="center"/>
    </xf>
    <xf numFmtId="37" fontId="0" fillId="5" borderId="5" xfId="0" applyNumberFormat="1" applyFill="1" applyBorder="1" applyAlignment="1">
      <alignment horizontal="center" vertical="center"/>
    </xf>
    <xf numFmtId="37" fontId="1" fillId="0" borderId="110" xfId="0" applyNumberFormat="1" applyFont="1" applyFill="1" applyBorder="1" applyAlignment="1">
      <alignment wrapText="1"/>
    </xf>
    <xf numFmtId="37" fontId="0" fillId="0" borderId="111" xfId="0" applyNumberFormat="1" applyFill="1" applyBorder="1" applyAlignment="1">
      <alignment wrapText="1"/>
    </xf>
    <xf numFmtId="37" fontId="1" fillId="2" borderId="44" xfId="0" applyNumberFormat="1" applyFont="1" applyBorder="1" applyAlignment="1">
      <alignment horizontal="left"/>
    </xf>
    <xf numFmtId="37" fontId="1" fillId="2" borderId="45" xfId="0" applyNumberFormat="1" applyFont="1" applyBorder="1" applyAlignment="1">
      <alignment horizontal="left"/>
    </xf>
    <xf numFmtId="37" fontId="1" fillId="2" borderId="8" xfId="0" applyNumberFormat="1" applyFont="1" applyBorder="1" applyAlignment="1">
      <alignment horizontal="left"/>
    </xf>
    <xf numFmtId="37" fontId="12" fillId="5" borderId="0" xfId="0" applyNumberFormat="1" applyFont="1" applyFill="1" applyBorder="1" applyAlignment="1"/>
    <xf numFmtId="37" fontId="0" fillId="2" borderId="0" xfId="0" applyNumberFormat="1" applyAlignment="1"/>
    <xf numFmtId="37" fontId="17" fillId="7" borderId="44" xfId="0" applyNumberFormat="1" applyFont="1" applyFill="1" applyBorder="1" applyAlignment="1" applyProtection="1">
      <alignment horizontal="center"/>
      <protection locked="0"/>
    </xf>
    <xf numFmtId="37" fontId="17" fillId="7" borderId="45" xfId="0" applyNumberFormat="1" applyFont="1" applyFill="1" applyBorder="1" applyAlignment="1" applyProtection="1">
      <alignment horizontal="center"/>
      <protection locked="0"/>
    </xf>
    <xf numFmtId="37" fontId="17" fillId="7" borderId="44" xfId="0" quotePrefix="1" applyNumberFormat="1" applyFont="1" applyFill="1" applyBorder="1" applyAlignment="1" applyProtection="1">
      <alignment horizontal="center"/>
      <protection locked="0"/>
    </xf>
    <xf numFmtId="37" fontId="17" fillId="7" borderId="45" xfId="0" quotePrefix="1" applyNumberFormat="1" applyFont="1" applyFill="1" applyBorder="1" applyAlignment="1" applyProtection="1">
      <alignment horizontal="center"/>
      <protection locked="0"/>
    </xf>
    <xf numFmtId="49" fontId="17" fillId="7" borderId="44" xfId="0" applyNumberFormat="1" applyFont="1" applyFill="1" applyBorder="1" applyAlignment="1" applyProtection="1">
      <alignment horizontal="center"/>
      <protection locked="0"/>
    </xf>
    <xf numFmtId="49" fontId="17" fillId="7" borderId="45" xfId="0" applyNumberFormat="1" applyFont="1" applyFill="1" applyBorder="1" applyAlignment="1" applyProtection="1">
      <alignment horizontal="center"/>
      <protection locked="0"/>
    </xf>
    <xf numFmtId="37" fontId="0" fillId="2" borderId="44" xfId="0" applyNumberFormat="1" applyBorder="1" applyAlignment="1" applyProtection="1">
      <alignment horizontal="left"/>
    </xf>
    <xf numFmtId="37" fontId="0" fillId="2" borderId="45" xfId="0" applyNumberFormat="1" applyBorder="1" applyAlignment="1" applyProtection="1">
      <alignment horizontal="left"/>
    </xf>
    <xf numFmtId="37" fontId="59" fillId="0" borderId="0" xfId="0" applyNumberFormat="1" applyFont="1" applyFill="1" applyBorder="1" applyAlignment="1" applyProtection="1">
      <alignment horizontal="center" vertical="center" wrapText="1"/>
    </xf>
    <xf numFmtId="37" fontId="37" fillId="0" borderId="0" xfId="0" applyNumberFormat="1" applyFont="1" applyFill="1" applyBorder="1" applyAlignment="1" applyProtection="1">
      <alignment horizontal="center" vertical="center" wrapText="1"/>
    </xf>
    <xf numFmtId="37" fontId="37" fillId="2" borderId="112" xfId="0" applyNumberFormat="1" applyFont="1" applyBorder="1" applyAlignment="1" applyProtection="1">
      <alignment vertical="center" wrapText="1"/>
    </xf>
    <xf numFmtId="37" fontId="0" fillId="2" borderId="67" xfId="0" applyNumberFormat="1" applyBorder="1" applyAlignment="1">
      <alignment vertical="center" wrapText="1"/>
    </xf>
    <xf numFmtId="37" fontId="0" fillId="2" borderId="113" xfId="0" applyNumberFormat="1" applyBorder="1" applyAlignment="1">
      <alignment vertical="center" wrapText="1"/>
    </xf>
    <xf numFmtId="37" fontId="0" fillId="0" borderId="35" xfId="0" applyNumberFormat="1" applyFill="1" applyBorder="1" applyAlignment="1" applyProtection="1">
      <alignment horizontal="center" vertical="center" wrapText="1"/>
    </xf>
    <xf numFmtId="37" fontId="0" fillId="2" borderId="37" xfId="0" applyNumberFormat="1" applyBorder="1" applyAlignment="1" applyProtection="1">
      <alignment horizontal="center" vertical="center" wrapText="1"/>
    </xf>
    <xf numFmtId="37" fontId="0" fillId="2" borderId="43" xfId="0" applyNumberFormat="1" applyBorder="1" applyAlignment="1" applyProtection="1">
      <alignment horizontal="center" vertical="center" wrapText="1"/>
    </xf>
  </cellXfs>
  <cellStyles count="3">
    <cellStyle name="Normal" xfId="0" builtinId="0"/>
    <cellStyle name="Normal 2" xfId="1"/>
    <cellStyle name="Normal_1011_ODFG_AOD_test" xfId="2"/>
  </cellStyles>
  <dxfs count="23">
    <dxf>
      <fill>
        <patternFill>
          <bgColor indexed="8"/>
        </patternFill>
      </fill>
    </dxf>
    <dxf>
      <font>
        <condense val="0"/>
        <extend val="0"/>
        <color indexed="51"/>
      </font>
      <fill>
        <patternFill>
          <bgColor indexed="16"/>
        </patternFill>
      </fill>
    </dxf>
    <dxf>
      <fill>
        <patternFill>
          <bgColor indexed="8"/>
        </patternFill>
      </fill>
    </dxf>
    <dxf>
      <fill>
        <patternFill>
          <bgColor indexed="8"/>
        </patternFill>
      </fill>
    </dxf>
    <dxf>
      <font>
        <condense val="0"/>
        <extend val="0"/>
        <color indexed="51"/>
      </font>
      <fill>
        <patternFill>
          <bgColor indexed="16"/>
        </patternFill>
      </fill>
    </dxf>
    <dxf>
      <font>
        <b val="0"/>
        <i val="0"/>
        <condense val="0"/>
        <extend val="0"/>
      </font>
    </dxf>
    <dxf>
      <font>
        <condense val="0"/>
        <extend val="0"/>
        <color indexed="12"/>
      </font>
      <fill>
        <patternFill>
          <bgColor indexed="42"/>
        </patternFill>
      </fill>
    </dxf>
    <dxf>
      <font>
        <strike val="0"/>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ill>
        <patternFill>
          <bgColor indexed="8"/>
        </patternFill>
      </fill>
    </dxf>
    <dxf>
      <font>
        <condense val="0"/>
        <extend val="0"/>
        <color auto="1"/>
      </font>
      <border>
        <left/>
        <right/>
        <top/>
        <bottom/>
      </border>
    </dxf>
    <dxf>
      <font>
        <condense val="0"/>
        <extend val="0"/>
        <color indexed="9"/>
      </font>
      <border>
        <bottom/>
      </border>
    </dxf>
    <dxf>
      <font>
        <condense val="0"/>
        <extend val="0"/>
        <color indexed="9"/>
      </font>
      <border>
        <bottom/>
      </border>
    </dxf>
    <dxf>
      <font>
        <condense val="0"/>
        <extend val="0"/>
        <color indexed="12"/>
      </font>
      <fill>
        <patternFill>
          <bgColor indexed="42"/>
        </patternFill>
      </fill>
    </dxf>
    <dxf>
      <font>
        <b val="0"/>
        <i val="0"/>
        <condense val="0"/>
        <extend val="0"/>
      </font>
    </dxf>
    <dxf>
      <font>
        <condense val="0"/>
        <extend val="0"/>
        <color indexed="9"/>
      </font>
      <border>
        <bottom/>
      </border>
    </dxf>
    <dxf>
      <font>
        <condense val="0"/>
        <extend val="0"/>
        <color auto="1"/>
      </font>
      <border>
        <bottom style="thin">
          <color indexed="64"/>
        </bottom>
      </border>
    </dxf>
    <dxf>
      <font>
        <condense val="0"/>
        <extend val="0"/>
        <color indexed="9"/>
      </font>
      <border>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1200150</xdr:colOff>
          <xdr:row>6</xdr:row>
          <xdr:rowOff>76200</xdr:rowOff>
        </xdr:from>
        <xdr:to>
          <xdr:col>5</xdr:col>
          <xdr:colOff>190500</xdr:colOff>
          <xdr:row>9</xdr:row>
          <xdr:rowOff>152400</xdr:rowOff>
        </xdr:to>
        <xdr:sp macro="" textlink="">
          <xdr:nvSpPr>
            <xdr:cNvPr id="5124" name="MakeMasterButton" hidden="1">
              <a:extLst>
                <a:ext uri="{63B3BB69-23CF-44E3-9099-C40C66FF867C}">
                  <a14:compatExt spid="_x0000_s5124"/>
                </a:ext>
                <a:ext uri="{FF2B5EF4-FFF2-40B4-BE49-F238E27FC236}">
                  <a16:creationId xmlns:a16="http://schemas.microsoft.com/office/drawing/2014/main" id="{963CE237-040C-4F70-9BC9-97503C72CD0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ROUPS\Data\FM\COST%20REPORTS\Cost%2010-11\Mail%20Out%20Hard%20Copy%20(Trapnell%20Drafts)\1011_ODF_Individual_Alcohol_and_Drug_For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Worksheet"/>
      <sheetName val="Comparison"/>
      <sheetName val="OKFUND Templet"/>
      <sheetName val="ODFIFUND-AD (2)"/>
      <sheetName val="ODFIFUND-AD"/>
      <sheetName val="7990 template"/>
      <sheetName val="7990ODFI-AD"/>
      <sheetName val="7895ODFI-AD"/>
      <sheetName val="Data Entry"/>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K23"/>
  <sheetViews>
    <sheetView workbookViewId="0">
      <selection activeCell="B3" sqref="B3:C3"/>
    </sheetView>
  </sheetViews>
  <sheetFormatPr defaultColWidth="20.7109375" defaultRowHeight="12.75" x14ac:dyDescent="0.2"/>
  <cols>
    <col min="1" max="1" width="30.7109375" style="404" customWidth="1"/>
    <col min="2" max="2" width="10.7109375" style="404" customWidth="1"/>
    <col min="3" max="16384" width="20.7109375" style="404"/>
  </cols>
  <sheetData>
    <row r="1" spans="1:11" x14ac:dyDescent="0.2">
      <c r="A1" s="404" t="s">
        <v>336</v>
      </c>
    </row>
    <row r="2" spans="1:11" x14ac:dyDescent="0.2">
      <c r="B2" s="404" t="s">
        <v>354</v>
      </c>
    </row>
    <row r="3" spans="1:11" x14ac:dyDescent="0.2">
      <c r="A3" s="405" t="s">
        <v>345</v>
      </c>
      <c r="B3" s="501" t="s">
        <v>337</v>
      </c>
      <c r="C3" s="502"/>
      <c r="E3" s="406" t="s">
        <v>343</v>
      </c>
    </row>
    <row r="4" spans="1:11" x14ac:dyDescent="0.2">
      <c r="A4" s="405" t="s">
        <v>358</v>
      </c>
      <c r="B4" s="411" t="str">
        <f>DGET($A$16:$K$23,A4,$E$3:$E$4)</f>
        <v>ODFG-AD</v>
      </c>
      <c r="C4" s="412"/>
      <c r="E4" s="407" t="str">
        <f>B3</f>
        <v>ODF Group Counseling - Alcohol/Drug</v>
      </c>
    </row>
    <row r="5" spans="1:11" x14ac:dyDescent="0.2">
      <c r="A5" s="405" t="s">
        <v>344</v>
      </c>
      <c r="B5" s="411">
        <f t="shared" ref="B5:B13" si="0">DGET($A$16:$K$23,A5,$E$3:$E$4)</f>
        <v>31.45</v>
      </c>
      <c r="C5" s="412"/>
    </row>
    <row r="6" spans="1:11" x14ac:dyDescent="0.2">
      <c r="A6" s="405" t="s">
        <v>346</v>
      </c>
      <c r="B6" s="411" t="str">
        <f t="shared" si="0"/>
        <v>Group Face to Face Visits</v>
      </c>
      <c r="C6" s="412"/>
    </row>
    <row r="7" spans="1:11" x14ac:dyDescent="0.2">
      <c r="A7" s="405" t="s">
        <v>347</v>
      </c>
      <c r="B7" s="411" t="str">
        <f t="shared" si="0"/>
        <v>Individuals</v>
      </c>
      <c r="C7" s="412"/>
    </row>
    <row r="8" spans="1:11" x14ac:dyDescent="0.2">
      <c r="A8" s="405" t="s">
        <v>348</v>
      </c>
      <c r="B8" s="411" t="str">
        <f t="shared" si="0"/>
        <v>Individuals</v>
      </c>
      <c r="C8" s="412"/>
    </row>
    <row r="9" spans="1:11" x14ac:dyDescent="0.2">
      <c r="A9" s="405" t="s">
        <v>355</v>
      </c>
      <c r="B9" s="411" t="str">
        <f t="shared" si="0"/>
        <v>Per Person (Individuals)</v>
      </c>
      <c r="C9" s="412"/>
    </row>
    <row r="10" spans="1:11" x14ac:dyDescent="0.2">
      <c r="A10" s="405" t="s">
        <v>357</v>
      </c>
      <c r="B10" s="411" t="str">
        <f t="shared" si="0"/>
        <v>Individuals</v>
      </c>
      <c r="C10" s="412"/>
    </row>
    <row r="11" spans="1:11" x14ac:dyDescent="0.2">
      <c r="A11" s="405" t="s">
        <v>259</v>
      </c>
      <c r="B11" s="411" t="b">
        <f t="shared" si="0"/>
        <v>1</v>
      </c>
      <c r="C11" s="412"/>
    </row>
    <row r="12" spans="1:11" x14ac:dyDescent="0.2">
      <c r="A12" s="405" t="s">
        <v>369</v>
      </c>
      <c r="B12" s="411" t="b">
        <f t="shared" si="0"/>
        <v>1</v>
      </c>
      <c r="C12" s="412"/>
      <c r="E12" s="406" t="s">
        <v>371</v>
      </c>
    </row>
    <row r="13" spans="1:11" x14ac:dyDescent="0.2">
      <c r="A13" s="405" t="s">
        <v>353</v>
      </c>
      <c r="B13" s="411" t="b">
        <f t="shared" si="0"/>
        <v>1</v>
      </c>
      <c r="C13" s="412"/>
      <c r="E13" s="407" t="s">
        <v>392</v>
      </c>
    </row>
    <row r="14" spans="1:11" x14ac:dyDescent="0.2">
      <c r="A14" s="405"/>
      <c r="B14" s="408"/>
      <c r="C14" s="408"/>
    </row>
    <row r="16" spans="1:11" x14ac:dyDescent="0.2">
      <c r="A16" s="406" t="s">
        <v>343</v>
      </c>
      <c r="B16" s="406" t="s">
        <v>358</v>
      </c>
      <c r="C16" s="406" t="s">
        <v>344</v>
      </c>
      <c r="D16" s="406" t="s">
        <v>346</v>
      </c>
      <c r="E16" s="406" t="s">
        <v>347</v>
      </c>
      <c r="F16" s="406" t="s">
        <v>348</v>
      </c>
      <c r="G16" s="406" t="s">
        <v>355</v>
      </c>
      <c r="H16" s="406" t="s">
        <v>357</v>
      </c>
      <c r="I16" s="406" t="s">
        <v>259</v>
      </c>
      <c r="J16" s="406" t="s">
        <v>369</v>
      </c>
      <c r="K16" s="406" t="s">
        <v>353</v>
      </c>
    </row>
    <row r="17" spans="1:11" x14ac:dyDescent="0.2">
      <c r="A17" s="409" t="s">
        <v>341</v>
      </c>
      <c r="B17" s="410" t="s">
        <v>359</v>
      </c>
      <c r="C17" s="404">
        <v>67.959999999999994</v>
      </c>
      <c r="D17" s="409" t="s">
        <v>349</v>
      </c>
      <c r="E17" s="404" t="s">
        <v>366</v>
      </c>
      <c r="F17" s="404" t="s">
        <v>366</v>
      </c>
      <c r="G17" s="404" t="s">
        <v>366</v>
      </c>
      <c r="H17" s="404" t="s">
        <v>366</v>
      </c>
      <c r="I17" s="404" t="b">
        <f>FALSE</f>
        <v>0</v>
      </c>
      <c r="J17" s="404" t="b">
        <v>0</v>
      </c>
      <c r="K17" s="404" t="b">
        <v>1</v>
      </c>
    </row>
    <row r="18" spans="1:11" x14ac:dyDescent="0.2">
      <c r="A18" s="409" t="s">
        <v>342</v>
      </c>
      <c r="B18" s="410" t="s">
        <v>360</v>
      </c>
      <c r="C18" s="404">
        <v>82.9</v>
      </c>
      <c r="D18" s="409" t="s">
        <v>349</v>
      </c>
      <c r="E18" s="404" t="s">
        <v>366</v>
      </c>
      <c r="F18" s="404" t="s">
        <v>366</v>
      </c>
      <c r="G18" s="404" t="s">
        <v>366</v>
      </c>
      <c r="H18" s="404" t="s">
        <v>366</v>
      </c>
      <c r="I18" s="404" t="b">
        <f>FALSE</f>
        <v>0</v>
      </c>
      <c r="J18" s="404" t="b">
        <v>0</v>
      </c>
      <c r="K18" s="404" t="b">
        <v>1</v>
      </c>
    </row>
    <row r="19" spans="1:11" x14ac:dyDescent="0.2">
      <c r="A19" s="409" t="s">
        <v>337</v>
      </c>
      <c r="B19" s="410" t="s">
        <v>361</v>
      </c>
      <c r="C19" s="404">
        <v>31.45</v>
      </c>
      <c r="D19" s="409" t="s">
        <v>253</v>
      </c>
      <c r="E19" s="404" t="s">
        <v>350</v>
      </c>
      <c r="F19" s="404" t="str">
        <f>E19</f>
        <v>Individuals</v>
      </c>
      <c r="G19" s="404" t="s">
        <v>356</v>
      </c>
      <c r="H19" s="404" t="s">
        <v>350</v>
      </c>
      <c r="I19" s="404" t="b">
        <f>TRUE</f>
        <v>1</v>
      </c>
      <c r="J19" s="404" t="b">
        <v>1</v>
      </c>
      <c r="K19" s="404" t="b">
        <v>1</v>
      </c>
    </row>
    <row r="20" spans="1:11" x14ac:dyDescent="0.2">
      <c r="A20" s="409" t="s">
        <v>338</v>
      </c>
      <c r="B20" s="410" t="s">
        <v>362</v>
      </c>
      <c r="C20" s="404">
        <v>63.62</v>
      </c>
      <c r="D20" s="409" t="s">
        <v>253</v>
      </c>
      <c r="E20" s="404" t="s">
        <v>350</v>
      </c>
      <c r="F20" s="404" t="str">
        <f>E20</f>
        <v>Individuals</v>
      </c>
      <c r="G20" s="404" t="s">
        <v>356</v>
      </c>
      <c r="H20" s="404" t="s">
        <v>350</v>
      </c>
      <c r="I20" s="404" t="b">
        <f>TRUE</f>
        <v>1</v>
      </c>
      <c r="J20" s="404" t="b">
        <v>1</v>
      </c>
      <c r="K20" s="404" t="b">
        <v>1</v>
      </c>
    </row>
    <row r="21" spans="1:11" x14ac:dyDescent="0.2">
      <c r="A21" s="409" t="s">
        <v>339</v>
      </c>
      <c r="B21" s="410" t="s">
        <v>363</v>
      </c>
      <c r="C21" s="404">
        <v>74.989999999999995</v>
      </c>
      <c r="D21" s="409" t="s">
        <v>252</v>
      </c>
      <c r="E21" s="404" t="s">
        <v>350</v>
      </c>
      <c r="F21" s="404" t="str">
        <f>E21</f>
        <v>Individuals</v>
      </c>
      <c r="G21" s="404" t="s">
        <v>356</v>
      </c>
      <c r="H21" s="404" t="s">
        <v>350</v>
      </c>
      <c r="I21" s="404" t="b">
        <f>TRUE</f>
        <v>1</v>
      </c>
      <c r="J21" s="404" t="b">
        <v>1</v>
      </c>
      <c r="K21" s="404" t="b">
        <v>1</v>
      </c>
    </row>
    <row r="22" spans="1:11" x14ac:dyDescent="0.2">
      <c r="A22" s="409" t="s">
        <v>340</v>
      </c>
      <c r="B22" s="410" t="s">
        <v>364</v>
      </c>
      <c r="C22" s="404">
        <v>106.08</v>
      </c>
      <c r="D22" s="409" t="s">
        <v>252</v>
      </c>
      <c r="E22" s="404" t="s">
        <v>350</v>
      </c>
      <c r="F22" s="404" t="str">
        <f>E22</f>
        <v>Individuals</v>
      </c>
      <c r="G22" s="404" t="s">
        <v>356</v>
      </c>
      <c r="H22" s="404" t="s">
        <v>350</v>
      </c>
      <c r="I22" s="404" t="b">
        <f>TRUE</f>
        <v>1</v>
      </c>
      <c r="J22" s="404" t="b">
        <v>1</v>
      </c>
      <c r="K22" s="404" t="b">
        <v>1</v>
      </c>
    </row>
    <row r="23" spans="1:11" x14ac:dyDescent="0.2">
      <c r="A23" s="409" t="s">
        <v>351</v>
      </c>
      <c r="B23" s="404" t="s">
        <v>365</v>
      </c>
      <c r="C23" s="404">
        <v>95.21</v>
      </c>
      <c r="D23" s="404" t="s">
        <v>254</v>
      </c>
      <c r="E23" s="404" t="s">
        <v>367</v>
      </c>
      <c r="F23" s="404" t="s">
        <v>367</v>
      </c>
      <c r="G23" s="404" t="s">
        <v>370</v>
      </c>
      <c r="H23" s="404" t="s">
        <v>370</v>
      </c>
      <c r="I23" s="404" t="b">
        <v>0</v>
      </c>
      <c r="J23" s="404" t="b">
        <v>0</v>
      </c>
      <c r="K23" s="404" t="b">
        <v>0</v>
      </c>
    </row>
  </sheetData>
  <mergeCells count="1">
    <mergeCell ref="B3:C3"/>
  </mergeCells>
  <phoneticPr fontId="57" type="noConversion"/>
  <dataValidations count="1">
    <dataValidation type="list" allowBlank="1" showInputMessage="1" showErrorMessage="1" sqref="B3">
      <formula1>$A$17:$A$23</formula1>
    </dataValidation>
  </dataValidations>
  <pageMargins left="0.75" right="0.75" top="1" bottom="1" header="0.5" footer="0.5"/>
  <pageSetup scale="54" orientation="landscape" r:id="rId1"/>
  <headerFooter alignWithMargins="0"/>
  <drawing r:id="rId2"/>
  <legacyDrawing r:id="rId3"/>
  <controls>
    <mc:AlternateContent xmlns:mc="http://schemas.openxmlformats.org/markup-compatibility/2006">
      <mc:Choice Requires="x14">
        <control shapeId="5124" r:id="rId4" name="MakeMasterButton">
          <controlPr defaultSize="0" print="0" autoLine="0" r:id="rId5">
            <anchor moveWithCells="1">
              <from>
                <xdr:col>3</xdr:col>
                <xdr:colOff>1200150</xdr:colOff>
                <xdr:row>6</xdr:row>
                <xdr:rowOff>76200</xdr:rowOff>
              </from>
              <to>
                <xdr:col>5</xdr:col>
                <xdr:colOff>190500</xdr:colOff>
                <xdr:row>9</xdr:row>
                <xdr:rowOff>152400</xdr:rowOff>
              </to>
            </anchor>
          </controlPr>
        </control>
      </mc:Choice>
      <mc:Fallback>
        <control shapeId="5124" r:id="rId4" name="MakeMasterButton"/>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E38"/>
  <sheetViews>
    <sheetView topLeftCell="A10" workbookViewId="0">
      <selection activeCell="B15" sqref="B15:C15"/>
    </sheetView>
  </sheetViews>
  <sheetFormatPr defaultRowHeight="12.75" x14ac:dyDescent="0.2"/>
  <cols>
    <col min="1" max="1" width="37.7109375" customWidth="1"/>
    <col min="2" max="4" width="18.7109375" customWidth="1"/>
    <col min="5" max="5" width="20.7109375" customWidth="1"/>
  </cols>
  <sheetData>
    <row r="1" spans="1:5" ht="26.25" x14ac:dyDescent="0.4">
      <c r="A1" s="74" t="str">
        <f>CONCATENATE(RIGHT('Data Entry'!A1,10)," Cost Report")</f>
        <v>FY 2012-13 Cost Report</v>
      </c>
      <c r="B1" s="75"/>
      <c r="C1" s="74"/>
      <c r="D1" s="74"/>
      <c r="E1" s="75"/>
    </row>
    <row r="2" spans="1:5" x14ac:dyDescent="0.2">
      <c r="A2" s="75"/>
      <c r="B2" s="75"/>
      <c r="C2" s="75"/>
      <c r="D2" s="75"/>
      <c r="E2" s="75"/>
    </row>
    <row r="3" spans="1:5" ht="20.25" x14ac:dyDescent="0.2">
      <c r="A3" s="73" t="s">
        <v>260</v>
      </c>
      <c r="B3" s="73"/>
      <c r="C3" s="73"/>
      <c r="D3" s="73"/>
      <c r="E3" s="70"/>
    </row>
    <row r="4" spans="1:5" x14ac:dyDescent="0.2">
      <c r="A4" s="75"/>
      <c r="B4" s="75"/>
      <c r="C4" s="75"/>
      <c r="D4" s="75"/>
      <c r="E4" s="75"/>
    </row>
    <row r="5" spans="1:5" ht="20.25" x14ac:dyDescent="0.2">
      <c r="A5" s="73" t="str">
        <f>'Data Entry'!A2</f>
        <v>ODF Group Counseling - Perinatal</v>
      </c>
      <c r="B5" s="73"/>
      <c r="C5" s="73"/>
      <c r="D5" s="73"/>
      <c r="E5" s="70"/>
    </row>
    <row r="6" spans="1:5" ht="20.25" x14ac:dyDescent="0.3">
      <c r="A6" s="59"/>
      <c r="B6" s="59"/>
      <c r="C6" s="59"/>
      <c r="D6" s="59"/>
    </row>
    <row r="7" spans="1:5" ht="20.25" x14ac:dyDescent="0.3">
      <c r="A7" s="60" t="s">
        <v>90</v>
      </c>
      <c r="B7" s="79" t="str">
        <f>IF(ISBLANK('Data Entry'!B4),"",'Data Entry'!B4)</f>
        <v/>
      </c>
      <c r="C7" s="59"/>
      <c r="D7" s="59"/>
    </row>
    <row r="8" spans="1:5" ht="20.25" x14ac:dyDescent="0.3">
      <c r="A8" s="60" t="s">
        <v>91</v>
      </c>
      <c r="B8" s="79" t="str">
        <f>IF(ISBLANK('Data Entry'!B5),"",'Data Entry'!B5)</f>
        <v/>
      </c>
      <c r="C8" s="59"/>
      <c r="D8" s="59"/>
    </row>
    <row r="9" spans="1:5" ht="20.25" x14ac:dyDescent="0.3">
      <c r="A9" s="60" t="s">
        <v>261</v>
      </c>
      <c r="B9" s="79" t="str">
        <f>IF(ISBLANK('Data Entry'!B7),"",'Data Entry'!B7)</f>
        <v/>
      </c>
      <c r="C9" s="59"/>
      <c r="D9" s="59"/>
    </row>
    <row r="10" spans="1:5" ht="20.25" x14ac:dyDescent="0.3">
      <c r="A10" s="60" t="s">
        <v>383</v>
      </c>
      <c r="B10" s="79" t="str">
        <f>IF(ISBLANK('Data Entry'!B8),"",'Data Entry'!B8)</f>
        <v/>
      </c>
      <c r="C10" s="59"/>
      <c r="D10" s="59"/>
    </row>
    <row r="11" spans="1:5" ht="20.25" x14ac:dyDescent="0.3">
      <c r="A11" s="59"/>
      <c r="B11" s="59"/>
      <c r="C11" s="59"/>
      <c r="D11" s="59"/>
    </row>
    <row r="13" spans="1:5" ht="26.25" x14ac:dyDescent="0.4">
      <c r="A13" s="253" t="s">
        <v>430</v>
      </c>
      <c r="B13" s="253"/>
      <c r="C13" s="253"/>
      <c r="D13" s="253"/>
      <c r="E13" s="75"/>
    </row>
    <row r="14" spans="1:5" ht="12.75" customHeight="1" thickBot="1" x14ac:dyDescent="0.45">
      <c r="A14" s="219"/>
      <c r="B14" s="219"/>
      <c r="C14" s="219"/>
      <c r="D14" s="219"/>
    </row>
    <row r="15" spans="1:5" ht="15.95" customHeight="1" thickBot="1" x14ac:dyDescent="0.45">
      <c r="A15" s="252" t="s">
        <v>431</v>
      </c>
      <c r="B15" s="503"/>
      <c r="C15" s="504"/>
      <c r="D15" s="219"/>
    </row>
    <row r="16" spans="1:5" x14ac:dyDescent="0.2">
      <c r="A16" s="12"/>
      <c r="B16" s="12"/>
      <c r="C16" s="12"/>
      <c r="D16" s="12"/>
    </row>
    <row r="17" spans="1:5" x14ac:dyDescent="0.2">
      <c r="A17" s="61" t="s">
        <v>262</v>
      </c>
      <c r="B17" s="61" t="s">
        <v>263</v>
      </c>
      <c r="C17" s="61" t="s">
        <v>264</v>
      </c>
      <c r="D17" s="61" t="s">
        <v>317</v>
      </c>
      <c r="E17" s="68" t="s">
        <v>286</v>
      </c>
    </row>
    <row r="18" spans="1:5" x14ac:dyDescent="0.2">
      <c r="A18" s="12"/>
      <c r="B18" s="12"/>
      <c r="C18" s="12"/>
      <c r="D18" s="12"/>
    </row>
    <row r="19" spans="1:5" ht="24.75" customHeight="1" x14ac:dyDescent="0.2">
      <c r="A19" s="62" t="s">
        <v>424</v>
      </c>
      <c r="B19" s="80">
        <f>('7895ODFG-P'!F39)</f>
        <v>0</v>
      </c>
      <c r="C19" s="80" t="s">
        <v>265</v>
      </c>
      <c r="D19" s="80">
        <f>('ODFGFUND-P'!H36)</f>
        <v>0</v>
      </c>
      <c r="E19" s="69"/>
    </row>
    <row r="20" spans="1:5" ht="24.75" customHeight="1" x14ac:dyDescent="0.2">
      <c r="A20" s="62" t="s">
        <v>432</v>
      </c>
      <c r="B20" s="80">
        <f>('7895ODFG-P'!F23)</f>
        <v>0</v>
      </c>
      <c r="C20" s="80" t="s">
        <v>265</v>
      </c>
      <c r="D20" s="80">
        <f>'ODFGFUND-P'!E32</f>
        <v>0</v>
      </c>
      <c r="E20" s="69"/>
    </row>
    <row r="21" spans="1:5" ht="24.75" customHeight="1" x14ac:dyDescent="0.2">
      <c r="A21" s="62" t="str">
        <f>"Non DMC " &amp; 'Control Worksheet'!B10</f>
        <v>Non DMC Individuals</v>
      </c>
      <c r="B21" s="80">
        <f>('7895ODFG-P'!F37)</f>
        <v>0</v>
      </c>
      <c r="C21" s="80">
        <f>('7990ODFG-P'!E54)</f>
        <v>0</v>
      </c>
      <c r="D21" s="80">
        <f>('ODFGFUND-P'!H38)</f>
        <v>0</v>
      </c>
      <c r="E21" s="69"/>
    </row>
    <row r="22" spans="1:5" ht="24.75" customHeight="1" x14ac:dyDescent="0.2">
      <c r="A22" s="62" t="s">
        <v>433</v>
      </c>
      <c r="B22" s="80">
        <f>('7895ODFG-P'!F98)</f>
        <v>0</v>
      </c>
      <c r="C22" s="80">
        <f>('7990ODFG-P'!E27)</f>
        <v>0</v>
      </c>
      <c r="D22" s="80">
        <f>'ODFGFUND-P'!C37</f>
        <v>0</v>
      </c>
      <c r="E22" s="69"/>
    </row>
    <row r="23" spans="1:5" ht="19.5" customHeight="1" x14ac:dyDescent="0.2">
      <c r="A23" s="451" t="s">
        <v>393</v>
      </c>
      <c r="B23" s="452">
        <f>'7895ODFG-P'!F38</f>
        <v>0</v>
      </c>
      <c r="C23" s="80" t="s">
        <v>265</v>
      </c>
      <c r="D23" s="80" t="s">
        <v>265</v>
      </c>
      <c r="E23" s="453"/>
    </row>
    <row r="25" spans="1:5" ht="26.25" x14ac:dyDescent="0.4">
      <c r="A25" s="253" t="s">
        <v>266</v>
      </c>
      <c r="B25" s="253"/>
      <c r="C25" s="253"/>
      <c r="D25" s="253"/>
      <c r="E25" s="75"/>
    </row>
    <row r="26" spans="1:5" ht="12.75" customHeight="1" thickBot="1" x14ac:dyDescent="0.45">
      <c r="A26" s="219"/>
      <c r="B26" s="219"/>
      <c r="C26" s="219"/>
      <c r="D26" s="219"/>
    </row>
    <row r="27" spans="1:5" ht="15.95" customHeight="1" thickBot="1" x14ac:dyDescent="0.45">
      <c r="A27" s="252" t="s">
        <v>318</v>
      </c>
      <c r="B27" s="503"/>
      <c r="C27" s="504"/>
      <c r="D27" s="219"/>
    </row>
    <row r="28" spans="1:5" x14ac:dyDescent="0.2">
      <c r="A28" s="12"/>
      <c r="B28" s="12"/>
      <c r="C28" s="12"/>
      <c r="D28" s="12"/>
    </row>
    <row r="29" spans="1:5" x14ac:dyDescent="0.2">
      <c r="A29" s="61" t="s">
        <v>262</v>
      </c>
      <c r="B29" s="61" t="s">
        <v>263</v>
      </c>
      <c r="C29" s="61" t="s">
        <v>264</v>
      </c>
      <c r="D29" s="61" t="s">
        <v>317</v>
      </c>
      <c r="E29" s="68" t="s">
        <v>286</v>
      </c>
    </row>
    <row r="30" spans="1:5" x14ac:dyDescent="0.2">
      <c r="A30" s="12"/>
      <c r="B30" s="12"/>
      <c r="C30" s="12"/>
      <c r="D30" s="12"/>
    </row>
    <row r="31" spans="1:5" ht="24.75" customHeight="1" x14ac:dyDescent="0.2">
      <c r="A31" s="62" t="s">
        <v>267</v>
      </c>
      <c r="B31" s="80">
        <f>('7895ODFG-P'!E23)</f>
        <v>0</v>
      </c>
      <c r="C31" s="80">
        <f>('7990ODFG-P'!D61)</f>
        <v>0</v>
      </c>
      <c r="D31" s="80">
        <f>'ODFGFUND-P'!F32</f>
        <v>0</v>
      </c>
      <c r="E31" s="69"/>
    </row>
    <row r="32" spans="1:5" ht="24.75" customHeight="1" x14ac:dyDescent="0.2">
      <c r="A32" s="62" t="str">
        <f>"DMC " &amp; 'Control Worksheet'!B9</f>
        <v>DMC Per Person (Individuals)</v>
      </c>
      <c r="B32" s="80">
        <f>('7895ODFG-P'!E37)</f>
        <v>0</v>
      </c>
      <c r="C32" s="80">
        <f>('7990ODFG-P'!F54)</f>
        <v>0</v>
      </c>
      <c r="D32" s="80">
        <f>('ODFGFUND-P'!H37)</f>
        <v>0</v>
      </c>
      <c r="E32" s="69"/>
    </row>
    <row r="33" spans="1:5" ht="24.75" customHeight="1" x14ac:dyDescent="0.2">
      <c r="A33" s="62" t="s">
        <v>268</v>
      </c>
      <c r="B33" s="80">
        <f>('7895ODFG-P'!E98)</f>
        <v>0</v>
      </c>
      <c r="C33" s="80">
        <f>('7990ODFG-P'!F27)</f>
        <v>0</v>
      </c>
      <c r="D33" s="80">
        <f>('ODFGFUND-P'!C36)</f>
        <v>0</v>
      </c>
      <c r="E33" s="69"/>
    </row>
    <row r="34" spans="1:5" ht="24.75" customHeight="1" x14ac:dyDescent="0.2">
      <c r="A34" s="62" t="s">
        <v>269</v>
      </c>
      <c r="B34" s="80">
        <f>('7895ODFG-P'!E96)</f>
        <v>0</v>
      </c>
      <c r="C34" s="80">
        <f>('7990ODFG-P'!H27)</f>
        <v>0</v>
      </c>
      <c r="D34" s="80">
        <f>('ODFGFUND-P'!C38)</f>
        <v>0</v>
      </c>
      <c r="E34" s="69"/>
    </row>
    <row r="35" spans="1:5" ht="20.25" customHeight="1" x14ac:dyDescent="0.2">
      <c r="A35" s="451" t="s">
        <v>393</v>
      </c>
      <c r="B35" s="452">
        <f>'7895ODFG-P'!E38</f>
        <v>0</v>
      </c>
      <c r="C35" s="80" t="s">
        <v>265</v>
      </c>
      <c r="D35" s="80" t="s">
        <v>265</v>
      </c>
      <c r="E35" s="453"/>
    </row>
    <row r="38" spans="1:5" x14ac:dyDescent="0.2">
      <c r="A38" s="16" t="s">
        <v>308</v>
      </c>
    </row>
  </sheetData>
  <sheetProtection password="CD5A" sheet="1" objects="1" scenarios="1"/>
  <mergeCells count="2">
    <mergeCell ref="B27:C27"/>
    <mergeCell ref="B15:C15"/>
  </mergeCells>
  <phoneticPr fontId="0" type="noConversion"/>
  <printOptions horizontalCentered="1"/>
  <pageMargins left="0.75" right="0.75" top="0.5" bottom="0.5" header="0.25" footer="0.25"/>
  <pageSetup scale="79" orientation="portrait" cellComments="asDisplayed" r:id="rId1"/>
  <headerFooter alignWithMargins="0">
    <oddHeader>&amp;LState of California - Health and Human Services Agency&amp;RDepartment of Health Care Services</oddHeader>
    <oddFooter>&amp;LDHCS MC      (02/13)
&amp;F - &amp;A</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E116"/>
  <sheetViews>
    <sheetView showOutlineSymbols="0" zoomScale="115" workbookViewId="0">
      <selection activeCell="H6" sqref="H6"/>
    </sheetView>
  </sheetViews>
  <sheetFormatPr defaultColWidth="10.7109375" defaultRowHeight="12.75" customHeight="1" x14ac:dyDescent="0.2"/>
  <cols>
    <col min="1" max="1" width="6.85546875" style="283" customWidth="1"/>
    <col min="2" max="3" width="12.7109375" customWidth="1"/>
    <col min="4" max="4" width="15.42578125" customWidth="1"/>
    <col min="5" max="7" width="12.7109375" customWidth="1"/>
    <col min="8" max="8" width="11.42578125" customWidth="1"/>
    <col min="9" max="10" width="12.7109375" customWidth="1"/>
    <col min="11" max="11" width="2.7109375" style="220" customWidth="1"/>
    <col min="12" max="12" width="20.7109375" customWidth="1"/>
    <col min="13" max="13" width="16" customWidth="1"/>
    <col min="14" max="14" width="15" bestFit="1" customWidth="1"/>
    <col min="15" max="15" width="18" customWidth="1"/>
    <col min="16" max="16" width="7.5703125" customWidth="1"/>
    <col min="17" max="18" width="10.7109375" customWidth="1"/>
    <col min="28" max="28" width="9.140625" customWidth="1"/>
    <col min="205" max="205" width="9.140625" customWidth="1"/>
  </cols>
  <sheetData>
    <row r="1" spans="1:22" ht="12.75" customHeight="1" x14ac:dyDescent="0.2">
      <c r="A1" s="342"/>
    </row>
    <row r="3" spans="1:22" ht="12.75" customHeight="1" x14ac:dyDescent="0.2">
      <c r="B3" s="17" t="s">
        <v>368</v>
      </c>
      <c r="E3" s="18"/>
      <c r="F3" s="17" t="str">
        <f>RIGHT('Data Entry'!A1,10)</f>
        <v>FY 2012-13</v>
      </c>
      <c r="G3" s="17"/>
      <c r="H3" s="17"/>
      <c r="I3" s="17"/>
      <c r="J3" s="19"/>
      <c r="L3" s="18"/>
      <c r="M3" s="18"/>
      <c r="N3" s="18"/>
      <c r="O3" s="18"/>
    </row>
    <row r="4" spans="1:22" ht="12.75" customHeight="1" x14ac:dyDescent="0.2">
      <c r="B4" s="204" t="str">
        <f>'Data Entry'!A2</f>
        <v>ODF Group Counseling - Perinatal</v>
      </c>
      <c r="E4" s="18"/>
      <c r="F4" s="18"/>
      <c r="G4" s="18"/>
      <c r="H4" s="18"/>
      <c r="I4" s="18"/>
      <c r="J4" s="18"/>
      <c r="L4" s="18"/>
      <c r="M4" s="18"/>
      <c r="N4" s="18"/>
      <c r="O4" s="18"/>
    </row>
    <row r="5" spans="1:22" ht="12.75" customHeight="1" x14ac:dyDescent="0.2">
      <c r="A5" s="204"/>
      <c r="B5" s="283" t="s">
        <v>90</v>
      </c>
      <c r="C5" s="2" t="str">
        <f>('7990ODFG-P'!B9)</f>
        <v/>
      </c>
      <c r="D5" s="2"/>
      <c r="E5" s="66"/>
      <c r="I5" s="508" t="s">
        <v>382</v>
      </c>
      <c r="L5" s="20"/>
      <c r="M5" s="20"/>
      <c r="N5" s="20"/>
    </row>
    <row r="6" spans="1:22" ht="12.75" customHeight="1" x14ac:dyDescent="0.2">
      <c r="A6" s="204"/>
      <c r="B6" s="283" t="s">
        <v>91</v>
      </c>
      <c r="C6" s="2" t="str">
        <f>('7990ODFG-P'!B10)</f>
        <v/>
      </c>
      <c r="D6" s="2"/>
      <c r="E6" s="2"/>
      <c r="F6" s="12"/>
      <c r="G6" s="7" t="s">
        <v>92</v>
      </c>
      <c r="H6" s="15" t="str">
        <f>('7990ODFG-P'!F9)</f>
        <v/>
      </c>
      <c r="I6" s="509"/>
      <c r="J6" s="15" t="str">
        <f>('7990ODFG-P'!F10)</f>
        <v/>
      </c>
      <c r="K6"/>
    </row>
    <row r="7" spans="1:22" ht="12.75" customHeight="1" x14ac:dyDescent="0.2">
      <c r="C7" s="21"/>
    </row>
    <row r="8" spans="1:22" ht="12.75" customHeight="1" x14ac:dyDescent="0.2">
      <c r="A8" s="343"/>
      <c r="B8" s="63"/>
      <c r="C8" s="63"/>
      <c r="D8" s="63"/>
      <c r="E8" s="63"/>
      <c r="F8" s="63"/>
      <c r="G8" s="63"/>
      <c r="H8" s="63"/>
      <c r="I8" s="63"/>
      <c r="J8" s="64"/>
    </row>
    <row r="9" spans="1:22" ht="12.75" customHeight="1" x14ac:dyDescent="0.2">
      <c r="A9" s="344"/>
      <c r="B9" s="343"/>
      <c r="C9" s="368"/>
      <c r="D9" s="368"/>
      <c r="E9" s="369"/>
      <c r="F9" s="203"/>
      <c r="G9" s="12"/>
      <c r="H9" s="201" t="s">
        <v>99</v>
      </c>
      <c r="I9" s="12"/>
      <c r="J9" s="50"/>
      <c r="Q9" s="12"/>
      <c r="R9" s="12"/>
      <c r="S9" s="12"/>
      <c r="T9" s="12"/>
      <c r="U9" s="12"/>
      <c r="V9" s="12"/>
    </row>
    <row r="10" spans="1:22" ht="12.75" customHeight="1" x14ac:dyDescent="0.2">
      <c r="A10" s="344"/>
      <c r="B10" s="370" t="s">
        <v>422</v>
      </c>
      <c r="C10" s="371" t="s">
        <v>89</v>
      </c>
      <c r="D10" s="372"/>
      <c r="E10" s="373"/>
      <c r="F10" s="203"/>
      <c r="J10" s="50"/>
      <c r="O10" s="12"/>
      <c r="Q10" s="12"/>
      <c r="R10" s="12"/>
      <c r="S10" s="12"/>
      <c r="T10" s="12"/>
      <c r="U10" s="12"/>
      <c r="V10" s="12"/>
    </row>
    <row r="11" spans="1:22" ht="12.75" customHeight="1" x14ac:dyDescent="0.25">
      <c r="A11" s="344"/>
      <c r="B11" s="343">
        <f>'7990ODFG-P'!D27-'7990ODFG-P'!D61</f>
        <v>0</v>
      </c>
      <c r="C11" s="372">
        <f>'7990ODFG-P'!D61</f>
        <v>0</v>
      </c>
      <c r="D11" s="372" t="s">
        <v>278</v>
      </c>
      <c r="E11" s="373"/>
      <c r="F11" s="203"/>
      <c r="G11" s="341" t="s">
        <v>424</v>
      </c>
      <c r="H11" s="331" t="str">
        <f>IF(AND('Control Worksheet'!B11:C11,OR(AND(H38&gt;0,H36=0),H36&lt;0)),"ERROR","OKAY")</f>
        <v>OKAY</v>
      </c>
      <c r="I11" s="239" t="str">
        <f>IF($H$11="ERROR","Non DMC Staff Hours (&gt;0) required","No correction needed")</f>
        <v>No correction needed</v>
      </c>
      <c r="J11" s="50"/>
      <c r="O11" s="12"/>
      <c r="Q11" s="12"/>
      <c r="R11" s="12"/>
      <c r="S11" s="12"/>
      <c r="T11" s="12"/>
      <c r="U11" s="12"/>
      <c r="V11" s="12"/>
    </row>
    <row r="12" spans="1:22" ht="12.75" customHeight="1" x14ac:dyDescent="0.25">
      <c r="A12" s="344"/>
      <c r="B12" s="344">
        <f>-C37</f>
        <v>0</v>
      </c>
      <c r="C12" s="372">
        <f>-C36</f>
        <v>0</v>
      </c>
      <c r="D12" s="372" t="s">
        <v>279</v>
      </c>
      <c r="E12" s="373"/>
      <c r="F12" s="203"/>
      <c r="G12" s="341" t="s">
        <v>307</v>
      </c>
      <c r="H12" s="331" t="str">
        <f>UPPER('7990ODFG-P'!G56)</f>
        <v>OKAY</v>
      </c>
      <c r="I12" s="239" t="str">
        <f>IF($H$12="ERROR","DMC Units and Reconciliation information on Data Entry Sheet inconsistent","No correction needed")</f>
        <v>No correction needed</v>
      </c>
      <c r="J12" s="50"/>
      <c r="O12" s="12"/>
      <c r="Q12" s="12"/>
      <c r="R12" s="12"/>
      <c r="S12" s="12"/>
      <c r="T12" s="12"/>
      <c r="U12" s="12"/>
      <c r="V12" s="12"/>
    </row>
    <row r="13" spans="1:22" ht="12.75" customHeight="1" x14ac:dyDescent="0.25">
      <c r="A13" s="344"/>
      <c r="B13" s="370" t="s">
        <v>265</v>
      </c>
      <c r="C13" s="374">
        <f>-C38</f>
        <v>0</v>
      </c>
      <c r="D13" s="372" t="s">
        <v>280</v>
      </c>
      <c r="E13" s="373"/>
      <c r="F13" s="203"/>
      <c r="G13" s="341" t="s">
        <v>303</v>
      </c>
      <c r="H13" s="331" t="str">
        <f>IF('Data Entry'!B71+SUM('Data Entry'!B78:C85)=0,"OKAY","ERROR")</f>
        <v>OKAY</v>
      </c>
      <c r="I13" s="239" t="str">
        <f>IF($H$13="ERROR","Review Data Entry -- Cell B75 and Denied/Adjusted in DMC Reconciliation","No correction needed")</f>
        <v>No correction needed</v>
      </c>
      <c r="J13" s="50"/>
      <c r="O13" s="12"/>
      <c r="Q13" s="12"/>
      <c r="R13" s="12"/>
      <c r="S13" s="12"/>
      <c r="T13" s="12"/>
      <c r="U13" s="12"/>
      <c r="V13" s="12"/>
    </row>
    <row r="14" spans="1:22" ht="12.75" customHeight="1" x14ac:dyDescent="0.25">
      <c r="A14" s="344"/>
      <c r="B14" s="343">
        <f>SUM(B11:B13)</f>
        <v>0</v>
      </c>
      <c r="C14" s="368">
        <f>SUM(C11:C13)</f>
        <v>0</v>
      </c>
      <c r="D14" s="372" t="s">
        <v>281</v>
      </c>
      <c r="E14" s="373"/>
      <c r="F14" s="203"/>
      <c r="G14" s="341" t="s">
        <v>304</v>
      </c>
      <c r="H14" s="331" t="str">
        <f>IF(MIN('7990ODFG-P'!F41:F48)&gt;=0,"OKAY","ERROR")</f>
        <v>OKAY</v>
      </c>
      <c r="I14" s="239" t="str">
        <f>IF($H$14="ERROR","Negative adjusted units found, see 7990","No correction needed")</f>
        <v>No correction needed</v>
      </c>
      <c r="J14" s="50"/>
      <c r="O14" s="12"/>
      <c r="Q14" s="12"/>
      <c r="R14" s="12"/>
      <c r="S14" s="12"/>
      <c r="T14" s="12"/>
      <c r="U14" s="12"/>
      <c r="V14" s="12"/>
    </row>
    <row r="15" spans="1:22" ht="12.75" customHeight="1" x14ac:dyDescent="0.25">
      <c r="A15" s="344"/>
      <c r="B15" s="345">
        <f>H38</f>
        <v>0</v>
      </c>
      <c r="C15" s="374">
        <f>H37</f>
        <v>0</v>
      </c>
      <c r="D15" s="372" t="s">
        <v>282</v>
      </c>
      <c r="E15" s="373"/>
      <c r="F15" s="203"/>
      <c r="G15" s="341" t="s">
        <v>305</v>
      </c>
      <c r="H15" s="331" t="str">
        <f>IF(OR(ISBLANK('Data Entry'!A91),'Data Entry'!A94&gt;'Data Entry'!A91),"OKAY","ERROR")</f>
        <v>OKAY</v>
      </c>
      <c r="I15" s="239" t="str">
        <f>IF($H$15="ERROR","Prorated rate entered exceeds SMA","No correction needed")</f>
        <v>No correction needed</v>
      </c>
      <c r="J15" s="50"/>
      <c r="O15" s="12"/>
      <c r="Q15" s="12"/>
      <c r="R15" s="12"/>
      <c r="S15" s="12"/>
      <c r="T15" s="12"/>
      <c r="U15" s="12"/>
      <c r="V15" s="12"/>
    </row>
    <row r="16" spans="1:22" ht="12.75" customHeight="1" thickBot="1" x14ac:dyDescent="0.3">
      <c r="A16" s="344"/>
      <c r="B16" s="375" t="str">
        <f>IF(AND(B14=0,B15=0),"NA",B14/B15)</f>
        <v>NA</v>
      </c>
      <c r="C16" s="376" t="str">
        <f>IF(AND(C14=0,C15=0),"NA",C14/C15)</f>
        <v>NA</v>
      </c>
      <c r="D16" s="372" t="s">
        <v>283</v>
      </c>
      <c r="E16" s="373"/>
      <c r="F16" s="203"/>
      <c r="G16" s="341" t="s">
        <v>299</v>
      </c>
      <c r="H16" s="331" t="str">
        <f>IF(OR(C38&gt;0,H37=0),"OKAY","ERROR")</f>
        <v>OKAY</v>
      </c>
      <c r="I16" s="239" t="str">
        <f>IF($H$16="ERROR","DMC County Administration must be reported","No correction needed")</f>
        <v>No correction needed</v>
      </c>
      <c r="J16" s="50"/>
      <c r="O16" s="12"/>
      <c r="Q16" s="12"/>
      <c r="R16" s="12"/>
      <c r="S16" s="12"/>
      <c r="T16" s="12"/>
      <c r="U16" s="12"/>
      <c r="V16" s="12"/>
    </row>
    <row r="17" spans="1:22" ht="12.75" customHeight="1" thickTop="1" x14ac:dyDescent="0.25">
      <c r="A17" s="344"/>
      <c r="B17" s="345"/>
      <c r="C17" s="374"/>
      <c r="D17" s="374"/>
      <c r="E17" s="377"/>
      <c r="F17" s="203"/>
      <c r="G17" s="341" t="s">
        <v>300</v>
      </c>
      <c r="H17" s="331" t="str">
        <f>IF(OR(NOT('Control Worksheet'!B13),E34=0),"OKAY","ERROR")</f>
        <v>OKAY</v>
      </c>
      <c r="I17" s="239" t="str">
        <f>IF($H$17="ERROR",IF($E$34&gt;0,"Shift "&amp;TEXT($E$34,"$0")&amp;" to Non DMC","Shift "&amp;TEXT($F$34,"$0")&amp;" to DMC"),"No correction needed")</f>
        <v>No correction needed</v>
      </c>
      <c r="J17" s="50"/>
      <c r="O17" s="12"/>
      <c r="Q17" s="12"/>
      <c r="R17" s="12"/>
      <c r="S17" s="12"/>
      <c r="T17" s="12"/>
      <c r="U17" s="12"/>
      <c r="V17" s="12"/>
    </row>
    <row r="18" spans="1:22" ht="12.75" customHeight="1" x14ac:dyDescent="0.2">
      <c r="A18" s="344"/>
      <c r="B18" s="12"/>
      <c r="C18" s="12"/>
      <c r="D18" s="12"/>
      <c r="E18" s="12"/>
      <c r="F18" s="12"/>
      <c r="J18" s="50"/>
      <c r="O18" s="12"/>
      <c r="Q18" s="12"/>
      <c r="R18" s="12"/>
      <c r="S18" s="12"/>
      <c r="T18" s="12"/>
      <c r="U18" s="12"/>
      <c r="V18" s="12"/>
    </row>
    <row r="19" spans="1:22" ht="12.75" customHeight="1" x14ac:dyDescent="0.2">
      <c r="A19" s="345"/>
      <c r="B19" s="66"/>
      <c r="C19" s="66"/>
      <c r="D19" s="66"/>
      <c r="E19" s="66"/>
      <c r="F19" s="66"/>
      <c r="I19" s="66"/>
      <c r="J19" s="11"/>
      <c r="O19" s="12"/>
      <c r="Q19" s="12"/>
      <c r="R19" s="12"/>
      <c r="S19" s="12"/>
      <c r="T19" s="12"/>
      <c r="U19" s="12"/>
      <c r="V19" s="12"/>
    </row>
    <row r="20" spans="1:22" ht="12.75" customHeight="1" x14ac:dyDescent="0.2">
      <c r="A20" s="343"/>
      <c r="B20" s="12"/>
      <c r="C20" s="12"/>
      <c r="D20" s="22"/>
      <c r="E20" s="349" t="s">
        <v>422</v>
      </c>
      <c r="F20" s="350" t="s">
        <v>89</v>
      </c>
      <c r="G20" s="510" t="s">
        <v>309</v>
      </c>
      <c r="H20" s="511"/>
      <c r="I20" s="351"/>
      <c r="J20" s="220"/>
      <c r="K20"/>
      <c r="N20" s="12"/>
      <c r="P20" s="12"/>
      <c r="Q20" s="12"/>
      <c r="R20" s="12"/>
      <c r="S20" s="12"/>
      <c r="T20" s="12"/>
      <c r="U20" s="12"/>
    </row>
    <row r="21" spans="1:22" ht="12.75" customHeight="1" x14ac:dyDescent="0.2">
      <c r="A21" s="346" t="s">
        <v>94</v>
      </c>
      <c r="B21" s="378" t="s">
        <v>335</v>
      </c>
      <c r="C21" s="378"/>
      <c r="D21" s="379"/>
      <c r="E21" s="352" t="s">
        <v>95</v>
      </c>
      <c r="F21" s="353" t="s">
        <v>95</v>
      </c>
      <c r="G21" s="354" t="s">
        <v>310</v>
      </c>
      <c r="H21" s="355" t="s">
        <v>319</v>
      </c>
      <c r="I21" s="352" t="s">
        <v>96</v>
      </c>
      <c r="J21" s="220"/>
      <c r="K21"/>
      <c r="N21" s="12"/>
      <c r="P21" s="12"/>
      <c r="Q21" s="12"/>
      <c r="R21" s="12"/>
      <c r="S21" s="12"/>
      <c r="T21" s="12"/>
      <c r="U21" s="12"/>
    </row>
    <row r="22" spans="1:22" ht="18" customHeight="1" x14ac:dyDescent="0.2">
      <c r="A22" s="493">
        <v>40</v>
      </c>
      <c r="B22" s="497" t="s">
        <v>407</v>
      </c>
      <c r="C22" s="494"/>
      <c r="D22" s="23"/>
      <c r="E22" s="356"/>
      <c r="F22" s="357">
        <f>IF(ISERR(FIND("PERINATAL",UPPER($B$4))),'7990ODFG-P'!D76-'7990ODFG-P'!D74-'Data Entry'!B88-'Data Entry'!B89,0)/2</f>
        <v>0</v>
      </c>
      <c r="G22" s="380">
        <f>F22-H22</f>
        <v>0</v>
      </c>
      <c r="H22" s="496"/>
      <c r="I22" s="358">
        <f t="shared" ref="I22:I30" si="0">SUM(E22:F22)</f>
        <v>0</v>
      </c>
      <c r="J22" s="220"/>
      <c r="K22"/>
      <c r="N22" s="12"/>
      <c r="P22" s="12"/>
      <c r="Q22" s="12"/>
      <c r="R22" s="12"/>
      <c r="S22" s="12"/>
      <c r="T22" s="12"/>
      <c r="U22" s="12"/>
    </row>
    <row r="23" spans="1:22" ht="6" customHeight="1" x14ac:dyDescent="0.2">
      <c r="A23" s="346"/>
      <c r="B23" s="474"/>
      <c r="C23" s="495"/>
      <c r="D23" s="476"/>
      <c r="E23" s="356"/>
      <c r="F23" s="477"/>
      <c r="G23" s="479"/>
      <c r="H23" s="381"/>
      <c r="I23" s="480"/>
      <c r="J23" s="220"/>
      <c r="K23"/>
      <c r="N23" s="12"/>
      <c r="P23" s="12"/>
      <c r="Q23" s="12"/>
      <c r="R23" s="12"/>
      <c r="S23" s="12"/>
      <c r="T23" s="12"/>
      <c r="U23" s="12"/>
    </row>
    <row r="24" spans="1:22" ht="18" customHeight="1" x14ac:dyDescent="0.2">
      <c r="A24" s="493" t="s">
        <v>406</v>
      </c>
      <c r="B24" s="284" t="s">
        <v>408</v>
      </c>
      <c r="C24" s="494"/>
      <c r="D24" s="23"/>
      <c r="E24" s="356"/>
      <c r="F24" s="357">
        <f>IF(ISERR(FIND("PERINATAL",UPPER($B$4))),0,'7990ODFG-P'!D76-'7990ODFG-P'!D74-'Data Entry'!B88-'Data Entry'!B89)/2</f>
        <v>0</v>
      </c>
      <c r="G24" s="380">
        <f>F24-H24</f>
        <v>0</v>
      </c>
      <c r="H24" s="496"/>
      <c r="I24" s="358">
        <f t="shared" si="0"/>
        <v>0</v>
      </c>
      <c r="J24" s="220"/>
      <c r="K24"/>
      <c r="N24" s="12"/>
      <c r="P24" s="12"/>
      <c r="Q24" s="12"/>
      <c r="R24" s="12"/>
      <c r="S24" s="12"/>
      <c r="T24" s="12"/>
      <c r="U24" s="12"/>
    </row>
    <row r="25" spans="1:22" ht="6" customHeight="1" x14ac:dyDescent="0.2">
      <c r="A25" s="346"/>
      <c r="B25" s="474"/>
      <c r="C25" s="475"/>
      <c r="D25" s="476"/>
      <c r="E25" s="356"/>
      <c r="F25" s="477"/>
      <c r="G25" s="479"/>
      <c r="H25" s="381"/>
      <c r="I25" s="480"/>
      <c r="J25" s="220"/>
      <c r="K25"/>
      <c r="N25" s="12"/>
      <c r="P25" s="12"/>
      <c r="Q25" s="12"/>
      <c r="R25" s="12"/>
      <c r="S25" s="12"/>
      <c r="T25" s="12"/>
      <c r="U25" s="12"/>
    </row>
    <row r="26" spans="1:22" ht="6" customHeight="1" x14ac:dyDescent="0.2">
      <c r="A26" s="346"/>
      <c r="B26" s="474"/>
      <c r="C26" s="475"/>
      <c r="D26" s="476"/>
      <c r="E26" s="356"/>
      <c r="F26" s="477"/>
      <c r="G26" s="479"/>
      <c r="H26" s="381"/>
      <c r="I26" s="480"/>
      <c r="J26" s="220"/>
      <c r="K26"/>
      <c r="N26" s="12"/>
      <c r="P26" s="12"/>
      <c r="Q26" s="12"/>
      <c r="R26" s="12"/>
      <c r="S26" s="12"/>
      <c r="T26" s="12"/>
      <c r="U26" s="12"/>
    </row>
    <row r="27" spans="1:22" ht="18" customHeight="1" x14ac:dyDescent="0.2">
      <c r="A27" s="481" t="s">
        <v>100</v>
      </c>
      <c r="B27" s="482" t="s">
        <v>101</v>
      </c>
      <c r="C27" s="2"/>
      <c r="D27" s="23"/>
      <c r="E27" s="359"/>
      <c r="F27" s="357">
        <f>'7990ODFG-P'!D79</f>
        <v>0</v>
      </c>
      <c r="G27" s="380">
        <f>'Data Entry'!B88</f>
        <v>0</v>
      </c>
      <c r="H27" s="488">
        <f>'Data Entry'!C88</f>
        <v>0</v>
      </c>
      <c r="I27" s="358">
        <f t="shared" si="0"/>
        <v>0</v>
      </c>
      <c r="J27" s="220"/>
      <c r="K27"/>
      <c r="N27" s="12"/>
      <c r="P27" s="12"/>
      <c r="Q27" s="12"/>
      <c r="R27" s="12"/>
      <c r="S27" s="12"/>
      <c r="T27" s="12"/>
      <c r="U27" s="12"/>
    </row>
    <row r="28" spans="1:22" ht="18" customHeight="1" x14ac:dyDescent="0.2">
      <c r="A28" s="481">
        <v>85</v>
      </c>
      <c r="B28" s="482" t="s">
        <v>102</v>
      </c>
      <c r="C28" s="2"/>
      <c r="D28" s="12"/>
      <c r="E28" s="424"/>
      <c r="F28" s="357">
        <f>'7990ODFG-P'!D80</f>
        <v>0</v>
      </c>
      <c r="G28" s="380">
        <f>'Data Entry'!B89</f>
        <v>0</v>
      </c>
      <c r="H28" s="488">
        <f>'Data Entry'!C89</f>
        <v>0</v>
      </c>
      <c r="I28" s="358">
        <f t="shared" si="0"/>
        <v>0</v>
      </c>
      <c r="J28" s="220"/>
      <c r="K28"/>
      <c r="N28" s="12"/>
      <c r="P28" s="12"/>
      <c r="Q28" s="12"/>
      <c r="R28" s="12"/>
      <c r="S28" s="12"/>
      <c r="T28" s="12"/>
      <c r="U28" s="12"/>
    </row>
    <row r="29" spans="1:22" ht="6" customHeight="1" x14ac:dyDescent="0.2">
      <c r="A29" s="346"/>
      <c r="B29" s="474"/>
      <c r="C29" s="475"/>
      <c r="D29" s="478"/>
      <c r="E29" s="360"/>
      <c r="F29" s="477"/>
      <c r="G29" s="479"/>
      <c r="H29" s="381"/>
      <c r="I29" s="480"/>
      <c r="J29" s="220"/>
      <c r="K29"/>
      <c r="N29" s="12"/>
      <c r="P29" s="12"/>
      <c r="Q29" s="12"/>
      <c r="R29" s="12"/>
      <c r="S29" s="12"/>
      <c r="T29" s="12"/>
      <c r="U29" s="12"/>
    </row>
    <row r="30" spans="1:22" ht="18" customHeight="1" x14ac:dyDescent="0.2">
      <c r="A30" s="346" t="s">
        <v>284</v>
      </c>
      <c r="B30" s="284" t="s">
        <v>372</v>
      </c>
      <c r="C30" s="2"/>
      <c r="D30" s="23"/>
      <c r="E30" s="361">
        <f>'7895ODFG-P'!F23</f>
        <v>0</v>
      </c>
      <c r="F30" s="362">
        <f>'7895ODFG-P'!E23-SUM(F22:F29)</f>
        <v>0</v>
      </c>
      <c r="G30" s="382">
        <f>IF(G31-SUM(G22:G29)&lt;0,"error",G31-SUM(G22:G29))</f>
        <v>0</v>
      </c>
      <c r="H30" s="383">
        <f>H31-SUM(H22:H29)</f>
        <v>0</v>
      </c>
      <c r="I30" s="358">
        <f t="shared" si="0"/>
        <v>0</v>
      </c>
      <c r="J30" s="483"/>
      <c r="K30"/>
      <c r="N30" s="12"/>
      <c r="P30" s="12"/>
      <c r="Q30" s="12"/>
      <c r="R30" s="200"/>
      <c r="S30" s="12"/>
      <c r="T30" s="12"/>
      <c r="U30" s="12"/>
    </row>
    <row r="31" spans="1:22" s="217" customFormat="1" ht="12.75" customHeight="1" thickBot="1" x14ac:dyDescent="0.25">
      <c r="A31" s="347"/>
      <c r="B31" s="215"/>
      <c r="C31" s="215"/>
      <c r="D31" s="216" t="s">
        <v>103</v>
      </c>
      <c r="E31" s="363">
        <f>SUM(E22:E30)</f>
        <v>0</v>
      </c>
      <c r="F31" s="364">
        <f>SUM(F22:F30)</f>
        <v>0</v>
      </c>
      <c r="G31" s="384">
        <f>F31-SUM(H31:H31)</f>
        <v>0</v>
      </c>
      <c r="H31" s="385">
        <f>MAX(H29,ROUND('7990ODFG-P'!D62*'7990ODFG-P'!F47,0))</f>
        <v>0</v>
      </c>
      <c r="I31" s="363">
        <f>H35</f>
        <v>0</v>
      </c>
      <c r="J31" s="220"/>
      <c r="K31"/>
      <c r="L31"/>
      <c r="M31"/>
      <c r="N31" s="218"/>
      <c r="P31" s="218"/>
      <c r="Q31" s="218"/>
      <c r="R31" s="218"/>
      <c r="S31" s="218"/>
      <c r="T31" s="218"/>
      <c r="U31" s="218"/>
    </row>
    <row r="32" spans="1:22" ht="12.75" customHeight="1" thickTop="1" x14ac:dyDescent="0.2">
      <c r="A32" s="505"/>
      <c r="B32" s="506"/>
      <c r="C32" s="506"/>
      <c r="D32" s="414" t="s">
        <v>104</v>
      </c>
      <c r="E32" s="365">
        <f>E40</f>
        <v>0</v>
      </c>
      <c r="F32" s="366">
        <f>E37</f>
        <v>0</v>
      </c>
      <c r="G32" s="283"/>
      <c r="H32" s="283"/>
      <c r="I32" s="367">
        <f>F31+E31</f>
        <v>0</v>
      </c>
      <c r="J32" s="220"/>
      <c r="K32"/>
      <c r="N32" s="12"/>
      <c r="P32" s="12"/>
      <c r="Q32" s="12"/>
      <c r="R32" s="12"/>
      <c r="S32" s="12"/>
      <c r="T32" s="12"/>
      <c r="U32" s="12"/>
    </row>
    <row r="33" spans="1:21" ht="12.75" customHeight="1" thickBot="1" x14ac:dyDescent="0.25">
      <c r="A33" s="507"/>
      <c r="B33" s="507"/>
      <c r="C33" s="507"/>
      <c r="E33" s="330" t="str">
        <f>IF(E31=E32,"OKAY","ERROR")</f>
        <v>OKAY</v>
      </c>
      <c r="F33" s="330" t="str">
        <f>IF(F31=F32,"OKAY","ERROR")</f>
        <v>OKAY</v>
      </c>
      <c r="G33" s="283"/>
      <c r="H33" s="283"/>
      <c r="I33" s="330" t="str">
        <f>IF(I31=I32,"OKAY","ERROR")</f>
        <v>OKAY</v>
      </c>
      <c r="J33" s="220"/>
      <c r="K33"/>
      <c r="P33" s="12"/>
      <c r="Q33" s="12"/>
      <c r="R33" s="12"/>
      <c r="S33" s="12"/>
      <c r="T33" s="12"/>
      <c r="U33" s="12"/>
    </row>
    <row r="34" spans="1:21" ht="12.75" customHeight="1" thickBot="1" x14ac:dyDescent="0.25">
      <c r="A34" s="507"/>
      <c r="B34" s="507"/>
      <c r="C34" s="507"/>
      <c r="D34" s="329" t="s">
        <v>285</v>
      </c>
      <c r="E34" s="67">
        <f>SUM(E32-E31)</f>
        <v>0</v>
      </c>
      <c r="F34" s="210">
        <f>SUM(F32-F31)</f>
        <v>0</v>
      </c>
      <c r="I34" s="211">
        <f>SUM(I32-I31)</f>
        <v>0</v>
      </c>
      <c r="J34" s="220"/>
      <c r="K34"/>
    </row>
    <row r="35" spans="1:21" ht="12.75" customHeight="1" x14ac:dyDescent="0.2">
      <c r="A35" s="507"/>
      <c r="B35" s="507"/>
      <c r="C35" s="507"/>
      <c r="D35" s="387"/>
      <c r="E35" s="387"/>
      <c r="F35" s="387"/>
      <c r="G35" s="389" t="s">
        <v>325</v>
      </c>
      <c r="H35" s="401">
        <f>SUM('7895ODFG-P'!G15:G21,'7895ODFG-P'!E96)</f>
        <v>0</v>
      </c>
      <c r="I35" s="387"/>
      <c r="J35" s="388"/>
    </row>
    <row r="36" spans="1:21" ht="12.75" customHeight="1" x14ac:dyDescent="0.2">
      <c r="B36" s="389" t="s">
        <v>105</v>
      </c>
      <c r="C36" s="390">
        <f>('7990ODFG-P'!F27)</f>
        <v>0</v>
      </c>
      <c r="D36" s="391" t="s">
        <v>334</v>
      </c>
      <c r="E36" s="392">
        <f>('7990ODFG-P'!D36)</f>
        <v>61.33</v>
      </c>
      <c r="F36" s="393"/>
      <c r="G36" s="389" t="s">
        <v>426</v>
      </c>
      <c r="H36" s="394">
        <f>'7895ODFG-P'!F39</f>
        <v>0</v>
      </c>
      <c r="I36" s="395" t="str">
        <f>IF('Control Worksheet'!B11,"  Staff Hours","")</f>
        <v xml:space="preserve">  Staff Hours</v>
      </c>
      <c r="J36" s="387"/>
      <c r="K36" s="12"/>
    </row>
    <row r="37" spans="1:21" ht="12.75" customHeight="1" x14ac:dyDescent="0.2">
      <c r="B37" s="389" t="s">
        <v>425</v>
      </c>
      <c r="C37" s="390">
        <f>('7990ODFG-P'!E27)</f>
        <v>0</v>
      </c>
      <c r="D37" s="391" t="s">
        <v>329</v>
      </c>
      <c r="E37" s="394">
        <f>IF(H37=0,0,IF(H38=0,H35,IF('Control Worksheet'!B13,ROUND(H37*C40,0)+C36+C38,'7990ODFG-P'!D27)))</f>
        <v>0</v>
      </c>
      <c r="F37" s="396"/>
      <c r="G37" s="389" t="s">
        <v>93</v>
      </c>
      <c r="H37" s="394">
        <f>('7990ODFG-P'!F49)</f>
        <v>0</v>
      </c>
      <c r="I37" s="395" t="str">
        <f>"  " &amp; 'Control Worksheet'!B7</f>
        <v xml:space="preserve">  Individuals</v>
      </c>
      <c r="J37" s="387"/>
      <c r="K37" s="12"/>
    </row>
    <row r="38" spans="1:21" ht="12.75" customHeight="1" x14ac:dyDescent="0.25">
      <c r="A38" s="285"/>
      <c r="B38" s="397" t="s">
        <v>323</v>
      </c>
      <c r="C38" s="390">
        <f>('7990ODFG-P'!H27)</f>
        <v>0</v>
      </c>
      <c r="D38" s="391" t="s">
        <v>333</v>
      </c>
      <c r="E38" s="394">
        <f>FLOOR(H37*E36,1)</f>
        <v>0</v>
      </c>
      <c r="F38" s="396"/>
      <c r="G38" s="389" t="s">
        <v>427</v>
      </c>
      <c r="H38" s="394">
        <f>('7990ODFG-P'!E54)</f>
        <v>0</v>
      </c>
      <c r="I38" s="395" t="str">
        <f>"  " &amp; 'Control Worksheet'!B8</f>
        <v xml:space="preserve">  Individuals</v>
      </c>
      <c r="J38" s="387"/>
      <c r="K38" s="12"/>
      <c r="M38" s="12"/>
    </row>
    <row r="39" spans="1:21" ht="12.75" customHeight="1" x14ac:dyDescent="0.2">
      <c r="A39" s="348"/>
      <c r="B39" s="398" t="s">
        <v>107</v>
      </c>
      <c r="C39" s="390">
        <f>'7895ODFG-P'!G38</f>
        <v>0</v>
      </c>
      <c r="D39" s="391" t="s">
        <v>324</v>
      </c>
      <c r="E39" s="394">
        <f>MAX(E37-E38,0)</f>
        <v>0</v>
      </c>
      <c r="F39" s="396"/>
      <c r="G39" s="391" t="s">
        <v>97</v>
      </c>
      <c r="H39" s="399">
        <f>IF(H37&lt;1,0,ROUND(+E37/H37,2))</f>
        <v>0</v>
      </c>
      <c r="I39" s="395"/>
      <c r="J39" s="387"/>
      <c r="K39" s="12"/>
      <c r="M39" s="12"/>
    </row>
    <row r="40" spans="1:21" ht="12.75" customHeight="1" x14ac:dyDescent="0.2">
      <c r="B40" s="391" t="s">
        <v>108</v>
      </c>
      <c r="C40" s="400">
        <f>IF(NOT('Control Worksheet'!B13),"NA",IF((H37+H38)=0,0,(I31-C36-C37-C38)/(H37+H38)))</f>
        <v>0</v>
      </c>
      <c r="D40" s="391" t="s">
        <v>429</v>
      </c>
      <c r="E40" s="394">
        <f>I31-E37</f>
        <v>0</v>
      </c>
      <c r="F40" s="396"/>
      <c r="G40" s="391" t="s">
        <v>428</v>
      </c>
      <c r="H40" s="399">
        <f>IF(H38=0,0,ROUND(IF(H37&lt;1,(I31-E37)/H36,(I31-E37)/H38),2))</f>
        <v>0</v>
      </c>
      <c r="I40" s="395"/>
      <c r="J40" s="387"/>
      <c r="K40"/>
      <c r="L40" s="13"/>
    </row>
    <row r="41" spans="1:21" ht="12.75" customHeight="1" x14ac:dyDescent="0.2">
      <c r="B41" s="387"/>
      <c r="C41" s="387"/>
      <c r="D41" s="388"/>
      <c r="E41" s="402"/>
      <c r="F41" s="403"/>
      <c r="G41" s="389"/>
      <c r="H41" s="413"/>
      <c r="K41"/>
      <c r="L41" s="12"/>
    </row>
    <row r="42" spans="1:21" ht="12.75" customHeight="1" thickBot="1" x14ac:dyDescent="0.25">
      <c r="D42" s="12"/>
      <c r="E42" s="251"/>
      <c r="F42" s="12"/>
      <c r="J42" s="387"/>
      <c r="L42" s="12"/>
      <c r="M42" s="12"/>
    </row>
    <row r="43" spans="1:21" ht="15.75" customHeight="1" x14ac:dyDescent="0.25">
      <c r="C43" s="332" t="s">
        <v>301</v>
      </c>
      <c r="D43" s="333" t="s">
        <v>302</v>
      </c>
      <c r="E43" s="333"/>
      <c r="F43" s="333"/>
      <c r="G43" s="333"/>
      <c r="H43" s="333"/>
      <c r="I43" s="334"/>
      <c r="L43" s="12"/>
      <c r="M43" s="13"/>
      <c r="N43" s="65"/>
    </row>
    <row r="44" spans="1:21" ht="15.75" customHeight="1" x14ac:dyDescent="0.25">
      <c r="C44" s="335"/>
      <c r="D44" s="336" t="s">
        <v>389</v>
      </c>
      <c r="E44" s="336"/>
      <c r="F44" s="336"/>
      <c r="G44" s="336"/>
      <c r="H44" s="336"/>
      <c r="I44" s="337"/>
      <c r="L44" s="12"/>
      <c r="M44" s="12"/>
      <c r="N44" s="204"/>
    </row>
    <row r="45" spans="1:21" ht="15.75" customHeight="1" thickBot="1" x14ac:dyDescent="0.3">
      <c r="C45" s="338"/>
      <c r="D45" s="339" t="s">
        <v>388</v>
      </c>
      <c r="E45" s="339"/>
      <c r="F45" s="339"/>
      <c r="G45" s="339"/>
      <c r="H45" s="339"/>
      <c r="I45" s="340"/>
      <c r="L45" s="12"/>
      <c r="M45" s="12"/>
      <c r="N45" s="204"/>
    </row>
    <row r="46" spans="1:21" ht="12.75" customHeight="1" x14ac:dyDescent="0.2">
      <c r="L46" s="12"/>
      <c r="M46" s="12"/>
      <c r="N46" s="204"/>
    </row>
    <row r="47" spans="1:21" ht="12.75" customHeight="1" x14ac:dyDescent="0.2">
      <c r="A47" s="342"/>
      <c r="L47" s="12"/>
      <c r="M47" s="12"/>
      <c r="N47" s="204"/>
    </row>
    <row r="48" spans="1:21" ht="12.75" customHeight="1" x14ac:dyDescent="0.2">
      <c r="L48" s="12"/>
      <c r="M48" s="13"/>
      <c r="N48" s="204"/>
    </row>
    <row r="49" spans="11:14" ht="12.75" customHeight="1" x14ac:dyDescent="0.2">
      <c r="L49" s="12"/>
      <c r="M49" s="12"/>
      <c r="N49" s="204"/>
    </row>
    <row r="50" spans="11:14" ht="12.75" customHeight="1" x14ac:dyDescent="0.2">
      <c r="L50" s="12"/>
      <c r="M50" s="12"/>
      <c r="N50" s="204"/>
    </row>
    <row r="51" spans="11:14" ht="12.75" customHeight="1" x14ac:dyDescent="0.2">
      <c r="L51" s="218"/>
      <c r="M51" s="218"/>
      <c r="N51" s="12"/>
    </row>
    <row r="52" spans="11:14" ht="12.75" customHeight="1" x14ac:dyDescent="0.2">
      <c r="L52" s="12"/>
      <c r="M52" s="12"/>
      <c r="N52" s="386"/>
    </row>
    <row r="53" spans="11:14" ht="12.75" customHeight="1" x14ac:dyDescent="0.2">
      <c r="L53" s="12"/>
      <c r="M53" s="12"/>
      <c r="N53" s="12"/>
    </row>
    <row r="54" spans="11:14" ht="12.75" customHeight="1" x14ac:dyDescent="0.2">
      <c r="L54" s="12"/>
      <c r="M54" s="12"/>
      <c r="N54" s="12"/>
    </row>
    <row r="55" spans="11:14" ht="12.75" customHeight="1" x14ac:dyDescent="0.2">
      <c r="N55" s="12"/>
    </row>
    <row r="56" spans="11:14" ht="12.75" customHeight="1" x14ac:dyDescent="0.2">
      <c r="N56" s="12"/>
    </row>
    <row r="57" spans="11:14" ht="12.75" customHeight="1" x14ac:dyDescent="0.2">
      <c r="N57" s="12"/>
    </row>
    <row r="58" spans="11:14" ht="12.75" customHeight="1" x14ac:dyDescent="0.2">
      <c r="K58" s="221"/>
      <c r="N58" s="12"/>
    </row>
    <row r="59" spans="11:14" ht="12.75" customHeight="1" x14ac:dyDescent="0.2">
      <c r="N59" s="12"/>
    </row>
    <row r="60" spans="11:14" ht="12.75" customHeight="1" x14ac:dyDescent="0.2">
      <c r="N60" s="12"/>
    </row>
    <row r="61" spans="11:14" ht="12.75" customHeight="1" x14ac:dyDescent="0.2">
      <c r="N61" s="12"/>
    </row>
    <row r="62" spans="11:14" ht="12.75" customHeight="1" x14ac:dyDescent="0.2">
      <c r="N62" s="12"/>
    </row>
    <row r="63" spans="11:14" ht="12.75" customHeight="1" x14ac:dyDescent="0.2">
      <c r="N63" s="12"/>
    </row>
    <row r="64" spans="11:14" ht="12.75" customHeight="1" x14ac:dyDescent="0.2">
      <c r="N64" s="12"/>
    </row>
    <row r="65" spans="14:14" ht="12.75" customHeight="1" x14ac:dyDescent="0.2">
      <c r="N65" s="12"/>
    </row>
    <row r="66" spans="14:14" ht="12.75" customHeight="1" x14ac:dyDescent="0.2">
      <c r="N66" s="12"/>
    </row>
    <row r="67" spans="14:14" ht="12.75" customHeight="1" x14ac:dyDescent="0.2">
      <c r="N67" s="12"/>
    </row>
    <row r="68" spans="14:14" ht="12.75" customHeight="1" x14ac:dyDescent="0.2">
      <c r="N68" s="12"/>
    </row>
    <row r="69" spans="14:14" ht="12.75" customHeight="1" x14ac:dyDescent="0.2">
      <c r="N69" s="12"/>
    </row>
    <row r="70" spans="14:14" ht="12.75" customHeight="1" x14ac:dyDescent="0.2">
      <c r="N70" s="218"/>
    </row>
    <row r="71" spans="14:14" ht="12.75" customHeight="1" x14ac:dyDescent="0.2">
      <c r="N71" s="12"/>
    </row>
    <row r="106" spans="28:29" ht="12.75" customHeight="1" x14ac:dyDescent="0.2">
      <c r="AB106" s="7" t="s">
        <v>38</v>
      </c>
      <c r="AC106" t="s">
        <v>109</v>
      </c>
    </row>
    <row r="107" spans="28:29" ht="12.75" customHeight="1" x14ac:dyDescent="0.2">
      <c r="AB107" s="7" t="s">
        <v>40</v>
      </c>
      <c r="AC107" s="1">
        <f ca="1">NOW()</f>
        <v>44145.839588078707</v>
      </c>
    </row>
    <row r="108" spans="28:29" ht="12.75" customHeight="1" x14ac:dyDescent="0.2">
      <c r="AB108" s="7" t="s">
        <v>41</v>
      </c>
      <c r="AC108" s="1">
        <v>35867.554861111101</v>
      </c>
    </row>
    <row r="115" spans="31:31" ht="12.75" customHeight="1" x14ac:dyDescent="0.2">
      <c r="AE115" s="1"/>
    </row>
    <row r="116" spans="31:31" ht="12.75" customHeight="1" x14ac:dyDescent="0.2">
      <c r="AE116" s="1"/>
    </row>
  </sheetData>
  <sheetProtection password="CD5A" sheet="1"/>
  <mergeCells count="3">
    <mergeCell ref="A32:C35"/>
    <mergeCell ref="I5:I6"/>
    <mergeCell ref="G20:H20"/>
  </mergeCells>
  <phoneticPr fontId="0" type="noConversion"/>
  <conditionalFormatting sqref="G22 G25">
    <cfRule type="expression" priority="1" stopIfTrue="1">
      <formula>NOT(ISERR(FIND("PERINATAL",UPPER(B4))))</formula>
    </cfRule>
  </conditionalFormatting>
  <conditionalFormatting sqref="A39">
    <cfRule type="expression" dxfId="22" priority="2" stopIfTrue="1">
      <formula>ISERR(FIND("GROUP COUNSELING",UPPER(B4)))</formula>
    </cfRule>
  </conditionalFormatting>
  <conditionalFormatting sqref="G29:H29">
    <cfRule type="expression" priority="9" stopIfTrue="1">
      <formula>NOT(ISERR(FIND("PERINATAL",UPPER(B10))))</formula>
    </cfRule>
  </conditionalFormatting>
  <conditionalFormatting sqref="C39">
    <cfRule type="expression" dxfId="21" priority="11" stopIfTrue="1">
      <formula>ISERR(FIND("GROUP COUNSELING",UPPER(D4)))</formula>
    </cfRule>
  </conditionalFormatting>
  <conditionalFormatting sqref="G36:I36">
    <cfRule type="expression" dxfId="20" priority="3" stopIfTrue="1">
      <formula>IF($I$36="  Staff Hours",FALSE,TRUE)</formula>
    </cfRule>
  </conditionalFormatting>
  <conditionalFormatting sqref="I11:I17">
    <cfRule type="cellIs" dxfId="19" priority="4" stopIfTrue="1" operator="equal">
      <formula>"No correction needed"</formula>
    </cfRule>
  </conditionalFormatting>
  <conditionalFormatting sqref="H11:H17">
    <cfRule type="cellIs" dxfId="18" priority="5" stopIfTrue="1" operator="equal">
      <formula>"OKAY"</formula>
    </cfRule>
  </conditionalFormatting>
  <conditionalFormatting sqref="B40:C40">
    <cfRule type="expression" dxfId="17" priority="7" stopIfTrue="1">
      <formula>$C$40="NA"</formula>
    </cfRule>
  </conditionalFormatting>
  <conditionalFormatting sqref="A40">
    <cfRule type="expression" dxfId="16" priority="8" stopIfTrue="1">
      <formula>AND($C$40="NA",SUM($H$37:$H$38)&lt;&gt;0)</formula>
    </cfRule>
  </conditionalFormatting>
  <conditionalFormatting sqref="B39">
    <cfRule type="expression" dxfId="15" priority="10" stopIfTrue="1">
      <formula>ISERR(FIND("GROUP COUNSELING",UPPER(#REF!)))</formula>
    </cfRule>
  </conditionalFormatting>
  <printOptions horizontalCentered="1"/>
  <pageMargins left="0.25" right="0.25" top="0.5" bottom="0.5" header="0.25" footer="0.25"/>
  <pageSetup scale="95" orientation="landscape" r:id="rId1"/>
  <headerFooter alignWithMargins="0">
    <oddHeader>&amp;LState of California - Health and Human Services Agency &amp;RDepartment of Health Care Services</oddHeader>
    <oddFooter>&amp;LDHCS MC      (02/13)
&amp;F - &amp;A</oddFooter>
  </headerFooter>
  <rowBreaks count="1" manualBreakCount="1">
    <brk id="2" max="9"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796"/>
  <sheetViews>
    <sheetView showGridLines="0" showOutlineSymbols="0" zoomScaleNormal="100" workbookViewId="0">
      <selection activeCell="F9" sqref="F9"/>
    </sheetView>
  </sheetViews>
  <sheetFormatPr defaultColWidth="10.7109375" defaultRowHeight="12.75" x14ac:dyDescent="0.2"/>
  <cols>
    <col min="1" max="1" width="11" style="81" customWidth="1"/>
    <col min="2" max="2" width="40.7109375" style="81" customWidth="1"/>
    <col min="3" max="3" width="22.85546875" style="81" customWidth="1"/>
    <col min="4" max="6" width="14.7109375" style="81" customWidth="1"/>
    <col min="7" max="7" width="15.42578125" style="81" customWidth="1"/>
    <col min="8" max="8" width="14.7109375" style="81" customWidth="1"/>
    <col min="9" max="9" width="6.85546875" style="81" customWidth="1"/>
    <col min="10" max="10" width="11.7109375" style="81" customWidth="1"/>
    <col min="11" max="185" width="10.7109375" style="81"/>
    <col min="186" max="186" width="9.140625" style="81" customWidth="1"/>
    <col min="187" max="16384" width="10.7109375" style="81"/>
  </cols>
  <sheetData>
    <row r="1" spans="1:9" x14ac:dyDescent="0.2">
      <c r="H1" s="86"/>
    </row>
    <row r="2" spans="1:9" x14ac:dyDescent="0.2">
      <c r="A2" s="87" t="s">
        <v>410</v>
      </c>
      <c r="B2" s="87"/>
      <c r="C2" s="87"/>
      <c r="D2" s="87"/>
      <c r="E2" s="87"/>
      <c r="F2" s="87"/>
      <c r="G2" s="87"/>
      <c r="H2" s="87"/>
      <c r="I2" s="87"/>
    </row>
    <row r="3" spans="1:9" x14ac:dyDescent="0.2">
      <c r="A3" s="87" t="s">
        <v>82</v>
      </c>
      <c r="B3" s="87"/>
      <c r="C3" s="87"/>
      <c r="D3" s="87"/>
      <c r="E3" s="87"/>
      <c r="F3" s="87"/>
      <c r="G3" s="87"/>
      <c r="H3" s="87"/>
      <c r="I3" s="87"/>
    </row>
    <row r="4" spans="1:9" x14ac:dyDescent="0.2">
      <c r="A4" s="87" t="s">
        <v>81</v>
      </c>
      <c r="B4" s="87"/>
      <c r="C4" s="87"/>
      <c r="D4" s="87"/>
      <c r="E4" s="87"/>
      <c r="F4" s="87"/>
      <c r="G4" s="87"/>
      <c r="H4" s="87"/>
      <c r="I4" s="87"/>
    </row>
    <row r="5" spans="1:9" x14ac:dyDescent="0.2">
      <c r="A5" s="87" t="str">
        <f>RIGHT('Data Entry'!A1,10)</f>
        <v>FY 2012-13</v>
      </c>
      <c r="B5" s="87"/>
      <c r="C5" s="87"/>
      <c r="D5" s="87"/>
      <c r="E5" s="87"/>
      <c r="F5" s="87"/>
      <c r="G5" s="87"/>
      <c r="H5" s="87"/>
      <c r="I5" s="87"/>
    </row>
    <row r="6" spans="1:9" x14ac:dyDescent="0.2">
      <c r="A6" s="88"/>
      <c r="B6" s="88"/>
      <c r="C6" s="88"/>
      <c r="D6" s="88"/>
      <c r="E6" s="88"/>
      <c r="F6" s="88"/>
      <c r="G6" s="88"/>
      <c r="H6" s="88"/>
      <c r="I6" s="88"/>
    </row>
    <row r="7" spans="1:9" ht="15.75" x14ac:dyDescent="0.2">
      <c r="A7" s="89" t="str">
        <f>'Data Entry'!A2</f>
        <v>ODF Group Counseling - Perinatal</v>
      </c>
      <c r="B7" s="89"/>
      <c r="C7" s="89"/>
      <c r="D7" s="89"/>
      <c r="E7" s="89"/>
      <c r="F7" s="89"/>
      <c r="G7" s="89"/>
      <c r="H7" s="89"/>
      <c r="I7" s="89"/>
    </row>
    <row r="8" spans="1:9" x14ac:dyDescent="0.2">
      <c r="A8" s="90"/>
      <c r="B8" s="90"/>
      <c r="C8" s="90"/>
      <c r="D8" s="90"/>
      <c r="E8" s="90"/>
      <c r="F8" s="90"/>
      <c r="G8" s="90"/>
      <c r="H8" s="90"/>
      <c r="I8" s="90"/>
    </row>
    <row r="9" spans="1:9" ht="17.100000000000001" customHeight="1" x14ac:dyDescent="0.2">
      <c r="A9" s="91" t="s">
        <v>87</v>
      </c>
      <c r="B9" s="92" t="str">
        <f>('7895ODFG-P'!B7)</f>
        <v/>
      </c>
      <c r="C9" s="82"/>
      <c r="D9" s="81" t="s">
        <v>0</v>
      </c>
      <c r="F9" s="93" t="str">
        <f>('7895ODFG-P'!F8)</f>
        <v/>
      </c>
      <c r="G9" s="82"/>
      <c r="H9" s="82"/>
      <c r="I9" s="82"/>
    </row>
    <row r="10" spans="1:9" ht="17.100000000000001" customHeight="1" x14ac:dyDescent="0.2">
      <c r="A10" s="91" t="s">
        <v>88</v>
      </c>
      <c r="B10" s="92" t="str">
        <f>('7895ODFG-P'!B8)</f>
        <v/>
      </c>
      <c r="D10" s="81" t="s">
        <v>381</v>
      </c>
      <c r="F10" s="93" t="str">
        <f>('7895ODFG-P'!F9)</f>
        <v/>
      </c>
      <c r="G10" s="82"/>
      <c r="H10" s="82"/>
      <c r="I10" s="82"/>
    </row>
    <row r="11" spans="1:9" x14ac:dyDescent="0.2">
      <c r="A11" s="82"/>
      <c r="B11" s="82"/>
    </row>
    <row r="12" spans="1:9" ht="9" customHeight="1" thickBot="1" x14ac:dyDescent="0.25">
      <c r="A12" s="94"/>
      <c r="B12" s="94"/>
      <c r="C12" s="94"/>
      <c r="D12" s="94"/>
      <c r="E12" s="94"/>
      <c r="F12" s="94"/>
      <c r="G12" s="94"/>
      <c r="H12" s="94"/>
      <c r="I12" s="82"/>
    </row>
    <row r="13" spans="1:9" ht="12" customHeight="1" thickTop="1" x14ac:dyDescent="0.2">
      <c r="A13" s="95"/>
      <c r="I13" s="96"/>
    </row>
    <row r="14" spans="1:9" x14ac:dyDescent="0.2">
      <c r="A14" s="97"/>
      <c r="B14" s="86"/>
      <c r="C14" s="98" t="s">
        <v>1</v>
      </c>
      <c r="D14" s="86"/>
      <c r="E14" s="86"/>
      <c r="F14" s="86"/>
      <c r="G14" s="86"/>
      <c r="H14" s="86"/>
      <c r="I14" s="99"/>
    </row>
    <row r="15" spans="1:9" x14ac:dyDescent="0.2">
      <c r="A15" s="100"/>
      <c r="B15" s="100"/>
      <c r="C15" s="100"/>
      <c r="D15" s="101" t="s">
        <v>2</v>
      </c>
      <c r="I15" s="82"/>
    </row>
    <row r="16" spans="1:9" ht="12" customHeight="1" x14ac:dyDescent="0.2">
      <c r="A16" s="102"/>
      <c r="B16" s="103"/>
      <c r="C16" s="104"/>
      <c r="D16" s="470" t="s">
        <v>7</v>
      </c>
      <c r="E16" s="458"/>
      <c r="F16" s="458"/>
      <c r="G16" s="458"/>
      <c r="H16" s="459"/>
      <c r="I16" s="459"/>
    </row>
    <row r="17" spans="1:9" ht="9.75" customHeight="1" x14ac:dyDescent="0.2">
      <c r="A17" s="102"/>
      <c r="B17" s="103"/>
      <c r="C17" s="104"/>
      <c r="D17" s="471" t="str">
        <f>IF('Control Worksheet'!B13,"Non DMC  &amp; DMC","DMC")</f>
        <v>Non DMC  &amp; DMC</v>
      </c>
      <c r="E17" s="460"/>
      <c r="F17" s="460"/>
      <c r="G17" s="461"/>
      <c r="H17" s="459"/>
      <c r="I17" s="459"/>
    </row>
    <row r="18" spans="1:9" ht="9" customHeight="1" x14ac:dyDescent="0.2">
      <c r="A18" s="106"/>
      <c r="B18" s="107" t="s">
        <v>9</v>
      </c>
      <c r="C18" s="108"/>
      <c r="D18" s="472" t="s">
        <v>10</v>
      </c>
      <c r="E18" s="458"/>
      <c r="F18" s="458"/>
      <c r="G18" s="458"/>
      <c r="H18" s="459"/>
      <c r="I18" s="459"/>
    </row>
    <row r="19" spans="1:9" ht="15.95" customHeight="1" x14ac:dyDescent="0.2">
      <c r="A19" s="102"/>
      <c r="B19" s="111" t="s">
        <v>11</v>
      </c>
      <c r="C19" s="110"/>
      <c r="D19" s="473">
        <f>IF('Control Worksheet'!B13,'7895ODFG-P'!G15,'7895ODFG-P'!E15)</f>
        <v>0</v>
      </c>
      <c r="E19" s="462"/>
      <c r="F19" s="462"/>
      <c r="G19" s="462"/>
      <c r="H19" s="462"/>
      <c r="I19" s="459"/>
    </row>
    <row r="20" spans="1:9" ht="15.95" customHeight="1" x14ac:dyDescent="0.2">
      <c r="A20" s="102"/>
      <c r="B20" s="111" t="s">
        <v>12</v>
      </c>
      <c r="C20" s="110"/>
      <c r="D20" s="473">
        <f>IF('Control Worksheet'!B13,'7895ODFG-P'!G16,'7895ODFG-P'!E16)</f>
        <v>0</v>
      </c>
      <c r="E20" s="462"/>
      <c r="F20" s="462"/>
      <c r="G20" s="462"/>
      <c r="H20" s="462"/>
      <c r="I20" s="459"/>
    </row>
    <row r="21" spans="1:9" ht="15.95" customHeight="1" x14ac:dyDescent="0.2">
      <c r="A21" s="102"/>
      <c r="B21" s="111" t="s">
        <v>13</v>
      </c>
      <c r="C21" s="110"/>
      <c r="D21" s="473">
        <f>IF('Control Worksheet'!B13,'7895ODFG-P'!G17,'7895ODFG-P'!E17)</f>
        <v>0</v>
      </c>
      <c r="E21" s="462"/>
      <c r="F21" s="462"/>
      <c r="G21" s="462"/>
      <c r="H21" s="462"/>
      <c r="I21" s="459"/>
    </row>
    <row r="22" spans="1:9" ht="15.95" customHeight="1" x14ac:dyDescent="0.2">
      <c r="A22" s="102"/>
      <c r="B22" s="111" t="s">
        <v>14</v>
      </c>
      <c r="C22" s="110"/>
      <c r="D22" s="473">
        <f>IF('Control Worksheet'!B13,'7895ODFG-P'!G18,'7895ODFG-P'!E18)</f>
        <v>0</v>
      </c>
      <c r="E22" s="462"/>
      <c r="F22" s="462"/>
      <c r="G22" s="462"/>
      <c r="H22" s="462"/>
      <c r="I22" s="459"/>
    </row>
    <row r="23" spans="1:9" ht="15.95" customHeight="1" x14ac:dyDescent="0.2">
      <c r="A23" s="102"/>
      <c r="B23" s="111" t="s">
        <v>15</v>
      </c>
      <c r="C23" s="110"/>
      <c r="D23" s="457">
        <f>IF('Control Worksheet'!B13,'7895ODFG-P'!G19,'7895ODFG-P'!E19)</f>
        <v>0</v>
      </c>
      <c r="E23" s="146" t="s">
        <v>3</v>
      </c>
      <c r="F23" s="146" t="s">
        <v>4</v>
      </c>
      <c r="G23" s="146" t="s">
        <v>5</v>
      </c>
      <c r="H23" s="186" t="s">
        <v>6</v>
      </c>
      <c r="I23" s="466"/>
    </row>
    <row r="24" spans="1:9" ht="15.95" customHeight="1" x14ac:dyDescent="0.2">
      <c r="A24" s="102"/>
      <c r="B24" s="113" t="s">
        <v>16</v>
      </c>
      <c r="C24" s="110"/>
      <c r="D24" s="112">
        <f>IF('Control Worksheet'!B13,'7895ODFG-P'!G20,'7895ODFG-P'!E20)</f>
        <v>0</v>
      </c>
      <c r="E24" s="517" t="s">
        <v>419</v>
      </c>
      <c r="F24" s="517" t="s">
        <v>400</v>
      </c>
      <c r="G24" s="517" t="s">
        <v>399</v>
      </c>
      <c r="H24" s="463" t="s">
        <v>89</v>
      </c>
      <c r="I24" s="466"/>
    </row>
    <row r="25" spans="1:9" ht="15.95" customHeight="1" x14ac:dyDescent="0.2">
      <c r="A25" s="102"/>
      <c r="B25" s="111" t="s">
        <v>17</v>
      </c>
      <c r="C25" s="110"/>
      <c r="D25" s="112">
        <f>IF('Control Worksheet'!B13,'7895ODFG-P'!G21,'7895ODFG-P'!E21)</f>
        <v>0</v>
      </c>
      <c r="E25" s="518"/>
      <c r="F25" s="518"/>
      <c r="G25" s="518"/>
      <c r="H25" s="463" t="s">
        <v>87</v>
      </c>
      <c r="I25" s="466"/>
    </row>
    <row r="26" spans="1:9" ht="15.95" customHeight="1" x14ac:dyDescent="0.2">
      <c r="A26" s="102"/>
      <c r="B26" s="114" t="s">
        <v>207</v>
      </c>
      <c r="C26" s="115"/>
      <c r="D26" s="116">
        <f>'7895ODFG-P'!E96</f>
        <v>0</v>
      </c>
      <c r="E26" s="519"/>
      <c r="F26" s="519"/>
      <c r="G26" s="519"/>
      <c r="H26" s="464" t="s">
        <v>208</v>
      </c>
      <c r="I26" s="466"/>
    </row>
    <row r="27" spans="1:9" ht="15.95" customHeight="1" thickBot="1" x14ac:dyDescent="0.25">
      <c r="A27" s="117"/>
      <c r="B27" s="118" t="s">
        <v>18</v>
      </c>
      <c r="C27" s="119"/>
      <c r="D27" s="120">
        <f>SUM(D19:D26)</f>
        <v>0</v>
      </c>
      <c r="E27" s="121">
        <f>IF('Control Worksheet'!$B$13,'7895ODFG-P'!F98,0)</f>
        <v>0</v>
      </c>
      <c r="F27" s="121">
        <f>IF('Control Worksheet'!$B$13,'7895ODFG-P'!E98,0)</f>
        <v>0</v>
      </c>
      <c r="G27" s="121">
        <f>D27-E27-F27</f>
        <v>0</v>
      </c>
      <c r="H27" s="465">
        <f>'7895ODFG-P'!E22</f>
        <v>0</v>
      </c>
      <c r="I27" s="467"/>
    </row>
    <row r="28" spans="1:9" ht="12" customHeight="1" thickTop="1" x14ac:dyDescent="0.2">
      <c r="A28" s="103"/>
      <c r="I28" s="103"/>
    </row>
    <row r="29" spans="1:9" x14ac:dyDescent="0.2">
      <c r="A29" s="122"/>
      <c r="B29" s="86"/>
      <c r="C29" s="98" t="s">
        <v>19</v>
      </c>
      <c r="D29" s="86"/>
      <c r="E29" s="86"/>
      <c r="F29" s="86"/>
      <c r="G29" s="86"/>
      <c r="H29" s="86"/>
      <c r="I29" s="103"/>
    </row>
    <row r="30" spans="1:9" ht="12" customHeight="1" thickBot="1" x14ac:dyDescent="0.25">
      <c r="A30" s="123"/>
      <c r="B30" s="94"/>
      <c r="C30" s="94"/>
      <c r="D30" s="94"/>
      <c r="E30" s="94"/>
      <c r="F30" s="82"/>
      <c r="G30" s="82"/>
      <c r="H30" s="82"/>
      <c r="I30" s="161"/>
    </row>
    <row r="31" spans="1:9" ht="13.5" thickTop="1" x14ac:dyDescent="0.2">
      <c r="A31" s="124"/>
      <c r="B31" s="103"/>
      <c r="C31" s="104"/>
      <c r="D31" s="104"/>
      <c r="E31" s="124"/>
    </row>
    <row r="32" spans="1:9" x14ac:dyDescent="0.2">
      <c r="A32" s="125"/>
      <c r="B32" s="126"/>
      <c r="C32" s="110"/>
      <c r="D32" s="109" t="s">
        <v>7</v>
      </c>
      <c r="E32" s="125"/>
    </row>
    <row r="33" spans="1:9" ht="15" x14ac:dyDescent="0.2">
      <c r="A33" s="128" t="s">
        <v>20</v>
      </c>
      <c r="B33" s="111" t="str">
        <f>"TOTAL " &amp; D17 &amp; " SERVICE COSTS"</f>
        <v>TOTAL Non DMC  &amp; DMC SERVICE COSTS</v>
      </c>
      <c r="C33" s="110"/>
      <c r="D33" s="130">
        <f>G27-H27</f>
        <v>0</v>
      </c>
      <c r="E33" s="109" t="s">
        <v>20</v>
      </c>
    </row>
    <row r="34" spans="1:9" ht="15.95" customHeight="1" x14ac:dyDescent="0.2">
      <c r="A34" s="128" t="s">
        <v>21</v>
      </c>
      <c r="B34" s="111" t="str">
        <f>"TOTAL " &amp; D17 &amp; " SERVICE UNITS"</f>
        <v>TOTAL Non DMC  &amp; DMC SERVICE UNITS</v>
      </c>
      <c r="C34" s="110"/>
      <c r="D34" s="131">
        <f>IF(D17="DMC",F54,F55)</f>
        <v>0</v>
      </c>
      <c r="E34" s="109" t="s">
        <v>21</v>
      </c>
    </row>
    <row r="35" spans="1:9" ht="15" x14ac:dyDescent="0.2">
      <c r="A35" s="128" t="s">
        <v>22</v>
      </c>
      <c r="B35" s="111" t="str">
        <f>IF(D17="DMC","DMC","COMBINED") &amp; " COST PER UNIT OF SERVICE"</f>
        <v>COMBINED COST PER UNIT OF SERVICE</v>
      </c>
      <c r="C35" s="110"/>
      <c r="D35" s="132">
        <f>IF(OR(D33=0,D34=0),0,D33/D34)</f>
        <v>0</v>
      </c>
      <c r="E35" s="109" t="s">
        <v>22</v>
      </c>
    </row>
    <row r="36" spans="1:9" ht="15" x14ac:dyDescent="0.2">
      <c r="A36" s="128" t="s">
        <v>23</v>
      </c>
      <c r="B36" s="111" t="s">
        <v>313</v>
      </c>
      <c r="C36" s="110"/>
      <c r="D36" s="133">
        <f>MIN('Data Entry'!A91:A94)</f>
        <v>61.33</v>
      </c>
      <c r="E36" s="109" t="s">
        <v>23</v>
      </c>
    </row>
    <row r="37" spans="1:9" x14ac:dyDescent="0.2">
      <c r="A37" s="103"/>
      <c r="B37" s="134"/>
      <c r="C37" s="103"/>
      <c r="D37" s="103"/>
      <c r="E37" s="103"/>
      <c r="F37" s="103"/>
      <c r="G37" s="103"/>
      <c r="H37" s="103"/>
      <c r="I37" s="103"/>
    </row>
    <row r="38" spans="1:9" x14ac:dyDescent="0.2">
      <c r="A38" s="103"/>
      <c r="B38" s="134"/>
      <c r="C38" s="103"/>
      <c r="D38" s="122"/>
      <c r="E38" s="122"/>
      <c r="F38" s="135" t="s">
        <v>7</v>
      </c>
      <c r="G38" s="103"/>
      <c r="H38" s="103"/>
    </row>
    <row r="39" spans="1:9" x14ac:dyDescent="0.2">
      <c r="A39" s="103"/>
      <c r="B39" s="134"/>
      <c r="C39" s="103"/>
      <c r="D39" s="135" t="s">
        <v>86</v>
      </c>
      <c r="E39" s="136" t="s">
        <v>73</v>
      </c>
      <c r="F39" s="137" t="s">
        <v>8</v>
      </c>
      <c r="G39" s="103"/>
      <c r="H39" s="103"/>
    </row>
    <row r="40" spans="1:9" ht="13.5" thickBot="1" x14ac:dyDescent="0.25">
      <c r="A40" s="138" t="s">
        <v>85</v>
      </c>
      <c r="B40" s="134"/>
      <c r="C40" s="103"/>
      <c r="D40" s="139" t="s">
        <v>74</v>
      </c>
      <c r="E40" s="140" t="s">
        <v>84</v>
      </c>
      <c r="F40" s="137" t="s">
        <v>122</v>
      </c>
      <c r="G40" s="103"/>
      <c r="H40" s="103"/>
    </row>
    <row r="41" spans="1:9" ht="15.95" customHeight="1" thickTop="1" x14ac:dyDescent="0.2">
      <c r="A41" s="141" t="s">
        <v>75</v>
      </c>
      <c r="B41" s="142" t="s">
        <v>405</v>
      </c>
      <c r="C41" s="143"/>
      <c r="D41" s="144">
        <f>'Data Entry'!A78</f>
        <v>0</v>
      </c>
      <c r="E41" s="144">
        <f>'Data Entry'!B78</f>
        <v>0</v>
      </c>
      <c r="F41" s="145">
        <f>D41-E41</f>
        <v>0</v>
      </c>
      <c r="G41" s="141" t="s">
        <v>75</v>
      </c>
    </row>
    <row r="42" spans="1:9" ht="15.95" hidden="1" customHeight="1" x14ac:dyDescent="0.2">
      <c r="A42" s="146" t="s">
        <v>76</v>
      </c>
      <c r="B42" s="147" t="s">
        <v>290</v>
      </c>
      <c r="C42" s="148"/>
      <c r="D42" s="149">
        <f>'Data Entry'!A79</f>
        <v>0</v>
      </c>
      <c r="E42" s="149">
        <f>'Data Entry'!B79</f>
        <v>0</v>
      </c>
      <c r="F42" s="150"/>
      <c r="G42" s="146" t="s">
        <v>76</v>
      </c>
    </row>
    <row r="43" spans="1:9" s="155" customFormat="1" ht="15.95" hidden="1" customHeight="1" x14ac:dyDescent="0.2">
      <c r="A43" s="151" t="s">
        <v>272</v>
      </c>
      <c r="B43" s="152" t="s">
        <v>273</v>
      </c>
      <c r="C43" s="153"/>
      <c r="D43" s="154">
        <f>'Data Entry'!A80</f>
        <v>0</v>
      </c>
      <c r="E43" s="154">
        <f>'Data Entry'!B80</f>
        <v>0</v>
      </c>
      <c r="F43" s="154"/>
      <c r="G43" s="151" t="s">
        <v>272</v>
      </c>
    </row>
    <row r="44" spans="1:9" s="155" customFormat="1" ht="15.95" hidden="1" customHeight="1" x14ac:dyDescent="0.2">
      <c r="A44" s="151" t="s">
        <v>110</v>
      </c>
      <c r="B44" s="152" t="s">
        <v>326</v>
      </c>
      <c r="C44" s="156"/>
      <c r="D44" s="154">
        <f>'Data Entry'!A81</f>
        <v>0</v>
      </c>
      <c r="E44" s="154">
        <f>'Data Entry'!B81</f>
        <v>0</v>
      </c>
      <c r="F44" s="154"/>
      <c r="G44" s="151" t="s">
        <v>110</v>
      </c>
    </row>
    <row r="45" spans="1:9" s="155" customFormat="1" ht="15.95" hidden="1" customHeight="1" x14ac:dyDescent="0.2">
      <c r="A45" s="151" t="s">
        <v>111</v>
      </c>
      <c r="B45" s="152" t="s">
        <v>327</v>
      </c>
      <c r="C45" s="156"/>
      <c r="D45" s="154">
        <f>'Data Entry'!A82</f>
        <v>0</v>
      </c>
      <c r="E45" s="154">
        <f>'Data Entry'!B82</f>
        <v>0</v>
      </c>
      <c r="F45" s="154"/>
      <c r="G45" s="151" t="s">
        <v>111</v>
      </c>
    </row>
    <row r="46" spans="1:9" s="155" customFormat="1" ht="15.95" hidden="1" customHeight="1" x14ac:dyDescent="0.2">
      <c r="A46" s="151" t="s">
        <v>112</v>
      </c>
      <c r="B46" s="152" t="s">
        <v>274</v>
      </c>
      <c r="C46" s="156"/>
      <c r="D46" s="154">
        <f>'Data Entry'!A83</f>
        <v>0</v>
      </c>
      <c r="E46" s="154">
        <f>'Data Entry'!B83</f>
        <v>0</v>
      </c>
      <c r="F46" s="154"/>
      <c r="G46" s="151" t="s">
        <v>112</v>
      </c>
    </row>
    <row r="47" spans="1:9" ht="15.95" customHeight="1" thickBot="1" x14ac:dyDescent="0.25">
      <c r="A47" s="146" t="s">
        <v>275</v>
      </c>
      <c r="B47" s="147" t="s">
        <v>328</v>
      </c>
      <c r="C47" s="157"/>
      <c r="D47" s="149">
        <f>'Data Entry'!A84</f>
        <v>0</v>
      </c>
      <c r="E47" s="149">
        <f>'Data Entry'!B84</f>
        <v>0</v>
      </c>
      <c r="F47" s="150">
        <f>D47-E47</f>
        <v>0</v>
      </c>
      <c r="G47" s="146" t="s">
        <v>275</v>
      </c>
    </row>
    <row r="48" spans="1:9" ht="15.95" hidden="1" customHeight="1" thickBot="1" x14ac:dyDescent="0.25">
      <c r="A48" s="151" t="s">
        <v>294</v>
      </c>
      <c r="B48" s="152" t="s">
        <v>293</v>
      </c>
      <c r="C48" s="153"/>
      <c r="D48" s="154">
        <f>'Data Entry'!A85</f>
        <v>0</v>
      </c>
      <c r="E48" s="154">
        <f>'Data Entry'!B85</f>
        <v>0</v>
      </c>
      <c r="F48" s="154"/>
      <c r="G48" s="151" t="s">
        <v>294</v>
      </c>
    </row>
    <row r="49" spans="1:13" ht="15.75" thickBot="1" x14ac:dyDescent="0.25">
      <c r="A49" s="99"/>
      <c r="B49" s="158"/>
      <c r="C49" s="159" t="s">
        <v>7</v>
      </c>
      <c r="D49" s="160">
        <f>SUM(D41:D48)</f>
        <v>0</v>
      </c>
      <c r="E49" s="150">
        <f>SUM(E41:E48)</f>
        <v>0</v>
      </c>
      <c r="F49" s="150">
        <f>SUM(F41:F47)</f>
        <v>0</v>
      </c>
      <c r="G49" s="161"/>
    </row>
    <row r="50" spans="1:13" ht="15.75" thickBot="1" x14ac:dyDescent="0.25">
      <c r="A50" s="99"/>
      <c r="B50" s="158"/>
      <c r="C50" s="162"/>
      <c r="D50" s="163"/>
      <c r="E50" s="163"/>
      <c r="F50" s="163"/>
      <c r="G50" s="163"/>
      <c r="H50" s="164"/>
      <c r="I50" s="161"/>
    </row>
    <row r="51" spans="1:13" ht="12.75" customHeight="1" x14ac:dyDescent="0.2">
      <c r="A51" s="103"/>
      <c r="B51" s="134"/>
      <c r="C51" s="165" t="s">
        <v>118</v>
      </c>
      <c r="D51" s="165" t="s">
        <v>89</v>
      </c>
      <c r="E51" s="440" t="s">
        <v>121</v>
      </c>
      <c r="F51" s="166" t="s">
        <v>121</v>
      </c>
      <c r="G51" s="161"/>
    </row>
    <row r="52" spans="1:13" x14ac:dyDescent="0.2">
      <c r="A52" s="103"/>
      <c r="B52" s="134"/>
      <c r="C52" s="167" t="s">
        <v>422</v>
      </c>
      <c r="D52" s="167" t="s">
        <v>120</v>
      </c>
      <c r="E52" s="441" t="s">
        <v>422</v>
      </c>
      <c r="F52" s="168" t="s">
        <v>89</v>
      </c>
      <c r="G52" s="161"/>
    </row>
    <row r="53" spans="1:13" ht="30" customHeight="1" thickBot="1" x14ac:dyDescent="0.25">
      <c r="A53" s="138" t="s">
        <v>420</v>
      </c>
      <c r="B53" s="134"/>
      <c r="C53" s="169" t="s">
        <v>84</v>
      </c>
      <c r="D53" s="167" t="s">
        <v>84</v>
      </c>
      <c r="E53" s="442" t="s">
        <v>84</v>
      </c>
      <c r="F53" s="170" t="s">
        <v>84</v>
      </c>
      <c r="G53" s="161"/>
    </row>
    <row r="54" spans="1:13" ht="17.25" thickTop="1" thickBot="1" x14ac:dyDescent="0.3">
      <c r="A54" s="171" t="s">
        <v>119</v>
      </c>
      <c r="B54" s="142" t="s">
        <v>423</v>
      </c>
      <c r="C54" s="144">
        <f>'7895ODFG-P'!F34</f>
        <v>0</v>
      </c>
      <c r="D54" s="469">
        <f>IF('Control Worksheet'!B13,E49,0)</f>
        <v>0</v>
      </c>
      <c r="E54" s="443">
        <f>SUM(C54+D54)</f>
        <v>0</v>
      </c>
      <c r="F54" s="172">
        <f>F49</f>
        <v>0</v>
      </c>
      <c r="G54" s="174" t="s">
        <v>119</v>
      </c>
    </row>
    <row r="55" spans="1:13" ht="17.25" thickTop="1" thickBot="1" x14ac:dyDescent="0.3">
      <c r="A55" s="171" t="s">
        <v>404</v>
      </c>
      <c r="B55" s="158"/>
      <c r="C55" s="514" t="s">
        <v>421</v>
      </c>
      <c r="D55" s="515"/>
      <c r="E55" s="516"/>
      <c r="F55" s="173">
        <f>IF('Control Worksheet'!B13,F49+E54,0)</f>
        <v>0</v>
      </c>
      <c r="G55" s="174" t="s">
        <v>404</v>
      </c>
    </row>
    <row r="56" spans="1:13" ht="38.25" customHeight="1" x14ac:dyDescent="0.2">
      <c r="A56" s="161"/>
      <c r="B56" s="158"/>
      <c r="C56" s="161"/>
      <c r="D56" s="161"/>
      <c r="E56" s="161"/>
      <c r="F56" s="161"/>
      <c r="G56" s="468" t="str">
        <f>IF(OR(NOT('Control Worksheet'!B13),'7895ODFG-P'!G37=F55),"OKAY","ERROR")</f>
        <v>OKAY</v>
      </c>
      <c r="H56" s="161"/>
    </row>
    <row r="57" spans="1:13" ht="13.5" thickBot="1" x14ac:dyDescent="0.25">
      <c r="A57" s="175" t="s">
        <v>77</v>
      </c>
      <c r="B57" s="118"/>
      <c r="C57" s="123"/>
      <c r="D57" s="123"/>
      <c r="E57" s="123"/>
      <c r="F57" s="161"/>
      <c r="G57" s="161"/>
      <c r="H57" s="161"/>
      <c r="I57" s="161"/>
      <c r="M57" s="212"/>
    </row>
    <row r="58" spans="1:13" ht="15" customHeight="1" thickTop="1" x14ac:dyDescent="0.2">
      <c r="A58" s="128" t="s">
        <v>24</v>
      </c>
      <c r="B58" s="111" t="s">
        <v>352</v>
      </c>
      <c r="C58" s="110"/>
      <c r="D58" s="130">
        <f>ROUND(D35*F49,0)</f>
        <v>0</v>
      </c>
      <c r="E58" s="128" t="s">
        <v>24</v>
      </c>
    </row>
    <row r="59" spans="1:13" ht="15" customHeight="1" x14ac:dyDescent="0.2">
      <c r="A59" s="128" t="s">
        <v>25</v>
      </c>
      <c r="B59" s="111" t="s">
        <v>26</v>
      </c>
      <c r="C59" s="110"/>
      <c r="D59" s="130">
        <f>H27</f>
        <v>0</v>
      </c>
      <c r="E59" s="128" t="s">
        <v>25</v>
      </c>
    </row>
    <row r="60" spans="1:13" ht="15" customHeight="1" x14ac:dyDescent="0.2">
      <c r="A60" s="128" t="s">
        <v>27</v>
      </c>
      <c r="B60" s="111" t="s">
        <v>78</v>
      </c>
      <c r="C60" s="110"/>
      <c r="D60" s="130">
        <f>F27</f>
        <v>0</v>
      </c>
      <c r="E60" s="128" t="s">
        <v>27</v>
      </c>
    </row>
    <row r="61" spans="1:13" ht="15" customHeight="1" x14ac:dyDescent="0.2">
      <c r="A61" s="128" t="s">
        <v>28</v>
      </c>
      <c r="B61" s="111" t="s">
        <v>29</v>
      </c>
      <c r="C61" s="110"/>
      <c r="D61" s="130">
        <f>INT(SUM(D58:D60))</f>
        <v>0</v>
      </c>
      <c r="E61" s="128" t="s">
        <v>28</v>
      </c>
    </row>
    <row r="62" spans="1:13" ht="15" customHeight="1" x14ac:dyDescent="0.2">
      <c r="A62" s="128" t="s">
        <v>30</v>
      </c>
      <c r="B62" s="111" t="s">
        <v>113</v>
      </c>
      <c r="C62" s="110"/>
      <c r="D62" s="133">
        <f>IF(OR(D61=0,F49=0),0,SUM(D61/F49))</f>
        <v>0</v>
      </c>
      <c r="E62" s="128" t="s">
        <v>30</v>
      </c>
    </row>
    <row r="63" spans="1:13" ht="15" customHeight="1" x14ac:dyDescent="0.2">
      <c r="A63" s="128" t="s">
        <v>31</v>
      </c>
      <c r="B63" s="111" t="s">
        <v>311</v>
      </c>
      <c r="C63" s="110"/>
      <c r="D63" s="130">
        <f>INT(D36*F49)</f>
        <v>0</v>
      </c>
      <c r="E63" s="128" t="s">
        <v>31</v>
      </c>
    </row>
    <row r="64" spans="1:13" ht="15" customHeight="1" x14ac:dyDescent="0.2">
      <c r="A64" s="128" t="s">
        <v>32</v>
      </c>
      <c r="B64" s="111" t="s">
        <v>79</v>
      </c>
      <c r="C64" s="110"/>
      <c r="D64" s="130">
        <f>IF(D63&lt;D61,D63,D61)</f>
        <v>0</v>
      </c>
      <c r="E64" s="128" t="s">
        <v>32</v>
      </c>
    </row>
    <row r="65" spans="1:9" ht="15" customHeight="1" x14ac:dyDescent="0.2">
      <c r="A65" s="128" t="s">
        <v>114</v>
      </c>
      <c r="B65" s="111" t="s">
        <v>413</v>
      </c>
      <c r="C65" s="110"/>
      <c r="D65" s="130">
        <f>IF(F41=F49,D64,INT(F41*MIN(D62,D36)))</f>
        <v>0</v>
      </c>
      <c r="E65" s="128" t="s">
        <v>114</v>
      </c>
    </row>
    <row r="66" spans="1:9" ht="15" hidden="1" customHeight="1" x14ac:dyDescent="0.2">
      <c r="A66" s="180" t="s">
        <v>115</v>
      </c>
      <c r="B66" s="181" t="s">
        <v>331</v>
      </c>
      <c r="C66" s="129"/>
      <c r="D66" s="328">
        <f>IF(F44=(F49-F41),D64-D65,INT(F44*MIN(D62,D36)))</f>
        <v>0</v>
      </c>
      <c r="E66" s="180" t="s">
        <v>115</v>
      </c>
    </row>
    <row r="67" spans="1:9" ht="15" hidden="1" customHeight="1" x14ac:dyDescent="0.2">
      <c r="A67" s="128"/>
      <c r="B67" s="111"/>
      <c r="C67" s="110"/>
      <c r="D67" s="176"/>
      <c r="E67" s="128"/>
    </row>
    <row r="68" spans="1:9" ht="15" hidden="1" customHeight="1" x14ac:dyDescent="0.2">
      <c r="A68" s="177" t="s">
        <v>116</v>
      </c>
      <c r="B68" s="114" t="s">
        <v>312</v>
      </c>
      <c r="C68" s="115"/>
      <c r="D68" s="130">
        <f>IF(F42=(F49-SUM(F41,F44)),D64-SUM(D65:D67),INT(F42*MIN(D62,D36)))</f>
        <v>0</v>
      </c>
      <c r="E68" s="177" t="s">
        <v>116</v>
      </c>
    </row>
    <row r="69" spans="1:9" ht="15" hidden="1" customHeight="1" x14ac:dyDescent="0.2">
      <c r="A69" s="151" t="s">
        <v>117</v>
      </c>
      <c r="B69" s="152" t="s">
        <v>330</v>
      </c>
      <c r="C69" s="420"/>
      <c r="D69" s="328">
        <f>IF(F45=(F49-SUM(F41:F42,F44)),D64-SUM(D65:D68),F45*MIN(D62,D36))</f>
        <v>0</v>
      </c>
      <c r="E69" s="151" t="s">
        <v>117</v>
      </c>
    </row>
    <row r="70" spans="1:9" ht="15" hidden="1" customHeight="1" x14ac:dyDescent="0.2">
      <c r="A70" s="180" t="s">
        <v>33</v>
      </c>
      <c r="B70" s="181"/>
      <c r="C70" s="129"/>
      <c r="D70" s="154"/>
      <c r="E70" s="180" t="s">
        <v>33</v>
      </c>
    </row>
    <row r="71" spans="1:9" ht="15" hidden="1" customHeight="1" x14ac:dyDescent="0.2">
      <c r="A71" s="182" t="s">
        <v>276</v>
      </c>
      <c r="B71" s="183" t="s">
        <v>288</v>
      </c>
      <c r="C71" s="184"/>
      <c r="D71" s="328">
        <f>IF(F43=(F49-SUM(F41:F42,F44:F45)),D64-SUM(D65:D70),INT(F43*MIN(D62,D36)))</f>
        <v>0</v>
      </c>
      <c r="E71" s="182" t="s">
        <v>276</v>
      </c>
    </row>
    <row r="72" spans="1:9" ht="15" hidden="1" customHeight="1" x14ac:dyDescent="0.2">
      <c r="A72" s="151" t="s">
        <v>277</v>
      </c>
      <c r="B72" s="185" t="s">
        <v>289</v>
      </c>
      <c r="C72" s="179"/>
      <c r="D72" s="328">
        <f>IF(F46=(F49-SUM(F41:F45)),D64-SUM(D65:D71),INT(F46*MIN(D62,D36)))</f>
        <v>0</v>
      </c>
      <c r="E72" s="151" t="s">
        <v>277</v>
      </c>
    </row>
    <row r="73" spans="1:9" ht="15" hidden="1" customHeight="1" x14ac:dyDescent="0.2">
      <c r="A73" s="186"/>
      <c r="B73" s="147"/>
      <c r="C73" s="157"/>
      <c r="D73" s="154"/>
      <c r="E73" s="146"/>
    </row>
    <row r="74" spans="1:9" ht="15" customHeight="1" thickBot="1" x14ac:dyDescent="0.25">
      <c r="A74" s="186" t="s">
        <v>34</v>
      </c>
      <c r="B74" s="187" t="s">
        <v>414</v>
      </c>
      <c r="C74" s="148"/>
      <c r="D74" s="456">
        <f>IF(F47=(F49-SUM(F41:F46)),D64-SUM(D65:D73),INT(F47*MIN(D62,D36)))</f>
        <v>0</v>
      </c>
      <c r="E74" s="146" t="s">
        <v>34</v>
      </c>
    </row>
    <row r="75" spans="1:9" ht="15" hidden="1" customHeight="1" x14ac:dyDescent="0.2">
      <c r="A75" s="186" t="s">
        <v>287</v>
      </c>
      <c r="B75" s="425" t="s">
        <v>296</v>
      </c>
      <c r="C75" s="426"/>
      <c r="D75" s="328">
        <f>D64-SUM(D65:D74)</f>
        <v>0</v>
      </c>
      <c r="E75" s="151" t="s">
        <v>287</v>
      </c>
    </row>
    <row r="76" spans="1:9" ht="15" customHeight="1" thickTop="1" thickBot="1" x14ac:dyDescent="0.25">
      <c r="A76" s="188" t="s">
        <v>295</v>
      </c>
      <c r="B76" s="512" t="s">
        <v>401</v>
      </c>
      <c r="C76" s="513"/>
      <c r="D76" s="190">
        <f>D65+D66+D68+D69+D74+D75</f>
        <v>0</v>
      </c>
      <c r="E76" s="188" t="s">
        <v>295</v>
      </c>
    </row>
    <row r="77" spans="1:9" ht="15.75" thickTop="1" x14ac:dyDescent="0.2">
      <c r="A77" s="103"/>
      <c r="B77" s="103"/>
      <c r="C77" s="103"/>
      <c r="D77" s="103"/>
      <c r="E77" s="103"/>
      <c r="F77" s="191"/>
      <c r="G77" s="191"/>
      <c r="H77" s="191"/>
      <c r="I77" s="103"/>
    </row>
    <row r="78" spans="1:9" ht="15.75" thickBot="1" x14ac:dyDescent="0.25">
      <c r="A78" s="175" t="s">
        <v>80</v>
      </c>
      <c r="B78" s="123"/>
      <c r="C78" s="123"/>
      <c r="D78" s="123"/>
      <c r="E78" s="214"/>
    </row>
    <row r="79" spans="1:9" ht="20.100000000000001" customHeight="1" thickTop="1" x14ac:dyDescent="0.2">
      <c r="A79" s="177" t="s">
        <v>35</v>
      </c>
      <c r="B79" s="158" t="s">
        <v>206</v>
      </c>
      <c r="C79" s="104"/>
      <c r="D79" s="419">
        <f>'Data Entry'!A88</f>
        <v>0</v>
      </c>
      <c r="E79" s="105" t="s">
        <v>35</v>
      </c>
    </row>
    <row r="80" spans="1:9" ht="20.100000000000001" customHeight="1" x14ac:dyDescent="0.2">
      <c r="A80" s="146" t="s">
        <v>386</v>
      </c>
      <c r="B80" s="147" t="s">
        <v>394</v>
      </c>
      <c r="C80" s="178"/>
      <c r="D80" s="149">
        <f>'Data Entry'!A89</f>
        <v>0</v>
      </c>
      <c r="E80" s="421" t="s">
        <v>386</v>
      </c>
    </row>
    <row r="81" spans="1:9" ht="15" x14ac:dyDescent="0.2">
      <c r="A81" s="103"/>
      <c r="B81" s="134"/>
      <c r="C81" s="103"/>
      <c r="D81" s="191"/>
      <c r="E81" s="103"/>
    </row>
    <row r="82" spans="1:9" ht="13.5" thickBot="1" x14ac:dyDescent="0.25">
      <c r="A82" s="175" t="s">
        <v>83</v>
      </c>
      <c r="B82" s="118"/>
      <c r="C82" s="123"/>
      <c r="D82" s="123"/>
      <c r="E82" s="123"/>
    </row>
    <row r="83" spans="1:9" ht="17.25" customHeight="1" thickTop="1" x14ac:dyDescent="0.2">
      <c r="A83" s="128">
        <v>16</v>
      </c>
      <c r="B83" s="111" t="s">
        <v>409</v>
      </c>
      <c r="C83" s="110"/>
      <c r="D83" s="130">
        <f>D76-D79-D80</f>
        <v>0</v>
      </c>
      <c r="E83" s="109">
        <v>16</v>
      </c>
    </row>
    <row r="84" spans="1:9" hidden="1" x14ac:dyDescent="0.2">
      <c r="A84" s="128">
        <v>17</v>
      </c>
      <c r="B84" s="111" t="s">
        <v>36</v>
      </c>
      <c r="C84" s="110"/>
      <c r="D84" s="129"/>
      <c r="E84" s="127"/>
      <c r="F84" s="127"/>
      <c r="G84" s="127"/>
      <c r="H84" s="127"/>
      <c r="I84" s="109">
        <v>18</v>
      </c>
    </row>
    <row r="85" spans="1:9" ht="13.5" hidden="1" thickBot="1" x14ac:dyDescent="0.25">
      <c r="A85" s="188">
        <v>18</v>
      </c>
      <c r="B85" s="118" t="s">
        <v>37</v>
      </c>
      <c r="C85" s="119"/>
      <c r="D85" s="189"/>
      <c r="E85" s="192"/>
      <c r="F85" s="192"/>
      <c r="G85" s="192"/>
      <c r="H85" s="192"/>
      <c r="I85" s="193">
        <v>19</v>
      </c>
    </row>
    <row r="86" spans="1:9" x14ac:dyDescent="0.2">
      <c r="A86" s="103"/>
      <c r="B86" s="103"/>
      <c r="C86" s="103"/>
      <c r="D86" s="103"/>
      <c r="E86" s="103"/>
      <c r="F86" s="103"/>
      <c r="G86" s="103"/>
      <c r="H86" s="103"/>
      <c r="I86" s="103"/>
    </row>
    <row r="87" spans="1:9" x14ac:dyDescent="0.2">
      <c r="A87" s="194"/>
      <c r="B87" s="103"/>
      <c r="C87" s="103"/>
      <c r="E87" s="103"/>
      <c r="F87" s="103"/>
      <c r="G87" s="103"/>
      <c r="H87" s="103"/>
      <c r="I87" s="103"/>
    </row>
    <row r="88" spans="1:9" x14ac:dyDescent="0.2">
      <c r="A88" s="103"/>
      <c r="B88" s="103"/>
      <c r="C88" s="103"/>
      <c r="D88" s="103"/>
      <c r="E88" s="103"/>
      <c r="F88" s="103"/>
      <c r="G88" s="103"/>
      <c r="H88" s="103"/>
      <c r="I88" s="103"/>
    </row>
    <row r="89" spans="1:9" x14ac:dyDescent="0.2">
      <c r="A89" s="103"/>
      <c r="B89" s="103"/>
      <c r="C89" s="103"/>
      <c r="D89" s="103"/>
      <c r="E89" s="103"/>
      <c r="F89" s="103"/>
      <c r="G89" s="103"/>
      <c r="H89" s="103"/>
      <c r="I89" s="103"/>
    </row>
    <row r="90" spans="1:9" x14ac:dyDescent="0.2">
      <c r="A90" s="103"/>
      <c r="B90" s="103"/>
      <c r="C90" s="103"/>
      <c r="D90" s="103"/>
      <c r="E90" s="103"/>
      <c r="F90" s="103"/>
      <c r="G90" s="103"/>
      <c r="H90" s="103"/>
      <c r="I90" s="103"/>
    </row>
    <row r="91" spans="1:9" x14ac:dyDescent="0.2">
      <c r="A91" s="103"/>
      <c r="B91" s="103"/>
      <c r="C91" s="103"/>
      <c r="D91" s="103"/>
      <c r="E91" s="103"/>
      <c r="F91" s="103"/>
      <c r="G91" s="103"/>
      <c r="H91" s="103"/>
      <c r="I91" s="103"/>
    </row>
    <row r="759" spans="9:12" x14ac:dyDescent="0.2">
      <c r="I759" s="195" t="s">
        <v>38</v>
      </c>
      <c r="J759" s="81" t="s">
        <v>39</v>
      </c>
      <c r="L759" s="196"/>
    </row>
    <row r="760" spans="9:12" x14ac:dyDescent="0.2">
      <c r="I760" s="195" t="s">
        <v>40</v>
      </c>
      <c r="J760" s="196">
        <f ca="1">NOW()</f>
        <v>44145.839588078707</v>
      </c>
      <c r="L760" s="196"/>
    </row>
    <row r="761" spans="9:12" x14ac:dyDescent="0.2">
      <c r="I761" s="195" t="s">
        <v>41</v>
      </c>
      <c r="J761" s="196">
        <v>34479.419270833299</v>
      </c>
    </row>
    <row r="763" spans="9:12" x14ac:dyDescent="0.2">
      <c r="J763" s="81" t="s">
        <v>42</v>
      </c>
    </row>
    <row r="767" spans="9:12" x14ac:dyDescent="0.2">
      <c r="J767" s="81" t="s">
        <v>43</v>
      </c>
      <c r="K767" s="81" t="s">
        <v>44</v>
      </c>
    </row>
    <row r="768" spans="9:12" x14ac:dyDescent="0.2">
      <c r="K768" s="81" t="s">
        <v>45</v>
      </c>
    </row>
    <row r="769" spans="10:11" x14ac:dyDescent="0.2">
      <c r="J769" s="81" t="s">
        <v>46</v>
      </c>
      <c r="K769" s="81" t="s">
        <v>47</v>
      </c>
    </row>
    <row r="770" spans="10:11" x14ac:dyDescent="0.2">
      <c r="K770" s="81" t="s">
        <v>48</v>
      </c>
    </row>
    <row r="771" spans="10:11" x14ac:dyDescent="0.2">
      <c r="J771" s="81" t="s">
        <v>49</v>
      </c>
      <c r="K771" s="81" t="s">
        <v>50</v>
      </c>
    </row>
    <row r="772" spans="10:11" x14ac:dyDescent="0.2">
      <c r="J772" s="81" t="s">
        <v>51</v>
      </c>
    </row>
    <row r="773" spans="10:11" x14ac:dyDescent="0.2">
      <c r="J773" s="81" t="s">
        <v>52</v>
      </c>
    </row>
    <row r="774" spans="10:11" x14ac:dyDescent="0.2">
      <c r="J774" s="81" t="s">
        <v>53</v>
      </c>
    </row>
    <row r="775" spans="10:11" x14ac:dyDescent="0.2">
      <c r="J775" s="81" t="s">
        <v>54</v>
      </c>
    </row>
    <row r="776" spans="10:11" x14ac:dyDescent="0.2">
      <c r="J776" s="81" t="s">
        <v>55</v>
      </c>
    </row>
    <row r="777" spans="10:11" x14ac:dyDescent="0.2">
      <c r="J777" s="81" t="s">
        <v>56</v>
      </c>
      <c r="K777" s="81" t="str">
        <f>"["&amp;REPT("-",TRUNC(K776/2))&amp;" "&amp;K772&amp;" "&amp;REPT("-",TRUNC(K776/2))&amp;"]"</f>
        <v>[  ]</v>
      </c>
    </row>
    <row r="782" spans="10:11" x14ac:dyDescent="0.2">
      <c r="J782" s="81" t="s">
        <v>57</v>
      </c>
    </row>
    <row r="783" spans="10:11" x14ac:dyDescent="0.2">
      <c r="J783" s="81" t="s">
        <v>58</v>
      </c>
    </row>
    <row r="786" spans="10:11" x14ac:dyDescent="0.2">
      <c r="J786" s="81" t="s">
        <v>59</v>
      </c>
      <c r="K786" s="81" t="s">
        <v>60</v>
      </c>
    </row>
    <row r="787" spans="10:11" x14ac:dyDescent="0.2">
      <c r="K787" s="81" t="s">
        <v>61</v>
      </c>
    </row>
    <row r="788" spans="10:11" x14ac:dyDescent="0.2">
      <c r="J788" s="81" t="s">
        <v>62</v>
      </c>
      <c r="K788" s="81" t="s">
        <v>63</v>
      </c>
    </row>
    <row r="789" spans="10:11" x14ac:dyDescent="0.2">
      <c r="K789" s="81" t="s">
        <v>64</v>
      </c>
    </row>
    <row r="790" spans="10:11" x14ac:dyDescent="0.2">
      <c r="J790" s="81" t="s">
        <v>65</v>
      </c>
      <c r="K790" s="81" t="s">
        <v>66</v>
      </c>
    </row>
    <row r="791" spans="10:11" x14ac:dyDescent="0.2">
      <c r="J791" s="81" t="s">
        <v>67</v>
      </c>
    </row>
    <row r="792" spans="10:11" x14ac:dyDescent="0.2">
      <c r="J792" s="81" t="s">
        <v>68</v>
      </c>
    </row>
    <row r="793" spans="10:11" x14ac:dyDescent="0.2">
      <c r="J793" s="81" t="s">
        <v>69</v>
      </c>
    </row>
    <row r="794" spans="10:11" x14ac:dyDescent="0.2">
      <c r="J794" s="81" t="s">
        <v>70</v>
      </c>
    </row>
    <row r="795" spans="10:11" x14ac:dyDescent="0.2">
      <c r="J795" s="81" t="s">
        <v>71</v>
      </c>
    </row>
    <row r="796" spans="10:11" x14ac:dyDescent="0.2">
      <c r="J796" s="81" t="s">
        <v>72</v>
      </c>
      <c r="K796" s="81" t="str">
        <f>REPT(" ",\I8)&amp;\I4</f>
        <v/>
      </c>
    </row>
  </sheetData>
  <sheetProtection password="CD5A" sheet="1"/>
  <mergeCells count="5">
    <mergeCell ref="B76:C76"/>
    <mergeCell ref="C55:E55"/>
    <mergeCell ref="G24:G26"/>
    <mergeCell ref="F24:F26"/>
    <mergeCell ref="E24:E26"/>
  </mergeCells>
  <phoneticPr fontId="0" type="noConversion"/>
  <conditionalFormatting sqref="F55 E16:G18 E27:G27 D51:D54">
    <cfRule type="expression" dxfId="14" priority="1" stopIfTrue="1">
      <formula>$D$17="DMC"</formula>
    </cfRule>
  </conditionalFormatting>
  <printOptions horizontalCentered="1"/>
  <pageMargins left="0.25" right="0.25" top="0.4" bottom="0.3" header="0.25" footer="0.25"/>
  <pageSetup scale="66" orientation="portrait" r:id="rId1"/>
  <headerFooter alignWithMargins="0">
    <oddHeader>&amp;LState of California - Health and Human Services Agency &amp;RDepartment of Health Care Services</oddHeader>
    <oddFooter>&amp;LDHCS MC      (02/13)
&amp;F - &amp;A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09"/>
  <sheetViews>
    <sheetView showGridLines="0" zoomScale="115" zoomScaleNormal="100" zoomScaleSheetLayoutView="100" workbookViewId="0">
      <selection activeCell="F8" sqref="F8"/>
    </sheetView>
  </sheetViews>
  <sheetFormatPr defaultRowHeight="12.75" x14ac:dyDescent="0.2"/>
  <cols>
    <col min="1" max="1" width="22.28515625" customWidth="1"/>
    <col min="2" max="2" width="29.140625" customWidth="1"/>
    <col min="3" max="7" width="14.7109375" customWidth="1"/>
  </cols>
  <sheetData>
    <row r="1" spans="1:7" x14ac:dyDescent="0.2">
      <c r="A1" s="70" t="s">
        <v>410</v>
      </c>
      <c r="B1" s="70"/>
      <c r="C1" s="70"/>
      <c r="D1" s="70"/>
      <c r="E1" s="70"/>
      <c r="F1" s="70"/>
      <c r="G1" s="70"/>
    </row>
    <row r="2" spans="1:7" x14ac:dyDescent="0.2">
      <c r="A2" s="70" t="s">
        <v>82</v>
      </c>
      <c r="B2" s="70"/>
      <c r="C2" s="70"/>
      <c r="D2" s="70"/>
      <c r="E2" s="70"/>
      <c r="F2" s="70"/>
      <c r="G2" s="70"/>
    </row>
    <row r="3" spans="1:7" x14ac:dyDescent="0.2">
      <c r="A3" s="71" t="s">
        <v>291</v>
      </c>
      <c r="B3" s="70"/>
      <c r="C3" s="71"/>
      <c r="D3" s="70"/>
      <c r="E3" s="70"/>
      <c r="F3" s="70"/>
      <c r="G3" s="70"/>
    </row>
    <row r="4" spans="1:7" x14ac:dyDescent="0.2">
      <c r="A4" s="72" t="str">
        <f>RIGHT('Data Entry'!A1,10)</f>
        <v>FY 2012-13</v>
      </c>
      <c r="B4" s="70"/>
      <c r="C4" s="71"/>
      <c r="D4" s="70"/>
      <c r="E4" s="70"/>
      <c r="F4" s="70"/>
      <c r="G4" s="70"/>
    </row>
    <row r="5" spans="1:7" x14ac:dyDescent="0.2">
      <c r="A5" s="316" t="str">
        <f>'Data Entry'!$A$2</f>
        <v>ODF Group Counseling - Perinatal</v>
      </c>
      <c r="B5" s="75"/>
      <c r="C5" s="70"/>
      <c r="D5" s="70"/>
      <c r="E5" s="70"/>
      <c r="F5" s="70"/>
      <c r="G5" s="70"/>
    </row>
    <row r="7" spans="1:7" ht="15" x14ac:dyDescent="0.2">
      <c r="A7" t="s">
        <v>87</v>
      </c>
      <c r="B7" s="525" t="str">
        <f>IF(ISBLANK('Data Entry'!B4),"",('Data Entry'!B4))</f>
        <v/>
      </c>
      <c r="C7" s="526"/>
      <c r="F7" s="12"/>
      <c r="G7" s="12"/>
    </row>
    <row r="8" spans="1:7" ht="15" x14ac:dyDescent="0.2">
      <c r="A8" t="s">
        <v>123</v>
      </c>
      <c r="B8" s="56" t="str">
        <f>IF(ISBLANK('Data Entry'!B5),"",('Data Entry'!B5))</f>
        <v/>
      </c>
      <c r="C8" s="58"/>
      <c r="D8" t="s">
        <v>125</v>
      </c>
      <c r="F8" s="56" t="str">
        <f>IF(ISBLANK('Data Entry'!B7),"",('Data Entry'!B7))</f>
        <v/>
      </c>
      <c r="G8" s="12"/>
    </row>
    <row r="9" spans="1:7" ht="15" x14ac:dyDescent="0.2">
      <c r="A9" t="s">
        <v>124</v>
      </c>
      <c r="B9" s="56" t="str">
        <f>IF(ISBLANK('Data Entry'!B6),"",('Data Entry'!B6))</f>
        <v/>
      </c>
      <c r="C9" s="57"/>
      <c r="D9" t="s">
        <v>380</v>
      </c>
      <c r="F9" s="56" t="str">
        <f>IF(ISBLANK('Data Entry'!B8),"",('Data Entry'!B8))</f>
        <v/>
      </c>
      <c r="G9" s="12"/>
    </row>
    <row r="10" spans="1:7" x14ac:dyDescent="0.2">
      <c r="A10" s="12"/>
      <c r="B10" s="53"/>
      <c r="C10" s="52"/>
      <c r="D10" s="12"/>
      <c r="G10" s="12"/>
    </row>
    <row r="11" spans="1:7" x14ac:dyDescent="0.2">
      <c r="A11" s="317" t="s">
        <v>292</v>
      </c>
      <c r="B11" s="75"/>
      <c r="C11" s="75"/>
      <c r="D11" s="75"/>
      <c r="E11" s="75"/>
      <c r="F11" s="75"/>
      <c r="G11" s="75"/>
    </row>
    <row r="12" spans="1:7" ht="13.5" thickBot="1" x14ac:dyDescent="0.25">
      <c r="A12" s="4"/>
      <c r="B12" s="4"/>
      <c r="C12" s="24" t="s">
        <v>126</v>
      </c>
      <c r="D12" s="24" t="s">
        <v>127</v>
      </c>
      <c r="E12" s="24" t="s">
        <v>128</v>
      </c>
      <c r="F12" s="24" t="s">
        <v>129</v>
      </c>
      <c r="G12" s="24" t="s">
        <v>130</v>
      </c>
    </row>
    <row r="13" spans="1:7" ht="13.5" thickTop="1" x14ac:dyDescent="0.2">
      <c r="A13" s="41"/>
      <c r="B13" s="5"/>
      <c r="C13" s="8" t="s">
        <v>7</v>
      </c>
      <c r="D13" s="8" t="s">
        <v>131</v>
      </c>
      <c r="E13" s="22"/>
      <c r="F13" s="8" t="s">
        <v>417</v>
      </c>
      <c r="G13" s="35" t="s">
        <v>132</v>
      </c>
    </row>
    <row r="14" spans="1:7" x14ac:dyDescent="0.2">
      <c r="A14" s="42" t="s">
        <v>133</v>
      </c>
      <c r="B14" s="6"/>
      <c r="C14" s="9" t="s">
        <v>134</v>
      </c>
      <c r="D14" s="9" t="s">
        <v>135</v>
      </c>
      <c r="E14" s="9" t="s">
        <v>136</v>
      </c>
      <c r="F14" s="9" t="s">
        <v>137</v>
      </c>
      <c r="G14" s="36" t="s">
        <v>417</v>
      </c>
    </row>
    <row r="15" spans="1:7" ht="15.95" customHeight="1" x14ac:dyDescent="0.2">
      <c r="A15" s="42" t="s">
        <v>138</v>
      </c>
      <c r="B15" s="23"/>
      <c r="C15" s="28">
        <f t="shared" ref="C15:C22" si="0">D15+E15+F15</f>
        <v>0</v>
      </c>
      <c r="D15" s="28">
        <f>D50</f>
        <v>0</v>
      </c>
      <c r="E15" s="28">
        <f>E50</f>
        <v>0</v>
      </c>
      <c r="F15" s="28">
        <f>F50</f>
        <v>0</v>
      </c>
      <c r="G15" s="39">
        <f t="shared" ref="G15:G22" si="1">E15+F15</f>
        <v>0</v>
      </c>
    </row>
    <row r="16" spans="1:7" ht="15.95" customHeight="1" x14ac:dyDescent="0.2">
      <c r="A16" s="42" t="s">
        <v>12</v>
      </c>
      <c r="B16" s="6"/>
      <c r="C16" s="28">
        <f t="shared" si="0"/>
        <v>0</v>
      </c>
      <c r="D16" s="28">
        <f>D57</f>
        <v>0</v>
      </c>
      <c r="E16" s="28">
        <f>E57</f>
        <v>0</v>
      </c>
      <c r="F16" s="28">
        <f>F57</f>
        <v>0</v>
      </c>
      <c r="G16" s="39">
        <f t="shared" si="1"/>
        <v>0</v>
      </c>
    </row>
    <row r="17" spans="1:7" ht="15.95" customHeight="1" x14ac:dyDescent="0.2">
      <c r="A17" s="42" t="s">
        <v>139</v>
      </c>
      <c r="B17" s="6"/>
      <c r="C17" s="28">
        <f t="shared" si="0"/>
        <v>0</v>
      </c>
      <c r="D17" s="28">
        <f>D67</f>
        <v>0</v>
      </c>
      <c r="E17" s="28">
        <f>E67</f>
        <v>0</v>
      </c>
      <c r="F17" s="28">
        <f>F67</f>
        <v>0</v>
      </c>
      <c r="G17" s="39">
        <f t="shared" si="1"/>
        <v>0</v>
      </c>
    </row>
    <row r="18" spans="1:7" ht="15.95" customHeight="1" x14ac:dyDescent="0.2">
      <c r="A18" s="42" t="s">
        <v>140</v>
      </c>
      <c r="B18" s="6"/>
      <c r="C18" s="28">
        <f t="shared" si="0"/>
        <v>0</v>
      </c>
      <c r="D18" s="28">
        <f t="shared" ref="D18:F19" si="2">D84</f>
        <v>0</v>
      </c>
      <c r="E18" s="28">
        <f t="shared" si="2"/>
        <v>0</v>
      </c>
      <c r="F18" s="28">
        <f t="shared" si="2"/>
        <v>0</v>
      </c>
      <c r="G18" s="39">
        <f t="shared" si="1"/>
        <v>0</v>
      </c>
    </row>
    <row r="19" spans="1:7" ht="15.95" customHeight="1" x14ac:dyDescent="0.2">
      <c r="A19" s="42" t="s">
        <v>15</v>
      </c>
      <c r="B19" s="6"/>
      <c r="C19" s="28">
        <f t="shared" si="0"/>
        <v>0</v>
      </c>
      <c r="D19" s="28">
        <f t="shared" si="2"/>
        <v>0</v>
      </c>
      <c r="E19" s="28">
        <f t="shared" si="2"/>
        <v>0</v>
      </c>
      <c r="F19" s="28">
        <f t="shared" si="2"/>
        <v>0</v>
      </c>
      <c r="G19" s="39">
        <f t="shared" si="1"/>
        <v>0</v>
      </c>
    </row>
    <row r="20" spans="1:7" ht="15.95" customHeight="1" x14ac:dyDescent="0.2">
      <c r="A20" s="42" t="s">
        <v>16</v>
      </c>
      <c r="B20" s="6"/>
      <c r="C20" s="28">
        <f t="shared" si="0"/>
        <v>0</v>
      </c>
      <c r="D20" s="28">
        <f>D92</f>
        <v>0</v>
      </c>
      <c r="E20" s="28">
        <f>E92</f>
        <v>0</v>
      </c>
      <c r="F20" s="28">
        <f>F92</f>
        <v>0</v>
      </c>
      <c r="G20" s="39">
        <f t="shared" si="1"/>
        <v>0</v>
      </c>
    </row>
    <row r="21" spans="1:7" ht="15.95" customHeight="1" x14ac:dyDescent="0.2">
      <c r="A21" s="42" t="s">
        <v>17</v>
      </c>
      <c r="B21" s="6"/>
      <c r="C21" s="28">
        <f t="shared" si="0"/>
        <v>0</v>
      </c>
      <c r="D21" s="28">
        <f>D94</f>
        <v>0</v>
      </c>
      <c r="E21" s="28">
        <f>E94</f>
        <v>0</v>
      </c>
      <c r="F21" s="28">
        <f>F94</f>
        <v>0</v>
      </c>
      <c r="G21" s="39">
        <f t="shared" si="1"/>
        <v>0</v>
      </c>
    </row>
    <row r="22" spans="1:7" ht="15.95" customHeight="1" x14ac:dyDescent="0.2">
      <c r="A22" s="42" t="s">
        <v>141</v>
      </c>
      <c r="B22" s="6"/>
      <c r="C22" s="28">
        <f t="shared" si="0"/>
        <v>0</v>
      </c>
      <c r="D22" s="14"/>
      <c r="E22" s="28">
        <f>E96</f>
        <v>0</v>
      </c>
      <c r="F22" s="14"/>
      <c r="G22" s="39">
        <f t="shared" si="1"/>
        <v>0</v>
      </c>
    </row>
    <row r="23" spans="1:7" ht="15.95" customHeight="1" x14ac:dyDescent="0.2">
      <c r="A23" s="43" t="s">
        <v>142</v>
      </c>
      <c r="B23" s="27"/>
      <c r="C23" s="297">
        <f>SUM(C15:C22)</f>
        <v>0</v>
      </c>
      <c r="D23" s="297">
        <f>SUM(D15:D22)</f>
        <v>0</v>
      </c>
      <c r="E23" s="297">
        <f>SUM(E15:E22)</f>
        <v>0</v>
      </c>
      <c r="F23" s="297">
        <f>SUM(F15:F22)</f>
        <v>0</v>
      </c>
      <c r="G23" s="305">
        <f>SUM(G15:G22)</f>
        <v>0</v>
      </c>
    </row>
    <row r="24" spans="1:7" ht="15.95" customHeight="1" x14ac:dyDescent="0.2">
      <c r="A24" s="42" t="s">
        <v>143</v>
      </c>
      <c r="B24" s="6"/>
      <c r="C24" s="29"/>
      <c r="D24" s="29"/>
      <c r="E24" s="29"/>
      <c r="F24" s="29"/>
      <c r="G24" s="37"/>
    </row>
    <row r="25" spans="1:7" ht="15.95" customHeight="1" x14ac:dyDescent="0.2">
      <c r="A25" s="42" t="s">
        <v>144</v>
      </c>
      <c r="B25" s="6"/>
      <c r="C25" s="286">
        <f>D25+E25+F25</f>
        <v>0</v>
      </c>
      <c r="D25" s="288">
        <f>('Data Entry'!A66)</f>
        <v>0</v>
      </c>
      <c r="E25" s="288">
        <f>('Data Entry'!B66)</f>
        <v>0</v>
      </c>
      <c r="F25" s="288">
        <f>('Data Entry'!C66)</f>
        <v>0</v>
      </c>
      <c r="G25" s="287">
        <f>E25+F25</f>
        <v>0</v>
      </c>
    </row>
    <row r="26" spans="1:7" ht="15.95" customHeight="1" x14ac:dyDescent="0.2">
      <c r="A26" s="42" t="s">
        <v>145</v>
      </c>
      <c r="B26" s="6"/>
      <c r="C26" s="286">
        <f>D26+E26+F26</f>
        <v>0</v>
      </c>
      <c r="D26" s="288">
        <f>('Data Entry'!A67)</f>
        <v>0</v>
      </c>
      <c r="E26" s="288">
        <f>('Data Entry'!B67)</f>
        <v>0</v>
      </c>
      <c r="F26" s="288">
        <f>('Data Entry'!C67)</f>
        <v>0</v>
      </c>
      <c r="G26" s="287">
        <f>E26+F26</f>
        <v>0</v>
      </c>
    </row>
    <row r="27" spans="1:7" ht="15.95" customHeight="1" x14ac:dyDescent="0.2">
      <c r="A27" s="42" t="s">
        <v>271</v>
      </c>
      <c r="B27" s="6"/>
      <c r="C27" s="286">
        <f>SUM(C23-C25-C26)</f>
        <v>0</v>
      </c>
      <c r="D27" s="286">
        <f>SUM(D23-D25-D26)</f>
        <v>0</v>
      </c>
      <c r="E27" s="286">
        <f>SUM(E23-E25-E26)</f>
        <v>0</v>
      </c>
      <c r="F27" s="286">
        <f>SUM(F23-F25-F26)</f>
        <v>0</v>
      </c>
      <c r="G27" s="286">
        <f>SUM(G23-G25-G26)</f>
        <v>0</v>
      </c>
    </row>
    <row r="28" spans="1:7" ht="15.95" customHeight="1" x14ac:dyDescent="0.2">
      <c r="A28" s="42" t="s">
        <v>146</v>
      </c>
      <c r="B28" s="6"/>
      <c r="C28" s="14"/>
      <c r="D28" s="14"/>
      <c r="E28" s="14"/>
      <c r="F28" s="14"/>
      <c r="G28" s="38"/>
    </row>
    <row r="29" spans="1:7" ht="15.95" customHeight="1" x14ac:dyDescent="0.2">
      <c r="A29" s="42" t="s">
        <v>147</v>
      </c>
      <c r="B29" s="6"/>
      <c r="C29" s="28">
        <f t="shared" ref="C29:C35" si="3">D29+E29+F29</f>
        <v>0</v>
      </c>
      <c r="D29" s="34">
        <f>IF(UPPER('Control Worksheet'!$B$6)=RIGHT('7895ODFG-P'!$A29,LEN('7895ODFG-P'!$A29)-4),('Data Entry'!A$69),0)</f>
        <v>0</v>
      </c>
      <c r="E29" s="34">
        <f>IF(UPPER('Control Worksheet'!$B$6)=RIGHT('7895ODFG-P'!$A29,LEN('7895ODFG-P'!$A29)-4),('Data Entry'!B$69),0)</f>
        <v>0</v>
      </c>
      <c r="F29" s="34">
        <f>IF(UPPER('Control Worksheet'!$B$6)=RIGHT('7895ODFG-P'!$A29,LEN('7895ODFG-P'!$A29)-4),('Data Entry'!C$69),0)</f>
        <v>0</v>
      </c>
      <c r="G29" s="39">
        <f t="shared" ref="G29:G35" si="4">E29+F29</f>
        <v>0</v>
      </c>
    </row>
    <row r="30" spans="1:7" ht="15.95" customHeight="1" x14ac:dyDescent="0.2">
      <c r="A30" s="42" t="s">
        <v>148</v>
      </c>
      <c r="B30" s="6"/>
      <c r="C30" s="28">
        <f t="shared" si="3"/>
        <v>0</v>
      </c>
      <c r="D30" s="34">
        <f>IF(UPPER('Control Worksheet'!$B$6)=RIGHT('7895ODFG-P'!$A30,LEN('7895ODFG-P'!$A30)-4),('Data Entry'!A$69),0)</f>
        <v>0</v>
      </c>
      <c r="E30" s="34">
        <f>IF(UPPER('Control Worksheet'!$B$6)=RIGHT('7895ODFG-P'!$A30,LEN('7895ODFG-P'!$A30)-4),('Data Entry'!B$69),0)</f>
        <v>0</v>
      </c>
      <c r="F30" s="34">
        <f>IF(UPPER('Control Worksheet'!$B$6)=RIGHT('7895ODFG-P'!$A30,LEN('7895ODFG-P'!$A30)-4),('Data Entry'!C$69),0)</f>
        <v>0</v>
      </c>
      <c r="G30" s="39">
        <f t="shared" si="4"/>
        <v>0</v>
      </c>
    </row>
    <row r="31" spans="1:7" ht="15.95" customHeight="1" x14ac:dyDescent="0.2">
      <c r="A31" s="42" t="s">
        <v>149</v>
      </c>
      <c r="B31" s="6"/>
      <c r="C31" s="28">
        <f t="shared" si="3"/>
        <v>0</v>
      </c>
      <c r="D31" s="34">
        <f>IF(UPPER('Control Worksheet'!$B$6)=RIGHT('7895ODFG-P'!$A31,LEN('7895ODFG-P'!$A31)-4),('Data Entry'!A$69),0)</f>
        <v>0</v>
      </c>
      <c r="E31" s="34">
        <f>IF(UPPER('Control Worksheet'!$B$6)=RIGHT('7895ODFG-P'!$A31,LEN('7895ODFG-P'!$A31)-4),('Data Entry'!B$69),0)</f>
        <v>0</v>
      </c>
      <c r="F31" s="34">
        <f>IF(UPPER('Control Worksheet'!$B$6)=RIGHT('7895ODFG-P'!$A31,LEN('7895ODFG-P'!$A31)-4),('Data Entry'!C$69),0)</f>
        <v>0</v>
      </c>
      <c r="G31" s="39">
        <f t="shared" si="4"/>
        <v>0</v>
      </c>
    </row>
    <row r="32" spans="1:7" ht="15.95" customHeight="1" x14ac:dyDescent="0.2">
      <c r="A32" s="42" t="s">
        <v>150</v>
      </c>
      <c r="B32" s="6"/>
      <c r="C32" s="28">
        <f t="shared" si="3"/>
        <v>0</v>
      </c>
      <c r="D32" s="34">
        <f>IF(UPPER('Control Worksheet'!$B$6)=RIGHT('7895ODFG-P'!$A32,LEN('7895ODFG-P'!$A32)-4),('Data Entry'!A$69),0)</f>
        <v>0</v>
      </c>
      <c r="E32" s="34">
        <f>IF(UPPER('Control Worksheet'!$B$6)=RIGHT('7895ODFG-P'!$A32,LEN('7895ODFG-P'!$A32)-4),('Data Entry'!B$69),0)</f>
        <v>0</v>
      </c>
      <c r="F32" s="34">
        <f>IF(UPPER('Control Worksheet'!$B$6)=RIGHT('7895ODFG-P'!$A32,LEN('7895ODFG-P'!$A32)-4),('Data Entry'!C$69),0)</f>
        <v>0</v>
      </c>
      <c r="G32" s="39">
        <f t="shared" si="4"/>
        <v>0</v>
      </c>
    </row>
    <row r="33" spans="1:7" ht="15" customHeight="1" thickBot="1" x14ac:dyDescent="0.25">
      <c r="A33" s="520" t="s">
        <v>390</v>
      </c>
      <c r="B33" s="521"/>
      <c r="C33" s="448">
        <f t="shared" si="3"/>
        <v>0</v>
      </c>
      <c r="D33" s="254">
        <f>('Data Entry'!A70)</f>
        <v>0</v>
      </c>
      <c r="E33" s="448">
        <f>('Data Entry'!B70)</f>
        <v>0</v>
      </c>
      <c r="F33" s="448">
        <f>('Data Entry'!C70)</f>
        <v>0</v>
      </c>
      <c r="G33" s="449">
        <f t="shared" si="4"/>
        <v>0</v>
      </c>
    </row>
    <row r="34" spans="1:7" ht="15.95" customHeight="1" x14ac:dyDescent="0.25">
      <c r="A34" s="427" t="s">
        <v>203</v>
      </c>
      <c r="B34" s="428"/>
      <c r="C34" s="431">
        <f>SUM(C29:C33)</f>
        <v>0</v>
      </c>
      <c r="D34" s="431">
        <f>SUM(D29:D33)</f>
        <v>0</v>
      </c>
      <c r="E34" s="431">
        <f>SUM(E29:E33)</f>
        <v>0</v>
      </c>
      <c r="F34" s="431">
        <f>SUM(F29:F33)</f>
        <v>0</v>
      </c>
      <c r="G34" s="433">
        <f t="shared" si="4"/>
        <v>0</v>
      </c>
    </row>
    <row r="35" spans="1:7" ht="17.25" customHeight="1" x14ac:dyDescent="0.2">
      <c r="A35" s="522" t="s">
        <v>204</v>
      </c>
      <c r="B35" s="523"/>
      <c r="C35" s="438">
        <f t="shared" si="3"/>
        <v>0</v>
      </c>
      <c r="D35" s="437">
        <f>('Data Entry'!A71)</f>
        <v>0</v>
      </c>
      <c r="E35" s="437">
        <f>('Data Entry'!B71)</f>
        <v>0</v>
      </c>
      <c r="F35" s="439">
        <f>'Data Entry'!C71</f>
        <v>0</v>
      </c>
      <c r="G35" s="438">
        <f t="shared" si="4"/>
        <v>0</v>
      </c>
    </row>
    <row r="36" spans="1:7" ht="15.95" hidden="1" customHeight="1" x14ac:dyDescent="0.2">
      <c r="A36" s="524" t="s">
        <v>391</v>
      </c>
      <c r="B36" s="524"/>
      <c r="C36" s="438" t="e">
        <f>F36</f>
        <v>#REF!</v>
      </c>
      <c r="D36" s="436"/>
      <c r="E36" s="446"/>
      <c r="F36" s="439" t="e">
        <f>'Data Entry'!#REF!</f>
        <v>#REF!</v>
      </c>
      <c r="G36" s="438" t="e">
        <f>F36</f>
        <v>#REF!</v>
      </c>
    </row>
    <row r="37" spans="1:7" ht="15.95" customHeight="1" thickBot="1" x14ac:dyDescent="0.3">
      <c r="A37" s="429" t="s">
        <v>205</v>
      </c>
      <c r="B37" s="430"/>
      <c r="C37" s="432">
        <f>+C35+C34</f>
        <v>0</v>
      </c>
      <c r="D37" s="432">
        <f>+D35+D34-D36</f>
        <v>0</v>
      </c>
      <c r="E37" s="432">
        <f>+E35+E34</f>
        <v>0</v>
      </c>
      <c r="F37" s="432">
        <f>+F35+F34</f>
        <v>0</v>
      </c>
      <c r="G37" s="432">
        <f>+G35+G34</f>
        <v>0</v>
      </c>
    </row>
    <row r="38" spans="1:7" ht="15.95" customHeight="1" x14ac:dyDescent="0.2">
      <c r="A38" s="45" t="s">
        <v>151</v>
      </c>
      <c r="B38" s="33"/>
      <c r="C38" s="34">
        <f>D38+E38+F38</f>
        <v>0</v>
      </c>
      <c r="D38" s="34">
        <f>('Data Entry'!A72)</f>
        <v>0</v>
      </c>
      <c r="E38" s="34">
        <f>('Data Entry'!B72)</f>
        <v>0</v>
      </c>
      <c r="F38" s="34">
        <f>('Data Entry'!C72)</f>
        <v>0</v>
      </c>
      <c r="G38" s="40">
        <f>E38+F38</f>
        <v>0</v>
      </c>
    </row>
    <row r="39" spans="1:7" ht="15.95" customHeight="1" x14ac:dyDescent="0.2">
      <c r="A39" s="42" t="s">
        <v>152</v>
      </c>
      <c r="B39" s="23"/>
      <c r="C39" s="311">
        <f>D39+E39+F39</f>
        <v>0</v>
      </c>
      <c r="D39" s="312">
        <f>('Data Entry'!A73)</f>
        <v>0</v>
      </c>
      <c r="E39" s="313"/>
      <c r="F39" s="314">
        <f>('Data Entry'!C73)</f>
        <v>0</v>
      </c>
      <c r="G39" s="315">
        <f>E39+F39</f>
        <v>0</v>
      </c>
    </row>
    <row r="40" spans="1:7" ht="15.95" customHeight="1" x14ac:dyDescent="0.2">
      <c r="A40" s="42" t="s">
        <v>398</v>
      </c>
      <c r="B40" s="6"/>
      <c r="C40" s="306">
        <f>IF(OR(C23=0,C37=0),0,SUM(C23/C37))</f>
        <v>0</v>
      </c>
      <c r="D40" s="306">
        <f>IF(OR(D23=0,D37=0),0,SUM(D23/D37))</f>
        <v>0</v>
      </c>
      <c r="E40" s="306">
        <f>IF(OR(E23=0,E37=0),0,SUM(E23/E37))</f>
        <v>0</v>
      </c>
      <c r="F40" s="306">
        <f>IF(OR(F23=0,F37=0),0,SUM(F23/F37))</f>
        <v>0</v>
      </c>
      <c r="G40" s="307">
        <f>IF(OR(G23=0,G37=0),0,SUM(G23/G37))</f>
        <v>0</v>
      </c>
    </row>
    <row r="41" spans="1:7" ht="15.95" customHeight="1" thickBot="1" x14ac:dyDescent="0.25">
      <c r="A41" s="256" t="s">
        <v>153</v>
      </c>
      <c r="B41" s="257"/>
      <c r="C41" s="308">
        <f>IF(OR(C23=0,C39=0),0,SUM(C23/C39))</f>
        <v>0</v>
      </c>
      <c r="D41" s="308">
        <f>IF(OR(D23=0,D39=0),0,SUM(D23/D39))</f>
        <v>0</v>
      </c>
      <c r="E41" s="309">
        <f>IF(OR(E23=0,E39=0),0,SUM(E23/E39))</f>
        <v>0</v>
      </c>
      <c r="F41" s="308">
        <f>IF(OR(F23=0,F39=0),0,SUM(F23/F39))</f>
        <v>0</v>
      </c>
      <c r="G41" s="310">
        <f>IF(OR(G23=0,G39=0),0,SUM(G23/G39))</f>
        <v>0</v>
      </c>
    </row>
    <row r="42" spans="1:7" ht="15.95" customHeight="1" thickTop="1" x14ac:dyDescent="0.2">
      <c r="A42" s="319"/>
      <c r="B42" s="319"/>
      <c r="C42" s="320"/>
      <c r="D42" s="320"/>
      <c r="E42" s="321"/>
      <c r="F42" s="320"/>
      <c r="G42" s="320"/>
    </row>
    <row r="43" spans="1:7" ht="15.95" customHeight="1" x14ac:dyDescent="0.2">
      <c r="A43" s="324" t="s">
        <v>332</v>
      </c>
      <c r="B43" s="325"/>
      <c r="C43" s="326"/>
      <c r="D43" s="326"/>
      <c r="E43" s="327"/>
      <c r="F43" s="326"/>
      <c r="G43" s="326"/>
    </row>
    <row r="44" spans="1:7" ht="15.95" customHeight="1" thickBot="1" x14ac:dyDescent="0.25">
      <c r="A44" s="318"/>
      <c r="B44" s="318"/>
      <c r="C44" s="322" t="s">
        <v>126</v>
      </c>
      <c r="D44" s="322" t="s">
        <v>127</v>
      </c>
      <c r="E44" s="323" t="s">
        <v>128</v>
      </c>
      <c r="F44" s="322" t="s">
        <v>129</v>
      </c>
      <c r="G44" s="322" t="s">
        <v>130</v>
      </c>
    </row>
    <row r="45" spans="1:7" ht="13.5" thickTop="1" x14ac:dyDescent="0.2">
      <c r="A45" s="44"/>
      <c r="B45" s="5"/>
      <c r="C45" s="8" t="s">
        <v>7</v>
      </c>
      <c r="D45" s="8" t="s">
        <v>131</v>
      </c>
      <c r="E45" s="22"/>
      <c r="F45" s="8" t="s">
        <v>417</v>
      </c>
      <c r="G45" s="255" t="s">
        <v>132</v>
      </c>
    </row>
    <row r="46" spans="1:7" x14ac:dyDescent="0.2">
      <c r="A46" s="42" t="s">
        <v>133</v>
      </c>
      <c r="B46" s="6"/>
      <c r="C46" s="9" t="s">
        <v>134</v>
      </c>
      <c r="D46" s="9" t="s">
        <v>135</v>
      </c>
      <c r="E46" s="9" t="s">
        <v>136</v>
      </c>
      <c r="F46" s="10" t="s">
        <v>137</v>
      </c>
      <c r="G46" s="48" t="s">
        <v>417</v>
      </c>
    </row>
    <row r="47" spans="1:7" x14ac:dyDescent="0.2">
      <c r="A47" s="42" t="s">
        <v>154</v>
      </c>
      <c r="B47" s="23"/>
      <c r="C47" s="30"/>
      <c r="D47" s="30"/>
      <c r="E47" s="30"/>
      <c r="F47" s="30"/>
      <c r="G47" s="49"/>
    </row>
    <row r="48" spans="1:7" x14ac:dyDescent="0.2">
      <c r="A48" s="42" t="s">
        <v>155</v>
      </c>
      <c r="B48" s="23"/>
      <c r="C48" s="28">
        <f>D48+E48+F48</f>
        <v>0</v>
      </c>
      <c r="D48" s="34">
        <f>('Data Entry'!A16)</f>
        <v>0</v>
      </c>
      <c r="E48" s="34">
        <f>('Data Entry'!B16)</f>
        <v>0</v>
      </c>
      <c r="F48" s="34">
        <f>('Data Entry'!C16)</f>
        <v>0</v>
      </c>
      <c r="G48" s="292">
        <f>E48+F48</f>
        <v>0</v>
      </c>
    </row>
    <row r="49" spans="1:7" x14ac:dyDescent="0.2">
      <c r="A49" s="42" t="s">
        <v>156</v>
      </c>
      <c r="B49" s="6"/>
      <c r="C49" s="28">
        <f>D49+E49+F49</f>
        <v>0</v>
      </c>
      <c r="D49" s="34">
        <f>('Data Entry'!A17)</f>
        <v>0</v>
      </c>
      <c r="E49" s="34">
        <f>('Data Entry'!B17)</f>
        <v>0</v>
      </c>
      <c r="F49" s="34">
        <f>('Data Entry'!C17)</f>
        <v>0</v>
      </c>
      <c r="G49" s="292">
        <f>E49+F49</f>
        <v>0</v>
      </c>
    </row>
    <row r="50" spans="1:7" x14ac:dyDescent="0.2">
      <c r="A50" s="46" t="s">
        <v>157</v>
      </c>
      <c r="B50" s="26"/>
      <c r="C50" s="27">
        <f>C48+C49</f>
        <v>0</v>
      </c>
      <c r="D50" s="27">
        <f>D48+D49</f>
        <v>0</v>
      </c>
      <c r="E50" s="27">
        <f>E48+E49</f>
        <v>0</v>
      </c>
      <c r="F50" s="27">
        <f>F48+F49</f>
        <v>0</v>
      </c>
      <c r="G50" s="291">
        <f>G48+G49</f>
        <v>0</v>
      </c>
    </row>
    <row r="51" spans="1:7" x14ac:dyDescent="0.2">
      <c r="A51" s="42" t="s">
        <v>158</v>
      </c>
      <c r="B51" s="6"/>
      <c r="C51" s="30"/>
      <c r="D51" s="31"/>
      <c r="E51" s="31"/>
      <c r="F51" s="31"/>
      <c r="G51" s="49"/>
    </row>
    <row r="52" spans="1:7" x14ac:dyDescent="0.2">
      <c r="A52" s="42" t="s">
        <v>159</v>
      </c>
      <c r="B52" s="6"/>
      <c r="C52" s="28">
        <f>D52+E52+F52</f>
        <v>0</v>
      </c>
      <c r="D52" s="34">
        <f>('Data Entry'!A19)</f>
        <v>0</v>
      </c>
      <c r="E52" s="34">
        <f>('Data Entry'!B19)</f>
        <v>0</v>
      </c>
      <c r="F52" s="34">
        <f>('Data Entry'!C19)</f>
        <v>0</v>
      </c>
      <c r="G52" s="292">
        <f>E52+F52</f>
        <v>0</v>
      </c>
    </row>
    <row r="53" spans="1:7" x14ac:dyDescent="0.2">
      <c r="A53" s="42" t="s">
        <v>160</v>
      </c>
      <c r="B53" s="6"/>
      <c r="C53" s="28">
        <f>D53+E53+F53</f>
        <v>0</v>
      </c>
      <c r="D53" s="34">
        <f>('Data Entry'!A20)</f>
        <v>0</v>
      </c>
      <c r="E53" s="254"/>
      <c r="F53" s="34">
        <f>('Data Entry'!C20)</f>
        <v>0</v>
      </c>
      <c r="G53" s="292">
        <f>E53+F53</f>
        <v>0</v>
      </c>
    </row>
    <row r="54" spans="1:7" x14ac:dyDescent="0.2">
      <c r="A54" s="42" t="s">
        <v>161</v>
      </c>
      <c r="B54" s="6"/>
      <c r="C54" s="28">
        <f>D54+E54+F54</f>
        <v>0</v>
      </c>
      <c r="D54" s="34">
        <f>('Data Entry'!A21)</f>
        <v>0</v>
      </c>
      <c r="E54" s="34">
        <f>('Data Entry'!B21)</f>
        <v>0</v>
      </c>
      <c r="F54" s="34">
        <f>('Data Entry'!C21)</f>
        <v>0</v>
      </c>
      <c r="G54" s="292">
        <f>E54+F54</f>
        <v>0</v>
      </c>
    </row>
    <row r="55" spans="1:7" x14ac:dyDescent="0.2">
      <c r="A55" s="42" t="s">
        <v>162</v>
      </c>
      <c r="B55" s="6"/>
      <c r="C55" s="28">
        <f>D55+E55+F55</f>
        <v>0</v>
      </c>
      <c r="D55" s="34">
        <f>('Data Entry'!A22)</f>
        <v>0</v>
      </c>
      <c r="E55" s="34">
        <f>('Data Entry'!B22)</f>
        <v>0</v>
      </c>
      <c r="F55" s="34">
        <f>('Data Entry'!C22)</f>
        <v>0</v>
      </c>
      <c r="G55" s="292">
        <f>E55+F55</f>
        <v>0</v>
      </c>
    </row>
    <row r="56" spans="1:7" x14ac:dyDescent="0.2">
      <c r="A56" s="42" t="s">
        <v>163</v>
      </c>
      <c r="B56" s="6"/>
      <c r="C56" s="28">
        <f>D56+E56+F56</f>
        <v>0</v>
      </c>
      <c r="D56" s="34">
        <f>('Data Entry'!A23)</f>
        <v>0</v>
      </c>
      <c r="E56" s="34">
        <f>('Data Entry'!B23)</f>
        <v>0</v>
      </c>
      <c r="F56" s="34">
        <f>('Data Entry'!C23)</f>
        <v>0</v>
      </c>
      <c r="G56" s="292">
        <f>E56+F56</f>
        <v>0</v>
      </c>
    </row>
    <row r="57" spans="1:7" x14ac:dyDescent="0.2">
      <c r="A57" s="46" t="s">
        <v>164</v>
      </c>
      <c r="B57" s="6"/>
      <c r="C57" s="27">
        <f>SUM(C52:C56)</f>
        <v>0</v>
      </c>
      <c r="D57" s="27">
        <f>SUM(D52:D56)</f>
        <v>0</v>
      </c>
      <c r="E57" s="27">
        <f>SUM(E52:E56)</f>
        <v>0</v>
      </c>
      <c r="F57" s="27">
        <f>SUM(F52:F56)</f>
        <v>0</v>
      </c>
      <c r="G57" s="291">
        <f>SUM(G52:G56)</f>
        <v>0</v>
      </c>
    </row>
    <row r="58" spans="1:7" x14ac:dyDescent="0.2">
      <c r="A58" s="42" t="s">
        <v>165</v>
      </c>
      <c r="B58" s="6"/>
      <c r="C58" s="30"/>
      <c r="D58" s="31"/>
      <c r="E58" s="31"/>
      <c r="F58" s="31"/>
      <c r="G58" s="49"/>
    </row>
    <row r="59" spans="1:7" x14ac:dyDescent="0.2">
      <c r="A59" s="42" t="s">
        <v>166</v>
      </c>
      <c r="B59" s="6"/>
      <c r="C59" s="28">
        <f>D59+E59+F59</f>
        <v>0</v>
      </c>
      <c r="D59" s="34">
        <f>('Data Entry'!A25)</f>
        <v>0</v>
      </c>
      <c r="E59" s="34">
        <f>('Data Entry'!B25)</f>
        <v>0</v>
      </c>
      <c r="F59" s="34">
        <f>('Data Entry'!C25)</f>
        <v>0</v>
      </c>
      <c r="G59" s="292">
        <f>E59+F59</f>
        <v>0</v>
      </c>
    </row>
    <row r="60" spans="1:7" x14ac:dyDescent="0.2">
      <c r="A60" s="42" t="s">
        <v>167</v>
      </c>
      <c r="B60" s="6"/>
      <c r="C60" s="28">
        <f>D60+E60+F60</f>
        <v>0</v>
      </c>
      <c r="D60" s="34">
        <f>('Data Entry'!A26)</f>
        <v>0</v>
      </c>
      <c r="E60" s="34">
        <f>('Data Entry'!B26)</f>
        <v>0</v>
      </c>
      <c r="F60" s="34">
        <f>('Data Entry'!C26)</f>
        <v>0</v>
      </c>
      <c r="G60" s="292">
        <f>E60+F60</f>
        <v>0</v>
      </c>
    </row>
    <row r="61" spans="1:7" x14ac:dyDescent="0.2">
      <c r="A61" s="42" t="s">
        <v>168</v>
      </c>
      <c r="B61" s="6"/>
      <c r="C61" s="28">
        <f t="shared" ref="C61:C66" si="5">D61+E61+F61</f>
        <v>0</v>
      </c>
      <c r="D61" s="34">
        <f>('Data Entry'!A27)</f>
        <v>0</v>
      </c>
      <c r="E61" s="34">
        <f>('Data Entry'!B27)</f>
        <v>0</v>
      </c>
      <c r="F61" s="34">
        <f>('Data Entry'!C27)</f>
        <v>0</v>
      </c>
      <c r="G61" s="292">
        <f t="shared" ref="G61:G66" si="6">E61+F61</f>
        <v>0</v>
      </c>
    </row>
    <row r="62" spans="1:7" x14ac:dyDescent="0.2">
      <c r="A62" s="42" t="s">
        <v>169</v>
      </c>
      <c r="B62" s="6"/>
      <c r="C62" s="28">
        <f t="shared" si="5"/>
        <v>0</v>
      </c>
      <c r="D62" s="34">
        <f>('Data Entry'!A28)</f>
        <v>0</v>
      </c>
      <c r="E62" s="34">
        <f>('Data Entry'!B28)</f>
        <v>0</v>
      </c>
      <c r="F62" s="34">
        <f>('Data Entry'!C28)</f>
        <v>0</v>
      </c>
      <c r="G62" s="292">
        <f t="shared" si="6"/>
        <v>0</v>
      </c>
    </row>
    <row r="63" spans="1:7" x14ac:dyDescent="0.2">
      <c r="A63" s="42" t="s">
        <v>170</v>
      </c>
      <c r="B63" s="6"/>
      <c r="C63" s="28">
        <f t="shared" si="5"/>
        <v>0</v>
      </c>
      <c r="D63" s="34">
        <f>('Data Entry'!A29)</f>
        <v>0</v>
      </c>
      <c r="E63" s="34">
        <f>('Data Entry'!B29)</f>
        <v>0</v>
      </c>
      <c r="F63" s="34">
        <f>('Data Entry'!C29)</f>
        <v>0</v>
      </c>
      <c r="G63" s="292">
        <f t="shared" si="6"/>
        <v>0</v>
      </c>
    </row>
    <row r="64" spans="1:7" x14ac:dyDescent="0.2">
      <c r="A64" s="42" t="s">
        <v>171</v>
      </c>
      <c r="B64" s="6"/>
      <c r="C64" s="28">
        <f t="shared" si="5"/>
        <v>0</v>
      </c>
      <c r="D64" s="34">
        <f>('Data Entry'!A30)</f>
        <v>0</v>
      </c>
      <c r="E64" s="34">
        <f>('Data Entry'!B30)</f>
        <v>0</v>
      </c>
      <c r="F64" s="34">
        <f>('Data Entry'!C30)</f>
        <v>0</v>
      </c>
      <c r="G64" s="292">
        <f t="shared" si="6"/>
        <v>0</v>
      </c>
    </row>
    <row r="65" spans="1:7" x14ac:dyDescent="0.2">
      <c r="A65" s="42" t="s">
        <v>172</v>
      </c>
      <c r="B65" s="6"/>
      <c r="C65" s="28">
        <f t="shared" si="5"/>
        <v>0</v>
      </c>
      <c r="D65" s="34">
        <f>('Data Entry'!A31)</f>
        <v>0</v>
      </c>
      <c r="E65" s="34">
        <f>('Data Entry'!B31)</f>
        <v>0</v>
      </c>
      <c r="F65" s="34">
        <f>('Data Entry'!C31)</f>
        <v>0</v>
      </c>
      <c r="G65" s="292">
        <f t="shared" si="6"/>
        <v>0</v>
      </c>
    </row>
    <row r="66" spans="1:7" x14ac:dyDescent="0.2">
      <c r="A66" s="42" t="s">
        <v>163</v>
      </c>
      <c r="B66" s="6"/>
      <c r="C66" s="28">
        <f t="shared" si="5"/>
        <v>0</v>
      </c>
      <c r="D66" s="34">
        <f>('Data Entry'!A32)</f>
        <v>0</v>
      </c>
      <c r="E66" s="34">
        <f>('Data Entry'!B32)</f>
        <v>0</v>
      </c>
      <c r="F66" s="34">
        <f>('Data Entry'!C32)</f>
        <v>0</v>
      </c>
      <c r="G66" s="292">
        <f t="shared" si="6"/>
        <v>0</v>
      </c>
    </row>
    <row r="67" spans="1:7" x14ac:dyDescent="0.2">
      <c r="A67" s="46" t="s">
        <v>173</v>
      </c>
      <c r="B67" s="26"/>
      <c r="C67" s="27">
        <f>SUM(C59:C66)</f>
        <v>0</v>
      </c>
      <c r="D67" s="27">
        <f>SUM(D59:D66)</f>
        <v>0</v>
      </c>
      <c r="E67" s="27">
        <f>SUM(E59:E66)</f>
        <v>0</v>
      </c>
      <c r="F67" s="27">
        <f>SUM(F59:F66)</f>
        <v>0</v>
      </c>
      <c r="G67" s="291">
        <f>SUM(G59:G66)</f>
        <v>0</v>
      </c>
    </row>
    <row r="68" spans="1:7" x14ac:dyDescent="0.2">
      <c r="A68" s="42" t="s">
        <v>174</v>
      </c>
      <c r="B68" s="6"/>
      <c r="C68" s="30"/>
      <c r="D68" s="31"/>
      <c r="E68" s="31"/>
      <c r="F68" s="31"/>
      <c r="G68" s="49"/>
    </row>
    <row r="69" spans="1:7" x14ac:dyDescent="0.2">
      <c r="A69" s="42" t="s">
        <v>175</v>
      </c>
      <c r="B69" s="6"/>
      <c r="C69" s="28">
        <f t="shared" ref="C69:C77" si="7">D69+E69+F69</f>
        <v>0</v>
      </c>
      <c r="D69" s="34">
        <f>('Data Entry'!A34)</f>
        <v>0</v>
      </c>
      <c r="E69" s="34">
        <f>('Data Entry'!B34)</f>
        <v>0</v>
      </c>
      <c r="F69" s="34">
        <f>('Data Entry'!C34)</f>
        <v>0</v>
      </c>
      <c r="G69" s="292">
        <f t="shared" ref="G69:G77" si="8">E69+F69</f>
        <v>0</v>
      </c>
    </row>
    <row r="70" spans="1:7" x14ac:dyDescent="0.2">
      <c r="A70" s="42" t="s">
        <v>176</v>
      </c>
      <c r="B70" s="6"/>
      <c r="C70" s="28">
        <f t="shared" si="7"/>
        <v>0</v>
      </c>
      <c r="D70" s="34">
        <f>('Data Entry'!A35)</f>
        <v>0</v>
      </c>
      <c r="E70" s="34">
        <f>('Data Entry'!B35)</f>
        <v>0</v>
      </c>
      <c r="F70" s="34">
        <f>('Data Entry'!C35)</f>
        <v>0</v>
      </c>
      <c r="G70" s="292">
        <f t="shared" si="8"/>
        <v>0</v>
      </c>
    </row>
    <row r="71" spans="1:7" x14ac:dyDescent="0.2">
      <c r="A71" s="42" t="s">
        <v>177</v>
      </c>
      <c r="B71" s="6"/>
      <c r="C71" s="28">
        <f t="shared" si="7"/>
        <v>0</v>
      </c>
      <c r="D71" s="34">
        <f>('Data Entry'!A36)</f>
        <v>0</v>
      </c>
      <c r="E71" s="34">
        <f>('Data Entry'!B36)</f>
        <v>0</v>
      </c>
      <c r="F71" s="34">
        <f>('Data Entry'!C36)</f>
        <v>0</v>
      </c>
      <c r="G71" s="292">
        <f t="shared" si="8"/>
        <v>0</v>
      </c>
    </row>
    <row r="72" spans="1:7" x14ac:dyDescent="0.2">
      <c r="A72" s="42" t="s">
        <v>178</v>
      </c>
      <c r="B72" s="6"/>
      <c r="C72" s="28">
        <f t="shared" si="7"/>
        <v>0</v>
      </c>
      <c r="D72" s="34">
        <f>('Data Entry'!A37)</f>
        <v>0</v>
      </c>
      <c r="E72" s="34">
        <f>('Data Entry'!B37)</f>
        <v>0</v>
      </c>
      <c r="F72" s="34">
        <f>('Data Entry'!C37)</f>
        <v>0</v>
      </c>
      <c r="G72" s="292">
        <f t="shared" si="8"/>
        <v>0</v>
      </c>
    </row>
    <row r="73" spans="1:7" x14ac:dyDescent="0.2">
      <c r="A73" s="42" t="s">
        <v>179</v>
      </c>
      <c r="B73" s="6"/>
      <c r="C73" s="28">
        <f t="shared" si="7"/>
        <v>0</v>
      </c>
      <c r="D73" s="34">
        <f>('Data Entry'!A38)</f>
        <v>0</v>
      </c>
      <c r="E73" s="34">
        <f>('Data Entry'!B38)</f>
        <v>0</v>
      </c>
      <c r="F73" s="34">
        <f>('Data Entry'!C38)</f>
        <v>0</v>
      </c>
      <c r="G73" s="292">
        <f t="shared" si="8"/>
        <v>0</v>
      </c>
    </row>
    <row r="74" spans="1:7" x14ac:dyDescent="0.2">
      <c r="A74" s="42" t="s">
        <v>180</v>
      </c>
      <c r="B74" s="23"/>
      <c r="C74" s="28">
        <f t="shared" si="7"/>
        <v>0</v>
      </c>
      <c r="D74" s="34">
        <f>('Data Entry'!A39)</f>
        <v>0</v>
      </c>
      <c r="E74" s="34">
        <f>('Data Entry'!B39)</f>
        <v>0</v>
      </c>
      <c r="F74" s="34">
        <f>('Data Entry'!C39)</f>
        <v>0</v>
      </c>
      <c r="G74" s="292">
        <f t="shared" si="8"/>
        <v>0</v>
      </c>
    </row>
    <row r="75" spans="1:7" x14ac:dyDescent="0.2">
      <c r="A75" s="42" t="s">
        <v>181</v>
      </c>
      <c r="B75" s="23"/>
      <c r="C75" s="28">
        <f t="shared" si="7"/>
        <v>0</v>
      </c>
      <c r="D75" s="34">
        <f>('Data Entry'!A40)</f>
        <v>0</v>
      </c>
      <c r="E75" s="34">
        <f>('Data Entry'!B40)</f>
        <v>0</v>
      </c>
      <c r="F75" s="34">
        <f>('Data Entry'!C40)</f>
        <v>0</v>
      </c>
      <c r="G75" s="292">
        <f t="shared" si="8"/>
        <v>0</v>
      </c>
    </row>
    <row r="76" spans="1:7" x14ac:dyDescent="0.2">
      <c r="A76" s="42" t="s">
        <v>182</v>
      </c>
      <c r="B76" s="23"/>
      <c r="C76" s="28">
        <f t="shared" si="7"/>
        <v>0</v>
      </c>
      <c r="D76" s="34">
        <f>('Data Entry'!A41)</f>
        <v>0</v>
      </c>
      <c r="E76" s="34">
        <f>('Data Entry'!B41)</f>
        <v>0</v>
      </c>
      <c r="F76" s="34">
        <f>('Data Entry'!C41)</f>
        <v>0</v>
      </c>
      <c r="G76" s="292">
        <f t="shared" si="8"/>
        <v>0</v>
      </c>
    </row>
    <row r="77" spans="1:7" x14ac:dyDescent="0.2">
      <c r="A77" s="42" t="s">
        <v>183</v>
      </c>
      <c r="B77" s="23"/>
      <c r="C77" s="28">
        <f t="shared" si="7"/>
        <v>0</v>
      </c>
      <c r="D77" s="34">
        <f>('Data Entry'!A42)</f>
        <v>0</v>
      </c>
      <c r="E77" s="34">
        <f>('Data Entry'!B42)</f>
        <v>0</v>
      </c>
      <c r="F77" s="34">
        <f>('Data Entry'!C42)</f>
        <v>0</v>
      </c>
      <c r="G77" s="292">
        <f t="shared" si="8"/>
        <v>0</v>
      </c>
    </row>
    <row r="78" spans="1:7" x14ac:dyDescent="0.2">
      <c r="A78" s="42" t="s">
        <v>184</v>
      </c>
      <c r="B78" s="6"/>
      <c r="C78" s="28">
        <f t="shared" ref="C78:C83" si="9">D78+E78+F78</f>
        <v>0</v>
      </c>
      <c r="D78" s="34">
        <f>('Data Entry'!A43)</f>
        <v>0</v>
      </c>
      <c r="E78" s="34">
        <f>('Data Entry'!B43)</f>
        <v>0</v>
      </c>
      <c r="F78" s="34">
        <f>('Data Entry'!C43)</f>
        <v>0</v>
      </c>
      <c r="G78" s="292">
        <f t="shared" ref="G78:G83" si="10">E78+F78</f>
        <v>0</v>
      </c>
    </row>
    <row r="79" spans="1:7" x14ac:dyDescent="0.2">
      <c r="A79" s="42" t="s">
        <v>185</v>
      </c>
      <c r="B79" s="6"/>
      <c r="C79" s="28">
        <f t="shared" si="9"/>
        <v>0</v>
      </c>
      <c r="D79" s="34">
        <f>('Data Entry'!A44)</f>
        <v>0</v>
      </c>
      <c r="E79" s="34">
        <f>('Data Entry'!B44)</f>
        <v>0</v>
      </c>
      <c r="F79" s="34">
        <f>('Data Entry'!C44)</f>
        <v>0</v>
      </c>
      <c r="G79" s="292">
        <f t="shared" si="10"/>
        <v>0</v>
      </c>
    </row>
    <row r="80" spans="1:7" x14ac:dyDescent="0.2">
      <c r="A80" s="42" t="s">
        <v>186</v>
      </c>
      <c r="B80" s="6"/>
      <c r="C80" s="28">
        <f t="shared" si="9"/>
        <v>0</v>
      </c>
      <c r="D80" s="34">
        <f>('Data Entry'!A45)</f>
        <v>0</v>
      </c>
      <c r="E80" s="34">
        <f>('Data Entry'!B45)</f>
        <v>0</v>
      </c>
      <c r="F80" s="34">
        <f>('Data Entry'!C45)</f>
        <v>0</v>
      </c>
      <c r="G80" s="292">
        <f t="shared" si="10"/>
        <v>0</v>
      </c>
    </row>
    <row r="81" spans="1:7" x14ac:dyDescent="0.2">
      <c r="A81" s="42" t="s">
        <v>187</v>
      </c>
      <c r="B81" s="6"/>
      <c r="C81" s="28">
        <f t="shared" si="9"/>
        <v>0</v>
      </c>
      <c r="D81" s="34">
        <f>('Data Entry'!A46)</f>
        <v>0</v>
      </c>
      <c r="E81" s="34">
        <f>('Data Entry'!B46)</f>
        <v>0</v>
      </c>
      <c r="F81" s="34">
        <f>('Data Entry'!C46)</f>
        <v>0</v>
      </c>
      <c r="G81" s="292">
        <f t="shared" si="10"/>
        <v>0</v>
      </c>
    </row>
    <row r="82" spans="1:7" x14ac:dyDescent="0.2">
      <c r="A82" s="42" t="s">
        <v>188</v>
      </c>
      <c r="B82" s="6"/>
      <c r="C82" s="28">
        <f t="shared" si="9"/>
        <v>0</v>
      </c>
      <c r="D82" s="34">
        <f>('Data Entry'!A47)</f>
        <v>0</v>
      </c>
      <c r="E82" s="34">
        <f>('Data Entry'!B47)</f>
        <v>0</v>
      </c>
      <c r="F82" s="34">
        <f>('Data Entry'!C47)</f>
        <v>0</v>
      </c>
      <c r="G82" s="292">
        <f t="shared" si="10"/>
        <v>0</v>
      </c>
    </row>
    <row r="83" spans="1:7" x14ac:dyDescent="0.2">
      <c r="A83" s="42" t="s">
        <v>163</v>
      </c>
      <c r="B83" s="6"/>
      <c r="C83" s="28">
        <f t="shared" si="9"/>
        <v>0</v>
      </c>
      <c r="D83" s="34">
        <f>('Data Entry'!A48)</f>
        <v>0</v>
      </c>
      <c r="E83" s="34">
        <f>('Data Entry'!B48)</f>
        <v>0</v>
      </c>
      <c r="F83" s="34">
        <f>('Data Entry'!C48)</f>
        <v>0</v>
      </c>
      <c r="G83" s="292">
        <f t="shared" si="10"/>
        <v>0</v>
      </c>
    </row>
    <row r="84" spans="1:7" x14ac:dyDescent="0.2">
      <c r="A84" s="46" t="s">
        <v>189</v>
      </c>
      <c r="B84" s="26"/>
      <c r="C84" s="27">
        <f>SUM(C69:C83)</f>
        <v>0</v>
      </c>
      <c r="D84" s="27">
        <f>SUM(D69:D83)</f>
        <v>0</v>
      </c>
      <c r="E84" s="27">
        <f>SUM(E69:E83)</f>
        <v>0</v>
      </c>
      <c r="F84" s="27">
        <f>SUM(F69:F83)</f>
        <v>0</v>
      </c>
      <c r="G84" s="291">
        <f>SUM(G69:G83)</f>
        <v>0</v>
      </c>
    </row>
    <row r="85" spans="1:7" x14ac:dyDescent="0.2">
      <c r="A85" s="46" t="s">
        <v>190</v>
      </c>
      <c r="B85" s="26"/>
      <c r="C85" s="27">
        <f>D85+E85+F85</f>
        <v>0</v>
      </c>
      <c r="D85" s="34">
        <f>('Data Entry'!A50)</f>
        <v>0</v>
      </c>
      <c r="E85" s="34">
        <f>('Data Entry'!B50)</f>
        <v>0</v>
      </c>
      <c r="F85" s="34">
        <f>('Data Entry'!C50)</f>
        <v>0</v>
      </c>
      <c r="G85" s="291">
        <f>E85+F85</f>
        <v>0</v>
      </c>
    </row>
    <row r="86" spans="1:7" x14ac:dyDescent="0.2">
      <c r="A86" s="42" t="s">
        <v>191</v>
      </c>
      <c r="B86" s="6"/>
      <c r="C86" s="289"/>
      <c r="D86" s="29"/>
      <c r="E86" s="29"/>
      <c r="F86" s="29"/>
      <c r="G86" s="293"/>
    </row>
    <row r="87" spans="1:7" x14ac:dyDescent="0.2">
      <c r="A87" s="42" t="s">
        <v>192</v>
      </c>
      <c r="B87" s="6"/>
      <c r="C87" s="28">
        <f>D87+E87+F87</f>
        <v>0</v>
      </c>
      <c r="D87" s="34">
        <f>('Data Entry'!A52)</f>
        <v>0</v>
      </c>
      <c r="E87" s="34">
        <f>('Data Entry'!B52)</f>
        <v>0</v>
      </c>
      <c r="F87" s="34">
        <f>('Data Entry'!C52)</f>
        <v>0</v>
      </c>
      <c r="G87" s="292">
        <f>E87+F87</f>
        <v>0</v>
      </c>
    </row>
    <row r="88" spans="1:7" x14ac:dyDescent="0.2">
      <c r="A88" s="42" t="s">
        <v>193</v>
      </c>
      <c r="B88" s="6"/>
      <c r="C88" s="28">
        <f>D88+E88+F88</f>
        <v>0</v>
      </c>
      <c r="D88" s="34">
        <f>('Data Entry'!A53)</f>
        <v>0</v>
      </c>
      <c r="E88" s="34">
        <f>('Data Entry'!B53)</f>
        <v>0</v>
      </c>
      <c r="F88" s="34">
        <f>('Data Entry'!C53)</f>
        <v>0</v>
      </c>
      <c r="G88" s="292">
        <f>E88+F88</f>
        <v>0</v>
      </c>
    </row>
    <row r="89" spans="1:7" x14ac:dyDescent="0.2">
      <c r="A89" s="42" t="s">
        <v>194</v>
      </c>
      <c r="B89" s="6"/>
      <c r="C89" s="28">
        <f>D89+E89+F89</f>
        <v>0</v>
      </c>
      <c r="D89" s="34">
        <f>('Data Entry'!A54)</f>
        <v>0</v>
      </c>
      <c r="E89" s="34">
        <f>('Data Entry'!B54)</f>
        <v>0</v>
      </c>
      <c r="F89" s="34">
        <f>('Data Entry'!C54)</f>
        <v>0</v>
      </c>
      <c r="G89" s="292">
        <f>E89+F89</f>
        <v>0</v>
      </c>
    </row>
    <row r="90" spans="1:7" x14ac:dyDescent="0.2">
      <c r="A90" s="42" t="s">
        <v>195</v>
      </c>
      <c r="B90" s="6"/>
      <c r="C90" s="28">
        <f>D90+E90+F90</f>
        <v>0</v>
      </c>
      <c r="D90" s="34">
        <f>('Data Entry'!A55)</f>
        <v>0</v>
      </c>
      <c r="E90" s="34">
        <f>('Data Entry'!B55)</f>
        <v>0</v>
      </c>
      <c r="F90" s="34">
        <f>('Data Entry'!C55)</f>
        <v>0</v>
      </c>
      <c r="G90" s="292">
        <f>E90+F90</f>
        <v>0</v>
      </c>
    </row>
    <row r="91" spans="1:7" x14ac:dyDescent="0.2">
      <c r="A91" s="42" t="s">
        <v>196</v>
      </c>
      <c r="B91" s="6"/>
      <c r="C91" s="28">
        <f>D91+E91+F91</f>
        <v>0</v>
      </c>
      <c r="D91" s="34">
        <f>('Data Entry'!A56)</f>
        <v>0</v>
      </c>
      <c r="E91" s="34">
        <f>('Data Entry'!B56)</f>
        <v>0</v>
      </c>
      <c r="F91" s="34">
        <f>('Data Entry'!C56)</f>
        <v>0</v>
      </c>
      <c r="G91" s="292">
        <f>E91+F91</f>
        <v>0</v>
      </c>
    </row>
    <row r="92" spans="1:7" x14ac:dyDescent="0.2">
      <c r="A92" s="46" t="s">
        <v>197</v>
      </c>
      <c r="B92" s="26"/>
      <c r="C92" s="27">
        <f>SUM(C87:C91)</f>
        <v>0</v>
      </c>
      <c r="D92" s="27">
        <f>SUM(D87:D91)</f>
        <v>0</v>
      </c>
      <c r="E92" s="27">
        <f>SUM(E87:E91)</f>
        <v>0</v>
      </c>
      <c r="F92" s="27">
        <f>SUM(F87:F91)</f>
        <v>0</v>
      </c>
      <c r="G92" s="291">
        <f>SUM(G87:G91)</f>
        <v>0</v>
      </c>
    </row>
    <row r="93" spans="1:7" x14ac:dyDescent="0.2">
      <c r="A93" s="46" t="s">
        <v>198</v>
      </c>
      <c r="B93" s="26"/>
      <c r="C93" s="27">
        <f>C57+C67+C84+C85+C92</f>
        <v>0</v>
      </c>
      <c r="D93" s="27">
        <f>D57+D67+D84+D85+D92</f>
        <v>0</v>
      </c>
      <c r="E93" s="27">
        <f>E57+E67+E84+E85+E92</f>
        <v>0</v>
      </c>
      <c r="F93" s="27">
        <f>F57+F67+F84+F85+F92</f>
        <v>0</v>
      </c>
      <c r="G93" s="291">
        <f>G57+G67+G84+G85+G92</f>
        <v>0</v>
      </c>
    </row>
    <row r="94" spans="1:7" x14ac:dyDescent="0.2">
      <c r="A94" s="42" t="s">
        <v>199</v>
      </c>
      <c r="B94" s="6"/>
      <c r="C94" s="290">
        <f>SUM(D94+G94)</f>
        <v>0</v>
      </c>
      <c r="D94" s="34">
        <f>('Data Entry'!A58)</f>
        <v>0</v>
      </c>
      <c r="E94" s="34">
        <f>('Data Entry'!B58)</f>
        <v>0</v>
      </c>
      <c r="F94" s="34">
        <f>('Data Entry'!C58)</f>
        <v>0</v>
      </c>
      <c r="G94" s="294">
        <f>SUM(E94:F94)</f>
        <v>0</v>
      </c>
    </row>
    <row r="95" spans="1:7" x14ac:dyDescent="0.2">
      <c r="A95" s="46" t="s">
        <v>200</v>
      </c>
      <c r="B95" s="6"/>
      <c r="C95" s="295">
        <f>SUM(E95:F95)</f>
        <v>0</v>
      </c>
      <c r="D95" s="296">
        <f>D93+D94+D50</f>
        <v>0</v>
      </c>
      <c r="E95" s="297">
        <f>E93+E94+E50</f>
        <v>0</v>
      </c>
      <c r="F95" s="297">
        <f>F93+F94+F50</f>
        <v>0</v>
      </c>
      <c r="G95" s="298">
        <f>SUM(E95:F95)</f>
        <v>0</v>
      </c>
    </row>
    <row r="96" spans="1:7" x14ac:dyDescent="0.2">
      <c r="A96" s="46" t="s">
        <v>202</v>
      </c>
      <c r="B96" s="6"/>
      <c r="C96" s="299">
        <f>E96</f>
        <v>0</v>
      </c>
      <c r="D96" s="300"/>
      <c r="E96" s="301">
        <f>('Data Entry'!B59)</f>
        <v>0</v>
      </c>
      <c r="F96" s="300"/>
      <c r="G96" s="302">
        <f>E96</f>
        <v>0</v>
      </c>
    </row>
    <row r="97" spans="1:7" ht="13.5" thickBot="1" x14ac:dyDescent="0.25">
      <c r="A97" s="47" t="s">
        <v>201</v>
      </c>
      <c r="B97" s="25"/>
      <c r="C97" s="303">
        <f>C95+C96</f>
        <v>0</v>
      </c>
      <c r="D97" s="303">
        <f>D95+D96</f>
        <v>0</v>
      </c>
      <c r="E97" s="303">
        <f>E95+E96</f>
        <v>0</v>
      </c>
      <c r="F97" s="303">
        <f>F95+F96</f>
        <v>0</v>
      </c>
      <c r="G97" s="304">
        <f>G95+G96</f>
        <v>0</v>
      </c>
    </row>
    <row r="98" spans="1:7" ht="13.5" thickTop="1" x14ac:dyDescent="0.2">
      <c r="A98" s="500" t="s">
        <v>418</v>
      </c>
      <c r="B98" s="208"/>
      <c r="C98" s="209"/>
      <c r="D98" s="54"/>
      <c r="E98" s="55">
        <f>('Data Entry'!B61)</f>
        <v>0</v>
      </c>
      <c r="F98" s="55">
        <f>('Data Entry'!C61)</f>
        <v>0</v>
      </c>
      <c r="G98" s="32"/>
    </row>
    <row r="100" spans="1:7" x14ac:dyDescent="0.2">
      <c r="A100" s="51"/>
    </row>
    <row r="101" spans="1:7" x14ac:dyDescent="0.2">
      <c r="A101" s="3"/>
      <c r="B101" s="3"/>
      <c r="C101" s="3"/>
      <c r="D101" s="3"/>
      <c r="E101" s="3"/>
      <c r="F101" s="3"/>
      <c r="G101" s="3"/>
    </row>
    <row r="102" spans="1:7" x14ac:dyDescent="0.2">
      <c r="A102" s="3"/>
      <c r="B102" s="3"/>
      <c r="C102" s="3"/>
      <c r="D102" s="3"/>
      <c r="E102" s="3"/>
      <c r="F102" s="3"/>
      <c r="G102" s="3"/>
    </row>
    <row r="103" spans="1:7" x14ac:dyDescent="0.2">
      <c r="A103" s="3"/>
      <c r="B103" s="3"/>
      <c r="C103" s="3"/>
      <c r="D103" s="3"/>
      <c r="E103" s="3"/>
      <c r="F103" s="3"/>
      <c r="G103" s="3"/>
    </row>
    <row r="104" spans="1:7" x14ac:dyDescent="0.2">
      <c r="A104" s="3"/>
      <c r="B104" s="3"/>
      <c r="C104" s="3"/>
      <c r="D104" s="3"/>
      <c r="E104" s="3"/>
      <c r="F104" s="3"/>
      <c r="G104" s="3"/>
    </row>
    <row r="105" spans="1:7" x14ac:dyDescent="0.2">
      <c r="B105" s="3"/>
      <c r="D105" s="3"/>
      <c r="E105" s="3"/>
      <c r="F105" s="3"/>
      <c r="G105" s="3"/>
    </row>
    <row r="106" spans="1:7" x14ac:dyDescent="0.2">
      <c r="A106" s="3"/>
      <c r="B106" s="3"/>
      <c r="C106" s="3"/>
      <c r="D106" s="3"/>
      <c r="E106" s="3"/>
      <c r="F106" s="3"/>
      <c r="G106" s="3"/>
    </row>
    <row r="107" spans="1:7" x14ac:dyDescent="0.2">
      <c r="A107" s="3"/>
      <c r="B107" s="3"/>
      <c r="C107" s="3"/>
      <c r="D107" s="3"/>
      <c r="E107" s="3"/>
      <c r="F107" s="3"/>
      <c r="G107" s="3"/>
    </row>
    <row r="108" spans="1:7" x14ac:dyDescent="0.2">
      <c r="A108" s="3"/>
      <c r="B108" s="3"/>
      <c r="C108" s="3"/>
      <c r="D108" s="3"/>
      <c r="E108" s="3"/>
      <c r="F108" s="3"/>
      <c r="G108" s="3"/>
    </row>
    <row r="109" spans="1:7" x14ac:dyDescent="0.2">
      <c r="A109" s="3"/>
      <c r="B109" s="3"/>
      <c r="C109" s="3"/>
      <c r="D109" s="3"/>
      <c r="E109" s="3"/>
      <c r="F109" s="3"/>
      <c r="G109" s="3"/>
    </row>
  </sheetData>
  <sheetProtection password="CD5A" sheet="1" objects="1" scenarios="1"/>
  <mergeCells count="4">
    <mergeCell ref="A33:B33"/>
    <mergeCell ref="A35:B35"/>
    <mergeCell ref="A36:B36"/>
    <mergeCell ref="B7:C7"/>
  </mergeCells>
  <phoneticPr fontId="0" type="noConversion"/>
  <printOptions horizontalCentered="1"/>
  <pageMargins left="0.25" right="0.25" top="0.5" bottom="0.5" header="0.25" footer="0.25"/>
  <pageSetup scale="83" fitToHeight="10" orientation="portrait" r:id="rId1"/>
  <headerFooter alignWithMargins="0">
    <oddHeader>&amp;LState of California - Health and Human Services Agency&amp;RDepartment of Health Care Services</oddHeader>
    <oddFooter>&amp;LDHCS      (02/13)
&amp;F - &amp;A</oddFooter>
  </headerFooter>
  <rowBreaks count="1" manualBreakCount="1">
    <brk id="42" max="6"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R116"/>
  <sheetViews>
    <sheetView tabSelected="1" zoomScale="130" zoomScaleNormal="130" workbookViewId="0">
      <selection activeCell="B4" sqref="B4:C4"/>
    </sheetView>
  </sheetViews>
  <sheetFormatPr defaultRowHeight="12.75" x14ac:dyDescent="0.2"/>
  <cols>
    <col min="1" max="1" width="18.7109375" style="81" customWidth="1"/>
    <col min="2" max="2" width="16.28515625" style="81" customWidth="1"/>
    <col min="3" max="3" width="20.85546875" style="81" customWidth="1"/>
    <col min="4" max="4" width="48.7109375" style="81" customWidth="1"/>
    <col min="5" max="12" width="9.140625" style="81"/>
    <col min="13" max="13" width="20.7109375" customWidth="1"/>
    <col min="14" max="14" width="16" customWidth="1"/>
    <col min="15" max="15" width="15" bestFit="1" customWidth="1"/>
    <col min="16" max="16384" width="9.140625" style="81"/>
  </cols>
  <sheetData>
    <row r="1" spans="1:17" s="272" customFormat="1" ht="16.5" customHeight="1" x14ac:dyDescent="0.25">
      <c r="A1" s="270" t="s">
        <v>411</v>
      </c>
      <c r="B1" s="271"/>
      <c r="C1" s="271"/>
      <c r="M1" s="273"/>
      <c r="N1" s="273"/>
      <c r="O1" s="273"/>
    </row>
    <row r="2" spans="1:17" s="268" customFormat="1" ht="16.5" customHeight="1" x14ac:dyDescent="0.25">
      <c r="A2" s="267" t="s">
        <v>338</v>
      </c>
      <c r="M2" s="269"/>
      <c r="N2" s="269"/>
      <c r="O2" s="269"/>
    </row>
    <row r="3" spans="1:17" ht="6" customHeight="1" x14ac:dyDescent="0.2">
      <c r="M3" s="20"/>
      <c r="N3" s="20"/>
      <c r="O3" s="20"/>
    </row>
    <row r="4" spans="1:17" ht="13.5" customHeight="1" x14ac:dyDescent="0.2">
      <c r="B4" s="527"/>
      <c r="C4" s="528"/>
      <c r="D4" s="259" t="s">
        <v>209</v>
      </c>
      <c r="E4" s="82"/>
      <c r="F4" s="82"/>
      <c r="G4" s="82"/>
      <c r="H4" s="82"/>
      <c r="I4" s="82"/>
      <c r="M4" s="81"/>
      <c r="N4" s="81"/>
      <c r="O4" s="223"/>
      <c r="P4" s="200"/>
      <c r="Q4" s="223"/>
    </row>
    <row r="5" spans="1:17" ht="13.5" customHeight="1" x14ac:dyDescent="0.2">
      <c r="B5" s="527"/>
      <c r="C5" s="528"/>
      <c r="D5" s="259" t="s">
        <v>210</v>
      </c>
      <c r="E5" s="82"/>
      <c r="F5" s="82"/>
      <c r="G5" s="82"/>
      <c r="H5" s="82"/>
      <c r="I5" s="82"/>
      <c r="M5" s="81"/>
      <c r="N5" s="81"/>
      <c r="O5" s="12"/>
      <c r="P5" s="12"/>
      <c r="Q5" s="12"/>
    </row>
    <row r="6" spans="1:17" ht="13.5" customHeight="1" x14ac:dyDescent="0.2">
      <c r="B6" s="529"/>
      <c r="C6" s="530"/>
      <c r="D6" s="259" t="s">
        <v>211</v>
      </c>
      <c r="E6" s="82"/>
      <c r="F6" s="82"/>
      <c r="G6" s="82"/>
      <c r="H6" s="82"/>
      <c r="I6" s="82"/>
      <c r="M6" s="81"/>
      <c r="N6" s="81"/>
      <c r="O6" s="224"/>
      <c r="P6" s="12"/>
      <c r="Q6" s="225"/>
    </row>
    <row r="7" spans="1:17" ht="13.5" customHeight="1" x14ac:dyDescent="0.2">
      <c r="B7" s="531"/>
      <c r="C7" s="532"/>
      <c r="D7" s="259" t="s">
        <v>212</v>
      </c>
      <c r="E7" s="82"/>
      <c r="F7" s="82"/>
      <c r="G7" s="82"/>
      <c r="H7" s="82"/>
      <c r="I7" s="82"/>
      <c r="M7" s="81"/>
      <c r="N7" s="81"/>
      <c r="O7" s="224"/>
      <c r="P7" s="12"/>
      <c r="Q7" s="225"/>
    </row>
    <row r="8" spans="1:17" ht="13.5" customHeight="1" x14ac:dyDescent="0.2">
      <c r="B8" s="531"/>
      <c r="C8" s="532"/>
      <c r="D8" s="259" t="s">
        <v>379</v>
      </c>
      <c r="E8" s="82"/>
      <c r="F8" s="82"/>
      <c r="G8" s="82"/>
      <c r="H8" s="82"/>
      <c r="I8" s="82"/>
      <c r="M8" s="81"/>
      <c r="N8" s="81"/>
      <c r="O8" s="224"/>
      <c r="P8" s="12"/>
      <c r="Q8" s="225"/>
    </row>
    <row r="9" spans="1:17" ht="6" customHeight="1" x14ac:dyDescent="0.2">
      <c r="M9" s="12"/>
      <c r="N9" s="226"/>
      <c r="O9" s="12"/>
    </row>
    <row r="10" spans="1:17" s="277" customFormat="1" ht="12.75" customHeight="1" x14ac:dyDescent="0.25">
      <c r="A10" s="274" t="s">
        <v>213</v>
      </c>
      <c r="B10" s="275"/>
      <c r="C10" s="275"/>
      <c r="D10" s="276"/>
      <c r="M10" s="278"/>
      <c r="N10" s="278"/>
      <c r="O10" s="278"/>
    </row>
    <row r="11" spans="1:17" s="277" customFormat="1" ht="12" customHeight="1" x14ac:dyDescent="0.2">
      <c r="A11" s="418" t="s">
        <v>373</v>
      </c>
      <c r="B11" s="415"/>
      <c r="C11" s="415"/>
      <c r="D11" s="416"/>
      <c r="E11" s="417"/>
      <c r="F11" s="417"/>
      <c r="G11" s="417"/>
      <c r="H11" s="417"/>
      <c r="I11" s="417"/>
      <c r="M11" s="278"/>
      <c r="N11" s="278"/>
      <c r="O11" s="278"/>
    </row>
    <row r="12" spans="1:17" s="277" customFormat="1" ht="12" customHeight="1" x14ac:dyDescent="0.2">
      <c r="A12" s="418" t="s">
        <v>374</v>
      </c>
      <c r="B12" s="415"/>
      <c r="C12" s="415"/>
      <c r="D12" s="416"/>
      <c r="E12" s="417"/>
      <c r="F12" s="417"/>
      <c r="G12" s="417"/>
      <c r="H12" s="417"/>
      <c r="I12" s="417"/>
      <c r="M12" s="278"/>
      <c r="N12" s="278"/>
      <c r="O12" s="278"/>
    </row>
    <row r="13" spans="1:17" ht="3.75" customHeight="1" thickBot="1" x14ac:dyDescent="0.25">
      <c r="D13" s="86"/>
      <c r="M13" s="225"/>
      <c r="N13" s="204"/>
      <c r="O13" s="12"/>
    </row>
    <row r="14" spans="1:17" ht="13.5" thickTop="1" x14ac:dyDescent="0.2">
      <c r="A14" s="260" t="s">
        <v>297</v>
      </c>
      <c r="B14" s="260" t="s">
        <v>298</v>
      </c>
      <c r="C14" s="260" t="s">
        <v>415</v>
      </c>
      <c r="M14" s="227"/>
      <c r="N14" s="235"/>
      <c r="O14" s="235"/>
      <c r="P14" s="246"/>
    </row>
    <row r="15" spans="1:17" ht="12.6" customHeight="1" x14ac:dyDescent="0.2">
      <c r="A15" s="84"/>
      <c r="B15" s="84"/>
      <c r="C15" s="84"/>
      <c r="D15" s="262" t="s">
        <v>258</v>
      </c>
      <c r="M15" s="228"/>
      <c r="N15" s="251" t="s">
        <v>315</v>
      </c>
      <c r="O15" s="65"/>
      <c r="P15" s="247"/>
    </row>
    <row r="16" spans="1:17" ht="12.6" customHeight="1" thickBot="1" x14ac:dyDescent="0.25">
      <c r="A16" s="76"/>
      <c r="B16" s="76"/>
      <c r="C16" s="76"/>
      <c r="D16" s="259" t="s">
        <v>214</v>
      </c>
      <c r="M16" s="248"/>
      <c r="N16" s="233"/>
      <c r="O16" s="249"/>
      <c r="P16" s="250"/>
    </row>
    <row r="17" spans="1:16" ht="12.6" customHeight="1" thickTop="1" x14ac:dyDescent="0.2">
      <c r="A17" s="76"/>
      <c r="B17" s="76"/>
      <c r="C17" s="76"/>
      <c r="D17" s="259" t="s">
        <v>215</v>
      </c>
      <c r="M17" s="227"/>
      <c r="N17" s="237" t="str">
        <f>'ODFGFUND-P'!H9</f>
        <v>EDITS</v>
      </c>
      <c r="O17" s="236"/>
      <c r="P17" s="244" t="s">
        <v>314</v>
      </c>
    </row>
    <row r="18" spans="1:16" ht="12.6" customHeight="1" x14ac:dyDescent="0.2">
      <c r="A18" s="84"/>
      <c r="B18" s="84"/>
      <c r="C18" s="84"/>
      <c r="D18" s="262" t="s">
        <v>216</v>
      </c>
      <c r="M18" s="228"/>
      <c r="N18" s="13"/>
      <c r="O18" s="230"/>
      <c r="P18" s="243"/>
    </row>
    <row r="19" spans="1:16" ht="12.6" customHeight="1" x14ac:dyDescent="0.2">
      <c r="A19" s="76"/>
      <c r="B19" s="76"/>
      <c r="C19" s="76"/>
      <c r="D19" s="259" t="s">
        <v>217</v>
      </c>
      <c r="M19" s="228" t="str">
        <f>'ODFGFUND-P'!G11</f>
        <v>Non DMC Staff Hours</v>
      </c>
      <c r="N19" s="202" t="str">
        <f>'ODFGFUND-P'!H11</f>
        <v>OKAY</v>
      </c>
      <c r="O19" s="231"/>
      <c r="P19" s="245">
        <f>'7990ODFG-P'!F41</f>
        <v>0</v>
      </c>
    </row>
    <row r="20" spans="1:16" ht="12.6" customHeight="1" x14ac:dyDescent="0.2">
      <c r="A20" s="76"/>
      <c r="B20" s="84"/>
      <c r="C20" s="76"/>
      <c r="D20" s="259" t="s">
        <v>218</v>
      </c>
      <c r="M20" s="228" t="str">
        <f>'ODFGFUND-P'!G12</f>
        <v>Total Units</v>
      </c>
      <c r="N20" s="202" t="str">
        <f>'ODFGFUND-P'!H12</f>
        <v>OKAY</v>
      </c>
      <c r="O20" s="231"/>
      <c r="P20" s="245">
        <f>'7990ODFG-P'!F42</f>
        <v>0</v>
      </c>
    </row>
    <row r="21" spans="1:16" ht="12.6" customHeight="1" x14ac:dyDescent="0.2">
      <c r="A21" s="76"/>
      <c r="B21" s="76"/>
      <c r="C21" s="76"/>
      <c r="D21" s="259" t="s">
        <v>219</v>
      </c>
      <c r="M21" s="228" t="str">
        <f>'ODFGFUND-P'!G13</f>
        <v>Denied/Adjusted Total</v>
      </c>
      <c r="N21" s="202" t="str">
        <f>'ODFGFUND-P'!H13</f>
        <v>OKAY</v>
      </c>
      <c r="O21" s="231"/>
      <c r="P21" s="245">
        <f>'7990ODFG-P'!F43</f>
        <v>0</v>
      </c>
    </row>
    <row r="22" spans="1:16" ht="12.6" customHeight="1" x14ac:dyDescent="0.2">
      <c r="A22" s="76"/>
      <c r="B22" s="76"/>
      <c r="C22" s="76"/>
      <c r="D22" s="259" t="s">
        <v>220</v>
      </c>
      <c r="M22" s="228" t="str">
        <f>'ODFGFUND-P'!G14</f>
        <v>Denied vs. Submitted</v>
      </c>
      <c r="N22" s="202" t="str">
        <f>'ODFGFUND-P'!H14</f>
        <v>OKAY</v>
      </c>
      <c r="O22" s="231"/>
      <c r="P22" s="245">
        <f>'7990ODFG-P'!F44</f>
        <v>0</v>
      </c>
    </row>
    <row r="23" spans="1:16" ht="12.6" customHeight="1" x14ac:dyDescent="0.2">
      <c r="A23" s="76"/>
      <c r="B23" s="76"/>
      <c r="C23" s="76"/>
      <c r="D23" s="259" t="s">
        <v>221</v>
      </c>
      <c r="M23" s="228" t="str">
        <f>'ODFGFUND-P'!G15</f>
        <v>SMA/Prorated Rate</v>
      </c>
      <c r="N23" s="202" t="str">
        <f>'ODFGFUND-P'!H15</f>
        <v>OKAY</v>
      </c>
      <c r="O23" s="231"/>
      <c r="P23" s="245">
        <f>'7990ODFG-P'!F45</f>
        <v>0</v>
      </c>
    </row>
    <row r="24" spans="1:16" ht="12.6" customHeight="1" x14ac:dyDescent="0.2">
      <c r="A24" s="84"/>
      <c r="B24" s="84"/>
      <c r="C24" s="84"/>
      <c r="D24" s="262" t="s">
        <v>222</v>
      </c>
      <c r="M24" s="228" t="str">
        <f>'ODFGFUND-P'!G16</f>
        <v>DMC County Admin</v>
      </c>
      <c r="N24" s="202" t="str">
        <f>'ODFGFUND-P'!H16</f>
        <v>OKAY</v>
      </c>
      <c r="O24" s="231"/>
      <c r="P24" s="245">
        <f>'7990ODFG-P'!F46</f>
        <v>0</v>
      </c>
    </row>
    <row r="25" spans="1:16" ht="12.6" customHeight="1" x14ac:dyDescent="0.2">
      <c r="A25" s="76"/>
      <c r="B25" s="76"/>
      <c r="C25" s="76"/>
      <c r="D25" s="259" t="s">
        <v>223</v>
      </c>
      <c r="M25" s="228" t="str">
        <f>'ODFGFUND-P'!G17</f>
        <v>Cost Shifting</v>
      </c>
      <c r="N25" s="202" t="str">
        <f>'ODFGFUND-P'!H17</f>
        <v>OKAY</v>
      </c>
      <c r="O25" s="231"/>
      <c r="P25" s="245">
        <f>'7990ODFG-P'!F47</f>
        <v>0</v>
      </c>
    </row>
    <row r="26" spans="1:16" ht="12.6" customHeight="1" x14ac:dyDescent="0.2">
      <c r="A26" s="76"/>
      <c r="B26" s="76"/>
      <c r="C26" s="76"/>
      <c r="D26" s="259" t="s">
        <v>224</v>
      </c>
      <c r="M26" s="228"/>
      <c r="N26" s="12"/>
      <c r="O26" s="229"/>
      <c r="P26" s="245">
        <f>'7990ODFG-P'!F48</f>
        <v>0</v>
      </c>
    </row>
    <row r="27" spans="1:16" ht="12.6" customHeight="1" x14ac:dyDescent="0.2">
      <c r="A27" s="76"/>
      <c r="B27" s="76"/>
      <c r="C27" s="76"/>
      <c r="D27" s="259" t="s">
        <v>225</v>
      </c>
      <c r="M27" s="232" t="s">
        <v>384</v>
      </c>
      <c r="N27" s="222"/>
      <c r="O27" s="242"/>
      <c r="P27" s="243"/>
    </row>
    <row r="28" spans="1:16" ht="12.6" customHeight="1" x14ac:dyDescent="0.25">
      <c r="A28" s="76"/>
      <c r="B28" s="76"/>
      <c r="C28" s="76"/>
      <c r="D28" s="259" t="s">
        <v>226</v>
      </c>
      <c r="M28" s="240" t="str">
        <f>'ODFGFUND-P'!I11</f>
        <v>No correction needed</v>
      </c>
      <c r="N28" s="12"/>
      <c r="O28" s="229"/>
      <c r="P28" s="537" t="s">
        <v>316</v>
      </c>
    </row>
    <row r="29" spans="1:16" ht="12.6" customHeight="1" x14ac:dyDescent="0.25">
      <c r="A29" s="76"/>
      <c r="B29" s="76"/>
      <c r="C29" s="76"/>
      <c r="D29" s="259" t="s">
        <v>227</v>
      </c>
      <c r="M29" s="240" t="str">
        <f>'ODFGFUND-P'!I12</f>
        <v>No correction needed</v>
      </c>
      <c r="N29" s="12"/>
      <c r="O29" s="229"/>
      <c r="P29" s="538"/>
    </row>
    <row r="30" spans="1:16" ht="12.6" customHeight="1" x14ac:dyDescent="0.25">
      <c r="A30" s="76"/>
      <c r="B30" s="76"/>
      <c r="C30" s="76"/>
      <c r="D30" s="259" t="s">
        <v>228</v>
      </c>
      <c r="M30" s="240" t="str">
        <f>'ODFGFUND-P'!I13</f>
        <v>No correction needed</v>
      </c>
      <c r="N30" s="13"/>
      <c r="O30" s="229"/>
      <c r="P30" s="538"/>
    </row>
    <row r="31" spans="1:16" ht="12.6" customHeight="1" x14ac:dyDescent="0.25">
      <c r="A31" s="76"/>
      <c r="B31" s="76"/>
      <c r="C31" s="76"/>
      <c r="D31" s="259" t="s">
        <v>229</v>
      </c>
      <c r="M31" s="240" t="str">
        <f>'ODFGFUND-P'!I14</f>
        <v>No correction needed</v>
      </c>
      <c r="N31" s="12"/>
      <c r="O31" s="229"/>
      <c r="P31" s="538"/>
    </row>
    <row r="32" spans="1:16" ht="12.6" customHeight="1" x14ac:dyDescent="0.25">
      <c r="A32" s="76"/>
      <c r="B32" s="76"/>
      <c r="C32" s="76"/>
      <c r="D32" s="259" t="s">
        <v>221</v>
      </c>
      <c r="M32" s="240" t="str">
        <f>'ODFGFUND-P'!I15</f>
        <v>No correction needed</v>
      </c>
      <c r="N32" s="12"/>
      <c r="O32" s="229"/>
      <c r="P32" s="538"/>
    </row>
    <row r="33" spans="1:16" ht="12.6" customHeight="1" x14ac:dyDescent="0.25">
      <c r="A33" s="85"/>
      <c r="B33" s="85"/>
      <c r="C33" s="85"/>
      <c r="D33" s="262" t="s">
        <v>230</v>
      </c>
      <c r="M33" s="240" t="str">
        <f>'ODFGFUND-P'!I16</f>
        <v>No correction needed</v>
      </c>
      <c r="N33" s="12"/>
      <c r="O33" s="229"/>
      <c r="P33" s="538"/>
    </row>
    <row r="34" spans="1:16" ht="12.6" customHeight="1" thickBot="1" x14ac:dyDescent="0.3">
      <c r="A34" s="76"/>
      <c r="B34" s="76"/>
      <c r="C34" s="76"/>
      <c r="D34" s="259" t="s">
        <v>231</v>
      </c>
      <c r="M34" s="241" t="str">
        <f>'ODFGFUND-P'!I17</f>
        <v>No correction needed</v>
      </c>
      <c r="N34" s="233"/>
      <c r="O34" s="234"/>
      <c r="P34" s="539"/>
    </row>
    <row r="35" spans="1:16" ht="12.6" customHeight="1" thickTop="1" x14ac:dyDescent="0.2">
      <c r="A35" s="76"/>
      <c r="B35" s="76"/>
      <c r="C35" s="76"/>
      <c r="D35" s="259" t="s">
        <v>232</v>
      </c>
      <c r="M35" s="12"/>
      <c r="N35" s="12"/>
      <c r="O35" s="12"/>
    </row>
    <row r="36" spans="1:16" ht="12.6" customHeight="1" x14ac:dyDescent="0.2">
      <c r="A36" s="76"/>
      <c r="B36" s="76"/>
      <c r="C36" s="76"/>
      <c r="D36" s="259" t="s">
        <v>233</v>
      </c>
      <c r="M36" s="12"/>
      <c r="N36" s="12"/>
      <c r="O36" s="12"/>
    </row>
    <row r="37" spans="1:16" ht="12.6" customHeight="1" x14ac:dyDescent="0.2">
      <c r="A37" s="76"/>
      <c r="B37" s="76"/>
      <c r="C37" s="76"/>
      <c r="D37" s="259" t="s">
        <v>102</v>
      </c>
      <c r="M37" s="12"/>
      <c r="N37" s="13"/>
      <c r="O37" s="12"/>
    </row>
    <row r="38" spans="1:16" ht="12.6" customHeight="1" x14ac:dyDescent="0.2">
      <c r="A38" s="76"/>
      <c r="B38" s="76"/>
      <c r="C38" s="76"/>
      <c r="D38" s="259" t="s">
        <v>234</v>
      </c>
      <c r="M38" s="12"/>
      <c r="N38" s="12"/>
      <c r="O38" s="12"/>
    </row>
    <row r="39" spans="1:16" ht="12.6" customHeight="1" x14ac:dyDescent="0.25">
      <c r="A39" s="76"/>
      <c r="B39" s="76"/>
      <c r="C39" s="76"/>
      <c r="D39" s="281" t="s">
        <v>235</v>
      </c>
      <c r="M39" s="12"/>
      <c r="N39" s="12"/>
      <c r="O39" s="12"/>
    </row>
    <row r="40" spans="1:16" ht="12.6" customHeight="1" x14ac:dyDescent="0.2">
      <c r="A40" s="76"/>
      <c r="B40" s="76"/>
      <c r="C40" s="76"/>
      <c r="D40" s="259" t="s">
        <v>236</v>
      </c>
      <c r="M40" s="12"/>
      <c r="N40" s="12"/>
      <c r="O40" s="12"/>
    </row>
    <row r="41" spans="1:16" ht="12.6" customHeight="1" x14ac:dyDescent="0.2">
      <c r="A41" s="76"/>
      <c r="B41" s="76"/>
      <c r="C41" s="76"/>
      <c r="D41" s="259" t="s">
        <v>237</v>
      </c>
      <c r="M41" s="12"/>
      <c r="N41" s="12"/>
      <c r="O41" s="12"/>
    </row>
    <row r="42" spans="1:16" ht="12.6" customHeight="1" x14ac:dyDescent="0.2">
      <c r="A42" s="76"/>
      <c r="B42" s="76"/>
      <c r="C42" s="76"/>
      <c r="D42" s="259" t="s">
        <v>238</v>
      </c>
      <c r="M42" s="12"/>
      <c r="N42" s="13"/>
      <c r="O42" s="12"/>
    </row>
    <row r="43" spans="1:16" ht="12.6" customHeight="1" x14ac:dyDescent="0.2">
      <c r="A43" s="76"/>
      <c r="B43" s="76"/>
      <c r="C43" s="76"/>
      <c r="D43" s="259" t="s">
        <v>239</v>
      </c>
      <c r="M43" s="12"/>
      <c r="N43" s="12"/>
      <c r="O43" s="12"/>
    </row>
    <row r="44" spans="1:16" ht="12.6" customHeight="1" x14ac:dyDescent="0.2">
      <c r="A44" s="76"/>
      <c r="B44" s="76"/>
      <c r="C44" s="76"/>
      <c r="D44" s="259" t="s">
        <v>240</v>
      </c>
      <c r="M44" s="12"/>
      <c r="N44" s="12"/>
      <c r="O44" s="12"/>
    </row>
    <row r="45" spans="1:16" ht="12.6" customHeight="1" x14ac:dyDescent="0.2">
      <c r="A45" s="76"/>
      <c r="B45" s="76"/>
      <c r="C45" s="76"/>
      <c r="D45" s="259" t="s">
        <v>241</v>
      </c>
      <c r="M45" s="218"/>
      <c r="N45" s="218"/>
      <c r="O45" s="218"/>
    </row>
    <row r="46" spans="1:16" ht="12.6" customHeight="1" x14ac:dyDescent="0.2">
      <c r="A46" s="76"/>
      <c r="B46" s="76"/>
      <c r="C46" s="76"/>
      <c r="D46" s="259" t="s">
        <v>242</v>
      </c>
      <c r="M46" s="12"/>
      <c r="N46" s="12"/>
      <c r="O46" s="12"/>
    </row>
    <row r="47" spans="1:16" ht="12.6" customHeight="1" x14ac:dyDescent="0.2">
      <c r="A47" s="76"/>
      <c r="B47" s="76"/>
      <c r="C47" s="76"/>
      <c r="D47" s="259" t="s">
        <v>243</v>
      </c>
      <c r="M47" s="12"/>
      <c r="N47" s="12"/>
    </row>
    <row r="48" spans="1:16" ht="12.6" customHeight="1" x14ac:dyDescent="0.2">
      <c r="A48" s="76"/>
      <c r="B48" s="76"/>
      <c r="C48" s="76"/>
      <c r="D48" s="259" t="s">
        <v>221</v>
      </c>
      <c r="M48" s="12"/>
      <c r="N48" s="12"/>
    </row>
    <row r="49" spans="1:15" ht="12.6" customHeight="1" x14ac:dyDescent="0.2">
      <c r="A49" s="84"/>
      <c r="B49" s="84"/>
      <c r="C49" s="84"/>
      <c r="D49" s="262" t="s">
        <v>244</v>
      </c>
    </row>
    <row r="50" spans="1:15" ht="12.6" customHeight="1" x14ac:dyDescent="0.2">
      <c r="A50" s="76"/>
      <c r="B50" s="76"/>
      <c r="C50" s="76"/>
      <c r="D50" s="259" t="s">
        <v>244</v>
      </c>
    </row>
    <row r="51" spans="1:15" ht="10.5" customHeight="1" x14ac:dyDescent="0.2">
      <c r="A51" s="84"/>
      <c r="B51" s="84"/>
      <c r="C51" s="84"/>
      <c r="D51" s="262" t="s">
        <v>245</v>
      </c>
    </row>
    <row r="52" spans="1:15" ht="10.5" customHeight="1" x14ac:dyDescent="0.2">
      <c r="A52" s="76"/>
      <c r="B52" s="76"/>
      <c r="C52" s="76"/>
      <c r="D52" s="259" t="s">
        <v>245</v>
      </c>
    </row>
    <row r="53" spans="1:15" ht="11.25" customHeight="1" x14ac:dyDescent="0.2">
      <c r="A53" s="76"/>
      <c r="B53" s="76"/>
      <c r="C53" s="76"/>
      <c r="D53" s="259" t="s">
        <v>246</v>
      </c>
    </row>
    <row r="54" spans="1:15" ht="10.5" customHeight="1" x14ac:dyDescent="0.2">
      <c r="A54" s="76"/>
      <c r="B54" s="76"/>
      <c r="C54" s="76"/>
      <c r="D54" s="259" t="s">
        <v>247</v>
      </c>
    </row>
    <row r="55" spans="1:15" ht="10.5" customHeight="1" x14ac:dyDescent="0.2">
      <c r="A55" s="76"/>
      <c r="B55" s="76"/>
      <c r="C55" s="76"/>
      <c r="D55" s="259" t="s">
        <v>248</v>
      </c>
    </row>
    <row r="56" spans="1:15" ht="9" customHeight="1" x14ac:dyDescent="0.2">
      <c r="A56" s="76"/>
      <c r="B56" s="76"/>
      <c r="C56" s="76"/>
      <c r="D56" s="259" t="s">
        <v>249</v>
      </c>
    </row>
    <row r="57" spans="1:15" ht="11.25" customHeight="1" x14ac:dyDescent="0.2">
      <c r="A57" s="84"/>
      <c r="B57" s="84"/>
      <c r="C57" s="84"/>
      <c r="D57" s="262" t="s">
        <v>250</v>
      </c>
    </row>
    <row r="58" spans="1:15" ht="12.6" customHeight="1" x14ac:dyDescent="0.2">
      <c r="A58" s="76"/>
      <c r="B58" s="76"/>
      <c r="C58" s="76"/>
      <c r="D58" s="259" t="s">
        <v>251</v>
      </c>
    </row>
    <row r="59" spans="1:15" ht="11.25" customHeight="1" x14ac:dyDescent="0.2">
      <c r="A59" s="84"/>
      <c r="B59" s="76"/>
      <c r="C59" s="84"/>
      <c r="D59" s="259" t="s">
        <v>106</v>
      </c>
    </row>
    <row r="60" spans="1:15" ht="10.5" customHeight="1" thickBot="1" x14ac:dyDescent="0.25">
      <c r="A60" s="207">
        <f>SUM(A15:A59)</f>
        <v>0</v>
      </c>
      <c r="B60" s="207">
        <f>SUM(B15:B59)</f>
        <v>0</v>
      </c>
      <c r="C60" s="207">
        <f>SUM(C15:C59)</f>
        <v>0</v>
      </c>
      <c r="D60" s="263" t="s">
        <v>98</v>
      </c>
    </row>
    <row r="61" spans="1:15" ht="12" customHeight="1" thickTop="1" x14ac:dyDescent="0.25">
      <c r="A61" s="205"/>
      <c r="B61" s="206"/>
      <c r="C61" s="206"/>
      <c r="D61" s="282" t="s">
        <v>416</v>
      </c>
    </row>
    <row r="62" spans="1:15" ht="6" customHeight="1" x14ac:dyDescent="0.2">
      <c r="B62" s="238"/>
      <c r="D62" s="258"/>
    </row>
    <row r="63" spans="1:15" s="277" customFormat="1" ht="42" customHeight="1" x14ac:dyDescent="0.25">
      <c r="A63" s="274" t="s">
        <v>270</v>
      </c>
      <c r="B63" s="275"/>
      <c r="C63" s="275"/>
      <c r="D63" s="279"/>
      <c r="M63" s="280"/>
      <c r="N63" s="280"/>
      <c r="O63" s="280"/>
    </row>
    <row r="64" spans="1:15" ht="6" customHeight="1" x14ac:dyDescent="0.2">
      <c r="D64" s="258"/>
    </row>
    <row r="65" spans="1:18" x14ac:dyDescent="0.2">
      <c r="A65" s="264" t="s">
        <v>297</v>
      </c>
      <c r="B65" s="264" t="s">
        <v>298</v>
      </c>
      <c r="C65" s="260" t="s">
        <v>415</v>
      </c>
      <c r="D65" s="265"/>
    </row>
    <row r="66" spans="1:18" x14ac:dyDescent="0.2">
      <c r="A66" s="76"/>
      <c r="B66" s="76"/>
      <c r="C66" s="76"/>
      <c r="D66" s="259" t="s">
        <v>395</v>
      </c>
    </row>
    <row r="67" spans="1:18" x14ac:dyDescent="0.2">
      <c r="A67" s="76"/>
      <c r="B67" s="76"/>
      <c r="C67" s="76"/>
      <c r="D67" s="259" t="s">
        <v>412</v>
      </c>
    </row>
    <row r="68" spans="1:18" x14ac:dyDescent="0.2">
      <c r="A68" s="197"/>
      <c r="B68" s="197"/>
      <c r="C68" s="197"/>
      <c r="D68" s="266"/>
    </row>
    <row r="69" spans="1:18" x14ac:dyDescent="0.2">
      <c r="A69" s="76"/>
      <c r="B69" s="77">
        <f>SUM(A78:A82)</f>
        <v>0</v>
      </c>
      <c r="C69" s="76"/>
      <c r="D69" s="259" t="str">
        <f>'Control Worksheet'!B6&amp;" (Title XIX only in DMC)"</f>
        <v>Group Face to Face Visits (Title XIX only in DMC)</v>
      </c>
    </row>
    <row r="70" spans="1:18" x14ac:dyDescent="0.2">
      <c r="A70" s="84"/>
      <c r="B70" s="78">
        <f>SUM(A84:A85)</f>
        <v>0</v>
      </c>
      <c r="C70" s="84"/>
      <c r="D70" s="259" t="str">
        <f>"Non-Title XIX DMC Units ("&amp;'Control Worksheet'!B6&amp;")"</f>
        <v>Non-Title XIX DMC Units (Group Face to Face Visits)</v>
      </c>
    </row>
    <row r="71" spans="1:18" x14ac:dyDescent="0.2">
      <c r="A71" s="84"/>
      <c r="B71" s="78">
        <f>-SUM(B78:C85)</f>
        <v>0</v>
      </c>
      <c r="C71" s="78">
        <f>IF('Control Worksheet'!B13,-B71,0)</f>
        <v>0</v>
      </c>
      <c r="D71" s="259" t="s">
        <v>322</v>
      </c>
    </row>
    <row r="72" spans="1:18" x14ac:dyDescent="0.2">
      <c r="A72" s="76"/>
      <c r="B72" s="450"/>
      <c r="C72" s="450"/>
      <c r="D72" s="259" t="str">
        <f>IF(ISERR(FIND("GROUP COUNSELING",UPPER($A$2))),"","Group Sessions")</f>
        <v>Group Sessions</v>
      </c>
    </row>
    <row r="73" spans="1:18" x14ac:dyDescent="0.2">
      <c r="A73" s="76"/>
      <c r="B73" s="444"/>
      <c r="C73" s="450"/>
      <c r="D73" s="259" t="str">
        <f>IF('Control Worksheet'!B11,"Staff Hours","")</f>
        <v>Staff Hours</v>
      </c>
    </row>
    <row r="74" spans="1:18" x14ac:dyDescent="0.2">
      <c r="D74" s="258"/>
    </row>
    <row r="75" spans="1:18" x14ac:dyDescent="0.2">
      <c r="A75" s="83" t="s">
        <v>255</v>
      </c>
      <c r="D75" s="258"/>
    </row>
    <row r="76" spans="1:18" x14ac:dyDescent="0.2">
      <c r="A76" s="83"/>
      <c r="D76" s="258"/>
    </row>
    <row r="77" spans="1:18" ht="10.5" customHeight="1" x14ac:dyDescent="0.2">
      <c r="A77" s="264" t="s">
        <v>320</v>
      </c>
      <c r="B77" s="264" t="s">
        <v>321</v>
      </c>
      <c r="C77" s="264" t="s">
        <v>402</v>
      </c>
      <c r="D77" s="264"/>
      <c r="E77" s="489"/>
      <c r="F77" s="258"/>
      <c r="M77" s="81"/>
      <c r="P77"/>
    </row>
    <row r="78" spans="1:18" ht="21.75" customHeight="1" x14ac:dyDescent="0.2">
      <c r="A78" s="76"/>
      <c r="B78" s="76"/>
      <c r="C78" s="540" t="s">
        <v>403</v>
      </c>
      <c r="D78" s="492" t="s">
        <v>396</v>
      </c>
      <c r="E78" s="65"/>
      <c r="M78" s="81"/>
      <c r="N78" s="81"/>
      <c r="O78" s="81"/>
      <c r="P78"/>
      <c r="Q78"/>
      <c r="R78"/>
    </row>
    <row r="79" spans="1:18" ht="12.75" hidden="1" customHeight="1" x14ac:dyDescent="0.2">
      <c r="A79" s="76"/>
      <c r="B79" s="76"/>
      <c r="C79" s="541"/>
      <c r="D79" s="454"/>
      <c r="E79" s="490" t="s">
        <v>375</v>
      </c>
      <c r="M79" s="81"/>
      <c r="N79" s="81"/>
      <c r="O79" s="81"/>
      <c r="P79"/>
      <c r="Q79"/>
      <c r="R79"/>
    </row>
    <row r="80" spans="1:18" ht="12.75" hidden="1" customHeight="1" x14ac:dyDescent="0.2">
      <c r="A80" s="84"/>
      <c r="B80" s="84"/>
      <c r="C80" s="541"/>
      <c r="D80" s="455"/>
      <c r="E80" s="491"/>
      <c r="M80" s="81"/>
      <c r="N80" s="81"/>
      <c r="O80" s="81"/>
      <c r="P80"/>
      <c r="Q80"/>
      <c r="R80"/>
    </row>
    <row r="81" spans="1:18" ht="12.75" hidden="1" customHeight="1" x14ac:dyDescent="0.2">
      <c r="A81" s="84"/>
      <c r="B81" s="84"/>
      <c r="C81" s="541"/>
      <c r="D81" s="455"/>
      <c r="E81" s="491" t="s">
        <v>376</v>
      </c>
      <c r="M81" s="81"/>
      <c r="N81" s="81"/>
      <c r="O81" s="81"/>
      <c r="P81"/>
      <c r="Q81"/>
      <c r="R81"/>
    </row>
    <row r="82" spans="1:18" ht="12.75" hidden="1" customHeight="1" x14ac:dyDescent="0.2">
      <c r="A82" s="84"/>
      <c r="B82" s="84"/>
      <c r="C82" s="541"/>
      <c r="D82" s="455"/>
      <c r="E82" s="491" t="s">
        <v>377</v>
      </c>
      <c r="M82" s="81"/>
      <c r="N82" s="81"/>
      <c r="O82" s="81"/>
      <c r="P82"/>
      <c r="Q82"/>
      <c r="R82"/>
    </row>
    <row r="83" spans="1:18" ht="12.75" hidden="1" customHeight="1" x14ac:dyDescent="0.2">
      <c r="A83" s="84"/>
      <c r="B83" s="84"/>
      <c r="C83" s="541"/>
      <c r="D83" s="455"/>
      <c r="E83" s="491"/>
      <c r="M83" s="81"/>
      <c r="N83" s="81"/>
      <c r="O83" s="81"/>
      <c r="P83"/>
      <c r="Q83"/>
      <c r="R83"/>
    </row>
    <row r="84" spans="1:18" ht="24" customHeight="1" x14ac:dyDescent="0.2">
      <c r="A84" s="76"/>
      <c r="B84" s="76"/>
      <c r="C84" s="542"/>
      <c r="D84" s="492" t="s">
        <v>397</v>
      </c>
      <c r="E84" s="65"/>
      <c r="M84" s="81"/>
      <c r="N84" s="81"/>
      <c r="O84" s="81"/>
      <c r="P84"/>
      <c r="Q84"/>
      <c r="R84"/>
    </row>
    <row r="85" spans="1:18" hidden="1" x14ac:dyDescent="0.2">
      <c r="A85" s="444"/>
      <c r="B85" s="444"/>
      <c r="C85" s="445"/>
      <c r="D85" s="261" t="s">
        <v>378</v>
      </c>
      <c r="M85" s="81"/>
      <c r="P85"/>
    </row>
    <row r="86" spans="1:18" x14ac:dyDescent="0.2">
      <c r="D86" s="258"/>
      <c r="L86"/>
      <c r="O86" s="81"/>
    </row>
    <row r="87" spans="1:18" ht="38.25" x14ac:dyDescent="0.2">
      <c r="A87" s="484" t="s">
        <v>256</v>
      </c>
      <c r="B87" s="88" t="s">
        <v>310</v>
      </c>
      <c r="C87" s="88" t="s">
        <v>319</v>
      </c>
      <c r="D87" s="258"/>
      <c r="M87" s="81"/>
      <c r="P87"/>
    </row>
    <row r="88" spans="1:18" x14ac:dyDescent="0.2">
      <c r="A88" s="77">
        <f>B66</f>
        <v>0</v>
      </c>
      <c r="B88" s="487">
        <f>A88-C88</f>
        <v>0</v>
      </c>
      <c r="C88" s="498"/>
      <c r="D88" s="485" t="s">
        <v>257</v>
      </c>
      <c r="M88" s="81"/>
      <c r="P88"/>
    </row>
    <row r="89" spans="1:18" x14ac:dyDescent="0.2">
      <c r="A89" s="77">
        <f>B67</f>
        <v>0</v>
      </c>
      <c r="B89" s="77">
        <f>A89-C89</f>
        <v>0</v>
      </c>
      <c r="C89" s="499"/>
      <c r="D89" s="486" t="s">
        <v>102</v>
      </c>
      <c r="M89" s="81"/>
      <c r="P89"/>
    </row>
    <row r="90" spans="1:18" hidden="1" x14ac:dyDescent="0.2">
      <c r="D90" s="258"/>
      <c r="M90" s="81"/>
      <c r="P90"/>
    </row>
    <row r="91" spans="1:18" hidden="1" x14ac:dyDescent="0.2">
      <c r="A91" s="434"/>
      <c r="B91" s="422" t="str">
        <f>IF('Control Worksheet'!B12,"Prorated Rate","")</f>
        <v>Prorated Rate</v>
      </c>
      <c r="C91" s="423"/>
      <c r="D91" s="258"/>
      <c r="M91" s="81"/>
      <c r="P91"/>
    </row>
    <row r="92" spans="1:18" x14ac:dyDescent="0.2">
      <c r="A92" s="435" t="s">
        <v>385</v>
      </c>
      <c r="B92" s="82"/>
      <c r="C92" s="82"/>
      <c r="D92" s="258"/>
      <c r="M92" s="81"/>
      <c r="P92"/>
    </row>
    <row r="93" spans="1:18" x14ac:dyDescent="0.2">
      <c r="A93" s="447"/>
      <c r="B93" s="533" t="s">
        <v>387</v>
      </c>
      <c r="C93" s="534"/>
      <c r="D93" s="258"/>
      <c r="M93" s="81"/>
      <c r="P93"/>
    </row>
    <row r="94" spans="1:18" x14ac:dyDescent="0.2">
      <c r="A94" s="213">
        <v>61.33</v>
      </c>
      <c r="B94" s="198" t="s">
        <v>306</v>
      </c>
      <c r="C94" s="199"/>
      <c r="D94" s="258"/>
      <c r="M94" s="81"/>
      <c r="P94"/>
    </row>
    <row r="95" spans="1:18" x14ac:dyDescent="0.2">
      <c r="D95" s="535"/>
      <c r="M95" s="81"/>
      <c r="P95"/>
    </row>
    <row r="96" spans="1:18" x14ac:dyDescent="0.2">
      <c r="D96" s="536"/>
      <c r="M96" s="81"/>
      <c r="P96"/>
    </row>
    <row r="97" spans="4:17" x14ac:dyDescent="0.2">
      <c r="D97" s="536"/>
    </row>
    <row r="98" spans="4:17" x14ac:dyDescent="0.2">
      <c r="D98" s="536"/>
      <c r="M98" s="81"/>
      <c r="N98" s="81"/>
      <c r="P98"/>
      <c r="Q98"/>
    </row>
    <row r="99" spans="4:17" x14ac:dyDescent="0.2">
      <c r="D99" s="536"/>
      <c r="M99" s="81"/>
      <c r="N99" s="81"/>
      <c r="P99"/>
      <c r="Q99"/>
    </row>
    <row r="100" spans="4:17" x14ac:dyDescent="0.2">
      <c r="D100" s="536"/>
      <c r="M100" s="81"/>
      <c r="N100" s="81"/>
      <c r="P100"/>
      <c r="Q100"/>
    </row>
    <row r="101" spans="4:17" x14ac:dyDescent="0.2">
      <c r="D101" s="536"/>
      <c r="M101" s="81"/>
      <c r="N101" s="81"/>
      <c r="P101"/>
      <c r="Q101"/>
    </row>
    <row r="102" spans="4:17" x14ac:dyDescent="0.2">
      <c r="D102" s="536"/>
      <c r="M102" s="81"/>
      <c r="N102" s="81"/>
      <c r="P102"/>
      <c r="Q102"/>
    </row>
    <row r="103" spans="4:17" x14ac:dyDescent="0.2">
      <c r="D103" s="536"/>
      <c r="M103" s="81"/>
      <c r="N103" s="81"/>
      <c r="P103"/>
      <c r="Q103"/>
    </row>
    <row r="104" spans="4:17" x14ac:dyDescent="0.2">
      <c r="D104" s="258"/>
      <c r="M104" s="81"/>
      <c r="N104" s="81"/>
      <c r="P104"/>
      <c r="Q104"/>
    </row>
    <row r="105" spans="4:17" x14ac:dyDescent="0.2">
      <c r="D105" s="258"/>
      <c r="M105" s="81"/>
      <c r="N105" s="81"/>
      <c r="P105"/>
      <c r="Q105"/>
    </row>
    <row r="106" spans="4:17" x14ac:dyDescent="0.2">
      <c r="D106" s="258"/>
    </row>
    <row r="107" spans="4:17" x14ac:dyDescent="0.2">
      <c r="D107" s="258"/>
    </row>
    <row r="108" spans="4:17" x14ac:dyDescent="0.2">
      <c r="D108" s="258"/>
    </row>
    <row r="109" spans="4:17" x14ac:dyDescent="0.2">
      <c r="D109" s="258"/>
    </row>
    <row r="110" spans="4:17" x14ac:dyDescent="0.2">
      <c r="D110" s="258"/>
    </row>
    <row r="111" spans="4:17" x14ac:dyDescent="0.2">
      <c r="D111" s="258"/>
    </row>
    <row r="112" spans="4:17" x14ac:dyDescent="0.2">
      <c r="D112" s="258"/>
    </row>
    <row r="113" spans="4:4" x14ac:dyDescent="0.2">
      <c r="D113" s="258"/>
    </row>
    <row r="114" spans="4:4" x14ac:dyDescent="0.2">
      <c r="D114" s="258"/>
    </row>
    <row r="115" spans="4:4" x14ac:dyDescent="0.2">
      <c r="D115" s="258"/>
    </row>
    <row r="116" spans="4:4" x14ac:dyDescent="0.2">
      <c r="D116" s="258"/>
    </row>
  </sheetData>
  <sheetProtection password="CD5A" sheet="1"/>
  <mergeCells count="9">
    <mergeCell ref="P28:P34"/>
    <mergeCell ref="B8:C8"/>
    <mergeCell ref="C78:C84"/>
    <mergeCell ref="B4:C4"/>
    <mergeCell ref="B5:C5"/>
    <mergeCell ref="B6:C6"/>
    <mergeCell ref="B7:C7"/>
    <mergeCell ref="B93:C93"/>
    <mergeCell ref="D95:D103"/>
  </mergeCells>
  <phoneticPr fontId="0" type="noConversion"/>
  <conditionalFormatting sqref="E79">
    <cfRule type="expression" dxfId="13" priority="2" stopIfTrue="1">
      <formula>($P$20&lt;0)</formula>
    </cfRule>
  </conditionalFormatting>
  <conditionalFormatting sqref="E80">
    <cfRule type="expression" dxfId="12" priority="3" stopIfTrue="1">
      <formula>($P$21&lt;0)</formula>
    </cfRule>
  </conditionalFormatting>
  <conditionalFormatting sqref="E81">
    <cfRule type="expression" dxfId="11" priority="4" stopIfTrue="1">
      <formula>($P$22&lt;0)</formula>
    </cfRule>
  </conditionalFormatting>
  <conditionalFormatting sqref="E82">
    <cfRule type="expression" dxfId="10" priority="5" stopIfTrue="1">
      <formula>($P$23&lt;0)</formula>
    </cfRule>
  </conditionalFormatting>
  <conditionalFormatting sqref="E83">
    <cfRule type="expression" dxfId="9" priority="6" stopIfTrue="1">
      <formula>($P$24&lt;0)</formula>
    </cfRule>
  </conditionalFormatting>
  <conditionalFormatting sqref="B91:B93">
    <cfRule type="expression" dxfId="8" priority="1" stopIfTrue="1">
      <formula>$N$23="ERROR"</formula>
    </cfRule>
  </conditionalFormatting>
  <conditionalFormatting sqref="D69">
    <cfRule type="expression" dxfId="7" priority="7" stopIfTrue="1">
      <formula>$N$20="ERROR"</formula>
    </cfRule>
  </conditionalFormatting>
  <conditionalFormatting sqref="N19:N25">
    <cfRule type="cellIs" dxfId="6" priority="8" stopIfTrue="1" operator="equal">
      <formula>"OKAY"</formula>
    </cfRule>
  </conditionalFormatting>
  <conditionalFormatting sqref="M28:M34">
    <cfRule type="cellIs" dxfId="5" priority="9" stopIfTrue="1" operator="equal">
      <formula>"No correction needed"</formula>
    </cfRule>
  </conditionalFormatting>
  <conditionalFormatting sqref="D59">
    <cfRule type="expression" dxfId="4" priority="10" stopIfTrue="1">
      <formula>$N$24="ERROR"</formula>
    </cfRule>
  </conditionalFormatting>
  <conditionalFormatting sqref="A72:D72">
    <cfRule type="expression" dxfId="3" priority="11" stopIfTrue="1">
      <formula>ISERR(FIND("GROUP COUNSELING",UPPER($A$2)))</formula>
    </cfRule>
  </conditionalFormatting>
  <conditionalFormatting sqref="A73:C73">
    <cfRule type="expression" dxfId="2" priority="12" stopIfTrue="1">
      <formula>NOT($D$73="Staff Hours")</formula>
    </cfRule>
  </conditionalFormatting>
  <conditionalFormatting sqref="D73">
    <cfRule type="expression" dxfId="1" priority="13" stopIfTrue="1">
      <formula>$N$19="ERROR"</formula>
    </cfRule>
    <cfRule type="cellIs" dxfId="0" priority="14" stopIfTrue="1" operator="notEqual">
      <formula>"Staff Hours"</formula>
    </cfRule>
  </conditionalFormatting>
  <dataValidations count="5">
    <dataValidation type="decimal" operator="lessThan" allowBlank="1" showInputMessage="1" showErrorMessage="1" promptTitle="DMC Prorated Rate" prompt="Enter prorated rate if less than SMA." sqref="A91">
      <formula1>A94</formula1>
    </dataValidation>
    <dataValidation type="decimal" operator="lessThan" allowBlank="1" showInputMessage="1" showErrorMessage="1" promptTitle="DMC Prorated or UCC Rate" prompt="Enter Prorated or Usual and Customary Charge rate if less than SMA." sqref="A93">
      <formula1>A94</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sqref="A16:C17 B59 A58:C58 A52:C56 A50:C50 A34:C48 A25:C32 B21:B23 A20:A23 C20:C23 A19:C19">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DMC Direct Costs" prompt="Enter the amount of DMC direct costs included in the costs detailed above." sqref="B61">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NNA Direct Costs" prompt="Enter the amount of NNA direct costs included in the costs detailed above." sqref="C61">
      <formula1>0</formula1>
    </dataValidation>
  </dataValidations>
  <printOptions horizontalCentered="1"/>
  <pageMargins left="0.25" right="0.25" top="0.75" bottom="0.75" header="0.3" footer="0.3"/>
  <pageSetup scale="83" orientation="portrait" r:id="rId1"/>
  <headerFooter alignWithMargins="0">
    <oddHeader>&amp;LState of California - Health and Human Services Agency&amp;RDepartment of Health Care Services
Document 2P(f)</oddHeader>
    <oddFooter>&amp;LDHCS MC      (02/13)
&amp;F - &amp;A</oddFooter>
  </headerFooter>
  <rowBreaks count="1" manualBreakCount="1">
    <brk id="62" max="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8345B79-C0A1-45B1-9BAB-1B8D33E4B010}"/>
</file>

<file path=customXml/itemProps2.xml><?xml version="1.0" encoding="utf-8"?>
<ds:datastoreItem xmlns:ds="http://schemas.openxmlformats.org/officeDocument/2006/customXml" ds:itemID="{D58C715D-5667-4C82-B813-9A363147796E}">
  <ds:schemaRefs>
    <ds:schemaRef ds:uri="http://schemas.microsoft.com/sharepoint/v3/contenttype/forms"/>
  </ds:schemaRefs>
</ds:datastoreItem>
</file>

<file path=customXml/itemProps3.xml><?xml version="1.0" encoding="utf-8"?>
<ds:datastoreItem xmlns:ds="http://schemas.openxmlformats.org/officeDocument/2006/customXml" ds:itemID="{640406D5-959A-427B-91BB-D91046D2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CB22EE7-DE8D-4970-BF96-E6EAEAA8E94D}">
  <ds:schemaRefs>
    <ds:schemaRef ds:uri="http://schemas.microsoft.com/office/2006/metadata/longProperties"/>
  </ds:schemaRefs>
</ds:datastoreItem>
</file>

<file path=customXml/itemProps5.xml><?xml version="1.0" encoding="utf-8"?>
<ds:datastoreItem xmlns:ds="http://schemas.openxmlformats.org/officeDocument/2006/customXml" ds:itemID="{DCC6CD58-9149-4910-AEC2-0B74F66D9D4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20</vt:i4>
      </vt:variant>
    </vt:vector>
  </HeadingPairs>
  <TitlesOfParts>
    <vt:vector size="25" baseType="lpstr">
      <vt:lpstr>Comparison</vt:lpstr>
      <vt:lpstr>ODFGFUND-P</vt:lpstr>
      <vt:lpstr>7990ODFG-P</vt:lpstr>
      <vt:lpstr>7895ODFG-P</vt:lpstr>
      <vt:lpstr>Data Entry</vt:lpstr>
      <vt:lpstr>'7990ODFG-P'!\I</vt:lpstr>
      <vt:lpstr>'7990ODFG-P'!\I2</vt:lpstr>
      <vt:lpstr>'7990ODFG-P'!\I3</vt:lpstr>
      <vt:lpstr>'7990ODFG-P'!\I4</vt:lpstr>
      <vt:lpstr>'7990ODFG-P'!\I5</vt:lpstr>
      <vt:lpstr>'7990ODFG-P'!\I6</vt:lpstr>
      <vt:lpstr>'7990ODFG-P'!\I7</vt:lpstr>
      <vt:lpstr>'7990ODFG-P'!\I8</vt:lpstr>
      <vt:lpstr>'7990ODFG-P'!\I9</vt:lpstr>
      <vt:lpstr>'7990ODFG-P'!5</vt:lpstr>
      <vt:lpstr>BACKA</vt:lpstr>
      <vt:lpstr>BACKD</vt:lpstr>
      <vt:lpstr>BLOCK</vt:lpstr>
      <vt:lpstr>'7895ODFG-P'!Print_Area</vt:lpstr>
      <vt:lpstr>'7990ODFG-P'!Print_Area</vt:lpstr>
      <vt:lpstr>'Data Entry'!Print_Area</vt:lpstr>
      <vt:lpstr>'ODFGFUND-P'!Print_Area</vt:lpstr>
      <vt:lpstr>'7895ODFG-P'!Print_Titles</vt:lpstr>
      <vt:lpstr>'Data Entry'!Print_Titles</vt:lpstr>
      <vt:lpstr>'7990ODFG-P'!REPORT</vt:lpstr>
    </vt:vector>
  </TitlesOfParts>
  <Company>Department of Alcohol &amp; Drug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 2P(f) - 1213_ODF_Group-Perinatal-county</dc:title>
  <dc:creator>ADP</dc:creator>
  <cp:keywords>dmc,drug medi-cal,fiscal,fmab,contract </cp:keywords>
  <cp:lastModifiedBy>westj</cp:lastModifiedBy>
  <cp:lastPrinted>2013-02-26T16:03:07Z</cp:lastPrinted>
  <dcterms:created xsi:type="dcterms:W3CDTF">1999-07-07T16:24:46Z</dcterms:created>
  <dcterms:modified xsi:type="dcterms:W3CDTF">2020-11-11T04:09:05Z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543700.000000000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DHCSDOC-2129867196-851</vt:lpwstr>
  </property>
  <property fmtid="{D5CDD505-2E9C-101B-9397-08002B2CF9AE}" pid="14" name="_dlc_DocIdItemGuid">
    <vt:lpwstr>76a56eb3-987b-4dd7-96ca-d9f6a0a6cd8d</vt:lpwstr>
  </property>
  <property fmtid="{D5CDD505-2E9C-101B-9397-08002B2CF9AE}" pid="15" name="_dlc_DocIdUrl">
    <vt:lpwstr>http://dhcs2016prod:88/provgovpart/_layouts/15/DocIdRedir.aspx?ID=DHCSDOC-2129867196-851, DHCSDOC-2129867196-851</vt:lpwstr>
  </property>
  <property fmtid="{D5CDD505-2E9C-101B-9397-08002B2CF9AE}" pid="16" name="ContentTypeId">
    <vt:lpwstr>0x0101000DD778A44A894D44A57135C48A267F0A</vt:lpwstr>
  </property>
</Properties>
</file>