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xl/tables/table3.xml" ContentType="application/vnd.openxmlformats-officedocument.spreadsheetml.table+xml"/>
  <Override PartName="/xl/tables/table2.xml" ContentType="application/vnd.openxmlformats-officedocument.spreadsheetml.tab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fileSharing readOnlyRecommended="1"/>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163" documentId="11_2E5F0F21B463A378D7FE63A2F5CEBA503C2FD621" xr6:coauthVersionLast="47" xr6:coauthVersionMax="47" xr10:uidLastSave="{96426153-CC8B-4D40-B65F-A0B7804F796D}"/>
  <workbookProtection workbookAlgorithmName="SHA-512" workbookHashValue="x/q2PigtysRmv6m7wSChmS+Pdad2zK1BiFffoVDNrC69tgDURnMBOaOgtsESm2AuSr1XasyCf6ISVowIMixOCQ==" workbookSaltValue="xqbo/OvBAvQYhHEw3BGjzw==" workbookSpinCount="100000" lockStructure="1"/>
  <bookViews>
    <workbookView xWindow="28680" yWindow="-5520" windowWidth="38640" windowHeight="21240" xr2:uid="{00000000-000D-0000-FFFF-FFFF00000000}"/>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TitleRegion1.a6.c39.3">'Pt. III MCP Landscape Analysis'!$A$6</definedName>
    <definedName name="TitleRegion1.a6.e7.1">Table3[[#Headers],[MCP Name]]</definedName>
    <definedName name="TitleRegion2.a9.g51.1">Table223[[#Headers],[Priority Area]]</definedName>
    <definedName name="TitleRegion2.e6.n39.3">'Pt. III MCP Landscape Analysis'!$E$6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6" i="4" l="1"/>
  <c r="M35" i="4"/>
  <c r="M34" i="4"/>
  <c r="M33" i="4"/>
  <c r="M32" i="4"/>
  <c r="M31" i="4"/>
  <c r="M30" i="4"/>
  <c r="M29" i="4"/>
  <c r="L36" i="4"/>
  <c r="L35" i="4"/>
  <c r="L34" i="4"/>
  <c r="L33" i="4"/>
  <c r="L31" i="4"/>
  <c r="L30" i="4"/>
  <c r="L29" i="4"/>
  <c r="K35" i="4"/>
  <c r="K31" i="4"/>
  <c r="K30" i="4"/>
  <c r="K29" i="4"/>
  <c r="J36" i="4"/>
  <c r="J35" i="4"/>
  <c r="J34" i="4"/>
  <c r="J33" i="4"/>
  <c r="J32" i="4"/>
  <c r="J31" i="4"/>
  <c r="J30" i="4"/>
  <c r="J29" i="4"/>
  <c r="I36" i="4"/>
  <c r="I35" i="4"/>
  <c r="I34" i="4"/>
  <c r="I33" i="4"/>
  <c r="I32" i="4"/>
  <c r="I31" i="4"/>
  <c r="I30" i="4"/>
  <c r="I29" i="4"/>
  <c r="H36" i="4"/>
  <c r="H35" i="4"/>
  <c r="H31" i="4"/>
  <c r="H30" i="4"/>
  <c r="H29" i="4"/>
  <c r="G36" i="4"/>
  <c r="G35" i="4"/>
  <c r="G34" i="4"/>
  <c r="G33" i="4"/>
  <c r="G32" i="4"/>
  <c r="G31" i="4"/>
  <c r="G30" i="4"/>
  <c r="G29" i="4"/>
  <c r="F36" i="4"/>
  <c r="F35" i="4"/>
  <c r="F34" i="4"/>
  <c r="F33" i="4"/>
  <c r="F32" i="4"/>
  <c r="F31" i="4"/>
  <c r="F30" i="4"/>
  <c r="F29" i="4"/>
  <c r="M25" i="4"/>
  <c r="M24" i="4"/>
  <c r="L25" i="4"/>
  <c r="L24" i="4"/>
  <c r="K25" i="4"/>
  <c r="K24" i="4"/>
  <c r="J25" i="4"/>
  <c r="J24" i="4"/>
  <c r="I25" i="4"/>
  <c r="I24" i="4"/>
  <c r="H25" i="4"/>
  <c r="H24" i="4"/>
  <c r="G25" i="4"/>
  <c r="G24" i="4"/>
  <c r="F27" i="4"/>
  <c r="F25" i="4"/>
  <c r="F24" i="4"/>
  <c r="M22" i="4"/>
  <c r="M21" i="4"/>
  <c r="M20" i="4"/>
  <c r="M19" i="4"/>
  <c r="M18" i="4"/>
  <c r="M17" i="4"/>
  <c r="M16" i="4"/>
  <c r="M15" i="4"/>
  <c r="M14" i="4"/>
  <c r="L20" i="4"/>
  <c r="L19" i="4"/>
  <c r="L18" i="4"/>
  <c r="L17" i="4"/>
  <c r="L16" i="4"/>
  <c r="L15" i="4"/>
  <c r="L14" i="4"/>
  <c r="K18" i="4"/>
  <c r="K17" i="4"/>
  <c r="K15" i="4"/>
  <c r="J22" i="4"/>
  <c r="J21" i="4"/>
  <c r="J20" i="4"/>
  <c r="J19" i="4"/>
  <c r="J18" i="4"/>
  <c r="J17" i="4"/>
  <c r="J16" i="4"/>
  <c r="J15" i="4"/>
  <c r="J14" i="4"/>
  <c r="I20" i="4"/>
  <c r="I19" i="4"/>
  <c r="I17" i="4"/>
  <c r="I16" i="4"/>
  <c r="I15" i="4"/>
  <c r="I14" i="4"/>
  <c r="H22" i="4"/>
  <c r="H20" i="4"/>
  <c r="H19" i="4"/>
  <c r="H17" i="4"/>
  <c r="H16" i="4"/>
  <c r="H15" i="4"/>
  <c r="H14" i="4"/>
  <c r="G22" i="4"/>
  <c r="G20" i="4"/>
  <c r="G19" i="4"/>
  <c r="G17" i="4"/>
  <c r="G16" i="4"/>
  <c r="G15" i="4"/>
  <c r="G14" i="4"/>
  <c r="F20" i="4"/>
  <c r="F19" i="4"/>
  <c r="F18" i="4"/>
  <c r="F17" i="4"/>
  <c r="F16" i="4"/>
  <c r="F15" i="4"/>
  <c r="F14" i="4"/>
  <c r="M12" i="4"/>
  <c r="M11" i="4"/>
  <c r="M10" i="4"/>
  <c r="L10" i="4"/>
  <c r="K10" i="4"/>
  <c r="J11" i="4"/>
  <c r="J10" i="4"/>
  <c r="I11" i="4"/>
  <c r="I10" i="4"/>
  <c r="H11" i="4"/>
  <c r="H10" i="4"/>
  <c r="G11" i="4"/>
  <c r="G10" i="4"/>
  <c r="F11" i="4"/>
  <c r="F10" i="4"/>
  <c r="B39" i="4"/>
  <c r="B38" i="4"/>
  <c r="B37" i="4"/>
  <c r="B36" i="4"/>
  <c r="B35" i="4"/>
  <c r="B34" i="4"/>
  <c r="B33" i="4"/>
  <c r="B32" i="4"/>
  <c r="B30" i="4"/>
  <c r="B29" i="4"/>
  <c r="B28" i="4"/>
  <c r="B27" i="4"/>
  <c r="B25" i="4"/>
  <c r="B24" i="4"/>
  <c r="B23" i="4"/>
  <c r="B22" i="4"/>
  <c r="B21" i="4"/>
  <c r="B20" i="4"/>
  <c r="B19" i="4"/>
  <c r="B18" i="4"/>
  <c r="B17" i="4"/>
  <c r="B15" i="4"/>
  <c r="B14" i="4"/>
  <c r="B13" i="4"/>
  <c r="B11" i="4"/>
  <c r="B10" i="4"/>
  <c r="C51" i="2" l="1"/>
</calcChain>
</file>

<file path=xl/sharedStrings.xml><?xml version="1.0" encoding="utf-8"?>
<sst xmlns="http://schemas.openxmlformats.org/spreadsheetml/2006/main" count="321" uniqueCount="201">
  <si>
    <t>PART I: HHIP MEASURES</t>
  </si>
  <si>
    <t>Please provide the name of the MCP completing the MCP LHP submission and the county for which it will be submitted:</t>
  </si>
  <si>
    <t>MCP Name</t>
  </si>
  <si>
    <t>Lead Contact Person Name</t>
  </si>
  <si>
    <t>Title</t>
  </si>
  <si>
    <t>Contact Email Address</t>
  </si>
  <si>
    <t>County Name</t>
  </si>
  <si>
    <t>Alameda Alliance for Health</t>
  </si>
  <si>
    <t>Tami Lewis</t>
  </si>
  <si>
    <t>Senior Director, Integrated Planning</t>
  </si>
  <si>
    <t>tlewis@alamedaalliance.org</t>
  </si>
  <si>
    <t>Alameda</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</si>
  <si>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</si>
  <si>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</si>
  <si>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</si>
  <si>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</si>
  <si>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</si>
  <si>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</si>
  <si>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</si>
  <si>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</si>
  <si>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</si>
  <si>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</si>
  <si>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The Alliance is currently engaged with Alameda County Health Care Services Agency (HCSA), a key entity of the CoC, as a contracted partner for Housing Community Supports. AAH has not regularly attended CoC meetings, but on the advice of HCSA, plans to attend Everyone Home CoC meetings at least monthly, as well the Funders Council, which is a quarterly meeting. Our primary contact at HCSA is Suzanne Warner, Director Policy &amp; Planning, Office of Homeless Care &amp; Coordination, swarner@acgov.org.</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</si>
  <si>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</si>
  <si>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</si>
  <si>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AAH is currently engaged with CES through its contracted provider relationship with HCSA for Housing Community Supports. AAH understands the access point model in Alameda County requires in-person direct services so it is not feasible for MCPs; however, AAH will continue its partnership with HCSA to strengthen referrals to access points and ensure connectivity to the Homelessness Response System through CES.</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</si>
  <si>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</si>
  <si>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Use the 2019 PIT count to approximate the number of MCP members who may be homeless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for these members receiving services 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</si>
  <si>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</si>
  <si>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</si>
  <si>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AAH’s efforts have largely been focused on partnership with the County/HCSA, including onboarding eleven (11) providers of Housing Community Supports through a contracted relationship with HCSA. We plan to leverage this partnership to explore available providers and capacity to not only serve populations experiencing chronic homelessness, but also at-risk populations, including justice-involved and long-term care populations.</t>
  </si>
  <si>
    <t>Outreach and engagement efforts</t>
  </si>
  <si>
    <t>Availability of affordable long-term housing</t>
  </si>
  <si>
    <t>Affordable long-term housing has long been a challenge in the Bay Area. AAH will continue to partner and coordinate with the County, CoC and other community partners/providers to support and participate in projects that address long-term housing needs and availability.</t>
  </si>
  <si>
    <t xml:space="preserve">Accessible services and supports for individuals with SMI/SED  </t>
  </si>
  <si>
    <t>MCP’s housing-related programmatic infrastructure is in early stages of development</t>
  </si>
  <si>
    <t>With the implementation of Housing Community Supports, AAH has focused on county partnership and populations served by HCSA through Coordinated Entry. We acknowledge a need to build an ECM and CS infrastructure that also supports populations at risk of homelessness or institutionalization and will be exploring and developing networks, referral processes and partnerships to support these populations.</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</si>
  <si>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</si>
  <si>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</si>
  <si>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</si>
  <si>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</si>
  <si>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</si>
  <si>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</si>
  <si>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</si>
  <si>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</si>
  <si>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</si>
  <si>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</si>
  <si>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</si>
  <si>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</si>
  <si>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</si>
  <si>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AAH participates in the Social Health Information Exchange (SHIE), which includes data sharing with Alameda County Behavioral Health (ACBH). Through the SHIE, AAH receives a literal homeless flag for members as well as other data elements indicating SMI/SUD diagnoses. AAH plans to partner with HCSA on incorporating justice-involved data elements that can be shared.</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</si>
  <si>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</si>
  <si>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</si>
  <si>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</si>
  <si>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</si>
  <si>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In Alameda County, Black residents experience homelessness at a disproportionate rate - they represent 47% of the homeless population vs 11% of the general population. Wide disparities exist among those newly homeless and in the rates at which people return to homelessness even after transitioning into housing. These disparities call out the need to invest more and differently in creating program models and pathways that meet the needs of those overrepresented in the homelessness population.</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</si>
  <si>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</si>
  <si>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AAH plans to engage with HCSA/CoC on addressing disparities, which may include referrals and other supports to bolster the county's interventions. AAH participates in the Social Health Information Exchange (SHIE), which collects important social determinants of health data and information from various sources that will be useful for identifying disparities.</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</si>
  <si>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</si>
  <si>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</si>
  <si>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</si>
  <si>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</si>
  <si>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</si>
  <si>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N/A</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</si>
  <si>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</si>
  <si>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</si>
  <si>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Yes</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</si>
  <si>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</si>
  <si>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</si>
  <si>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</si>
  <si>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</si>
  <si>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</si>
  <si>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</si>
  <si>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Current referral process is manual. AAH is in the process of exploring implementation of a platform to facilitate closed loop referrals.</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</si>
  <si>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</si>
  <si>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</si>
  <si>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</si>
  <si>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</si>
  <si>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</si>
  <si>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</si>
  <si>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</si>
  <si>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</si>
  <si>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</si>
  <si>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</si>
  <si>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</si>
  <si>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</si>
  <si>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</si>
  <si>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</si>
  <si>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AAH understands the next PIT Count will likely be in 2024 with planning starting in 2023. AAH plans to engage with the CoC on planning efforts for the 2024 PIT Count to determine the best way to support activities.</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</si>
  <si>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</si>
  <si>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</si>
  <si>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</si>
  <si>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</si>
  <si>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</si>
  <si>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</si>
  <si>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</si>
  <si>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</si>
  <si>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</si>
  <si>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</si>
  <si>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</si>
  <si>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</si>
  <si>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</si>
  <si>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</si>
  <si>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</si>
  <si>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AAH's strategy for addressing homelessness reflects a priority on improving health through addressing housing needs. This includes identifying members at risk of or experiencing homelessness, as well as improving access to important housing supports and services. In partnering with Alameda County Health Care Services Agency/CoC, AAH's strategy to address gaps is to align activities, tactics and investments with HHAP goals defined in Alameda County’s Home Together 2026 plan:
- Prevent homelessness for our residents
- Connect people to shelter and needed resources
- Increase housing solutions
- Strengthen coordination, communication and capacity
AAH will continue partnering with the County to connect health care and housing - collaborating on prevention of homelessness, increasing engagement with street medicine teams, ensuring members are referred to the Homelessness Response System, and building upon existing data infrastructure to improve health outcomes and address disparities.</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</si>
  <si>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</si>
  <si>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</si>
  <si>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</si>
  <si>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</si>
  <si>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</si>
  <si>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</si>
  <si>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</si>
  <si>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</si>
  <si>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</si>
  <si>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</si>
  <si>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</si>
  <si>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</si>
  <si>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</si>
  <si>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</si>
  <si>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</si>
  <si>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</si>
  <si>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</si>
  <si>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</si>
  <si>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</si>
  <si>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</si>
  <si>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</si>
  <si>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</si>
  <si>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</si>
  <si>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</si>
  <si>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</si>
  <si>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</si>
  <si>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</si>
  <si>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</si>
  <si>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Annual Performance Report (APR) CY 2021, AAH Member Distribution (Feb 2022)</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</si>
  <si>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</si>
  <si>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</si>
  <si>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t>2022 PIT Count, AAH Member Distribution (Feb 2022)</t>
  </si>
  <si>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</si>
  <si>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Q8A, APR 1/1/21-12/31/21, AAH Member Distribution (Feb 2022)</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</si>
  <si>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</si>
  <si>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</si>
  <si>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</si>
  <si>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APR CY 2021, AAH Member Distribution (Feb 2022)</t>
  </si>
  <si>
    <t>Sub-Populations and Other Characteristics</t>
  </si>
  <si>
    <r>
      <t xml:space="preserve"># of Adults Who are Experiencing </t>
    </r>
    <r>
      <rPr>
        <b/>
        <sz val="12"/>
        <color rgb="FF000000"/>
        <rFont val="Arial"/>
        <family val="2"/>
      </rPr>
      <t>Chronic Homeless-ness</t>
    </r>
  </si>
  <si>
    <t>Q26b, APR 1/1/21-12/31/21, AAH Member Distribution (Feb 2022)</t>
  </si>
  <si>
    <r>
      <t xml:space="preserve"># of Adults Who are Experiencing </t>
    </r>
    <r>
      <rPr>
        <b/>
        <sz val="12"/>
        <color rgb="FF000000"/>
        <rFont val="Arial"/>
        <family val="2"/>
      </rPr>
      <t>Serious Mental Illness</t>
    </r>
  </si>
  <si>
    <t>Q13a.1., APR 1/1/21-12/31/21, AAH Member Distribution (Feb 2022)</t>
  </si>
  <si>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</si>
  <si>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</si>
  <si>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r>
      <t xml:space="preserve"># of Adults Who are </t>
    </r>
    <r>
      <rPr>
        <b/>
        <sz val="12"/>
        <color rgb="FF000000"/>
        <rFont val="Arial"/>
        <family val="2"/>
      </rPr>
      <t>Veterans</t>
    </r>
  </si>
  <si>
    <t>Q25a, APR 1/1/21-12/31/21, AAH Member Distribution (Feb 2022)</t>
  </si>
  <si>
    <r>
      <t xml:space="preserve"># of Adults with </t>
    </r>
    <r>
      <rPr>
        <b/>
        <sz val="12"/>
        <color rgb="FF000000"/>
        <rFont val="Arial"/>
        <family val="2"/>
      </rPr>
      <t>HIV/AIDS</t>
    </r>
  </si>
  <si>
    <t>Q13a.1, APR 1/1/21-12/31/21, AAH Member Distribution (Feb 2022)</t>
  </si>
  <si>
    <r>
      <t xml:space="preserve"># of Adults Who are </t>
    </r>
    <r>
      <rPr>
        <b/>
        <sz val="12"/>
        <color rgb="FF000000"/>
        <rFont val="Arial"/>
        <family val="2"/>
      </rPr>
      <t>Survivors of Domestic Violence</t>
    </r>
  </si>
  <si>
    <t>Q14a., APR 1/1/21-12/31/21, AAH Member Distribution (Feb 2022)</t>
  </si>
  <si>
    <r>
      <t xml:space="preserve"># of </t>
    </r>
    <r>
      <rPr>
        <b/>
        <sz val="12"/>
        <color rgb="FF000000"/>
        <rFont val="Arial"/>
        <family val="2"/>
      </rPr>
      <t>Un-accompanied Youth (under 25)</t>
    </r>
  </si>
  <si>
    <t>Q27, APR 1/1/21-12/31/21, AAH Member Distribution (Feb 2022)</t>
  </si>
  <si>
    <r>
      <t xml:space="preserve"># of </t>
    </r>
    <r>
      <rPr>
        <b/>
        <sz val="12"/>
        <color rgb="FF000000"/>
        <rFont val="Arial"/>
        <family val="2"/>
      </rPr>
      <t>Parenting Youth (under 25)</t>
    </r>
  </si>
  <si>
    <t>Q27b, APR 1/1/21-12/31/21, AAH Member Distribution (Feb 2022)</t>
  </si>
  <si>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</si>
  <si>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</si>
  <si>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</si>
  <si>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</si>
  <si>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t>Q10a, Q10b, APR 1/1/21-12/31/21, AAH Member Distribution (Feb 2022)</t>
  </si>
  <si>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</si>
  <si>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</si>
  <si>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t>APR CY 2021</t>
  </si>
  <si>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</si>
  <si>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</si>
  <si>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</si>
  <si>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t>Q12b, APR 1/1/21-12/31/21, AAH Member Distribution (Feb 2022)</t>
  </si>
  <si>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</si>
  <si>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</si>
  <si>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t>Q12a, APR 1/1/21-12/31/21, AAH Member Distribution (Feb 2022)</t>
  </si>
  <si>
    <r>
      <t xml:space="preserve"># of People Who are </t>
    </r>
    <r>
      <rPr>
        <b/>
        <sz val="12"/>
        <color rgb="FF000000"/>
        <rFont val="Arial"/>
        <family val="2"/>
      </rPr>
      <t>Hispanic/Latino</t>
    </r>
  </si>
  <si>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</si>
  <si>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</si>
  <si>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</si>
  <si>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</si>
  <si>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</si>
  <si>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</si>
  <si>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</si>
  <si>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</si>
  <si>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</si>
  <si>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</si>
  <si>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</si>
  <si>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</si>
  <si>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</si>
  <si>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</si>
  <si>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</si>
  <si>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</si>
  <si>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</si>
  <si>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</si>
  <si>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Use the left, right, up, and down arrow keys to navigate the document</t>
  </si>
  <si>
    <t>The Housing and Homelessness Incentive Program Measures sheet is for the Managed Care Plans to report a set of quantitative and narrative measures describing their performance during the period from May 1, 2022 to December 31, 2022.</t>
  </si>
  <si>
    <t>Strategies MCPs will deploy to make progress in preventing and reducing homelessness over the two-year program period of January 1, 2022 through December 31, 2023.</t>
  </si>
  <si>
    <t>Definitions to help understand the services offered.</t>
  </si>
  <si>
    <t>MCPs landscape analysis of member demographics, needs, gaps, and services.</t>
  </si>
  <si>
    <t>*</t>
  </si>
  <si>
    <t>*Data has been suppressed due to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</si>
</sst>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12"/>
      <color rgb="FFFF0000"/>
      <name val="Arial"/>
      <family val="2"/>
    </font>
    <font>
      <b/>
      <sz val="11"/>
      <color rgb="FFFFFFFF"/>
      <name val="Calibri"/>
      <family val="2"/>
      <scheme val="minor"/>
    </font>
    <font>
      <u/>
      <sz val="11"/>
      <color theme="10"/>
      <name val="Calibri"/>
      <family val="2"/>
      <scheme val="minor"/>
    </font>
    <font>
      <u/>
      <sz val="12"/>
      <color theme="10"/>
      <name val="Arial"/>
      <family val="2"/>
    </font>
    <font>
      <b/>
      <sz val="20"/>
      <color rgb="FF001F5F"/>
      <name val="Arial"/>
      <family val="2"/>
    </font>
    <font>
      <sz val="20"/>
      <color theme="1"/>
      <name val="Arial"/>
      <family val="2"/>
    </font>
    <font>
      <sz val="11"/>
      <color theme="1"/>
      <name val="Arial"/>
      <family val="2"/>
    </font>
    <font>
      <sz val="12"/>
      <color rgb="FF000000"/>
      <name val="Arial"/>
      <family val="2"/>
    </font>
    <font>
      <sz val="8"/>
      <color rgb="FF000000"/>
      <name val="Segoe UI"/>
      <family val="2"/>
    </font>
    <font>
      <sz val="11"/>
      <color theme="0"/>
      <name val="Calibri"/>
      <family val="2"/>
      <scheme val="minor"/>
    </font>
    <font>
      <sz val="12"/>
      <color theme="0"/>
      <name val="Arial"/>
      <family val="2"/>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0" fontId="21" fillId="0" borderId="0" applyNumberFormat="0" applyFill="0" applyBorder="0" applyAlignment="0" applyProtection="0"/>
  </cellStyleXfs>
  <cellXfs count="214">
    <xf numFmtId="0" fontId="0" fillId="0" borderId="0" xfId="0"/>
    <xf numFmtId="0" fontId="5" fillId="0" borderId="2"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6" fillId="11" borderId="2" xfId="0" applyFont="1" applyFill="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5" fillId="6" borderId="12" xfId="0" applyFont="1" applyFill="1" applyBorder="1" applyAlignment="1" applyProtection="1">
      <alignment horizontal="center" vertical="top" wrapText="1"/>
      <protection locked="0"/>
    </xf>
    <xf numFmtId="0" fontId="6" fillId="6" borderId="13"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6" fillId="8" borderId="3" xfId="0" applyFont="1" applyFill="1" applyBorder="1" applyAlignment="1" applyProtection="1">
      <alignment horizontal="left" vertical="top" wrapText="1"/>
      <protection locked="0"/>
    </xf>
    <xf numFmtId="0" fontId="10" fillId="7" borderId="3" xfId="0" applyFont="1" applyFill="1" applyBorder="1" applyAlignment="1" applyProtection="1">
      <alignment horizontal="left" vertical="top" wrapText="1"/>
      <protection locked="0"/>
    </xf>
    <xf numFmtId="0" fontId="9" fillId="8"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10" fillId="9" borderId="4" xfId="0" applyFont="1" applyFill="1" applyBorder="1" applyAlignment="1" applyProtection="1">
      <alignment horizontal="left" vertical="top" wrapText="1"/>
      <protection locked="0"/>
    </xf>
    <xf numFmtId="0" fontId="11" fillId="9" borderId="3" xfId="0" applyFont="1" applyFill="1" applyBorder="1" applyAlignment="1" applyProtection="1">
      <alignment horizontal="left" vertical="top" wrapText="1"/>
      <protection locked="0"/>
    </xf>
    <xf numFmtId="0" fontId="14" fillId="0" borderId="2" xfId="0" applyFont="1" applyBorder="1" applyAlignment="1" applyProtection="1">
      <alignment horizontal="left" wrapText="1"/>
      <protection locked="0"/>
    </xf>
    <xf numFmtId="0" fontId="6" fillId="6" borderId="19" xfId="0" applyFont="1" applyFill="1" applyBorder="1" applyAlignment="1" applyProtection="1">
      <alignment horizontal="left" vertical="top" wrapText="1"/>
      <protection locked="0"/>
    </xf>
    <xf numFmtId="0" fontId="6" fillId="11" borderId="6" xfId="0" applyFont="1" applyFill="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vertical="center" wrapText="1"/>
      <protection locked="0"/>
    </xf>
    <xf numFmtId="0" fontId="6" fillId="11" borderId="2" xfId="0" applyFont="1" applyFill="1" applyBorder="1" applyAlignment="1" applyProtection="1">
      <alignment horizontal="left" vertical="center" wrapText="1"/>
      <protection locked="0"/>
    </xf>
    <xf numFmtId="0" fontId="5" fillId="12" borderId="2" xfId="0" applyFont="1" applyFill="1" applyBorder="1" applyAlignment="1" applyProtection="1">
      <alignment horizontal="left" vertical="center" wrapText="1" indent="3"/>
      <protection locked="0"/>
    </xf>
    <xf numFmtId="0" fontId="6" fillId="11" borderId="11" xfId="0" applyFont="1" applyFill="1" applyBorder="1" applyAlignment="1" applyProtection="1">
      <alignment horizontal="centerContinuous" wrapText="1"/>
      <protection locked="0"/>
    </xf>
    <xf numFmtId="0" fontId="14"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0" fontId="5" fillId="6" borderId="22" xfId="0" applyFont="1" applyFill="1" applyBorder="1" applyAlignment="1" applyProtection="1">
      <alignment horizontal="center" vertical="top" wrapText="1"/>
      <protection locked="0"/>
    </xf>
    <xf numFmtId="0" fontId="6" fillId="0" borderId="8" xfId="0" applyFont="1" applyBorder="1" applyAlignment="1" applyProtection="1">
      <alignment horizontal="centerContinuous" wrapText="1"/>
      <protection locked="0"/>
    </xf>
    <xf numFmtId="0" fontId="6" fillId="11" borderId="8"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0"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10" fillId="9" borderId="4" xfId="0" applyFont="1" applyFill="1" applyBorder="1" applyAlignment="1" applyProtection="1">
      <alignment horizontal="center" vertical="center" wrapText="1"/>
      <protection locked="0"/>
    </xf>
    <xf numFmtId="0" fontId="9" fillId="9" borderId="3"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9" fillId="8" borderId="3" xfId="0" applyFont="1" applyFill="1" applyBorder="1" applyAlignment="1" applyProtection="1">
      <alignment horizontal="center" vertical="center" wrapText="1"/>
      <protection locked="0"/>
    </xf>
    <xf numFmtId="0" fontId="9" fillId="12" borderId="14" xfId="0" applyFont="1" applyFill="1" applyBorder="1" applyAlignment="1" applyProtection="1">
      <alignment horizontal="right" vertical="top"/>
      <protection locked="0"/>
    </xf>
    <xf numFmtId="0" fontId="9" fillId="12" borderId="3" xfId="0" applyFont="1" applyFill="1" applyBorder="1" applyAlignment="1" applyProtection="1">
      <alignment horizontal="center" vertical="top" wrapText="1"/>
      <protection locked="0"/>
    </xf>
    <xf numFmtId="0" fontId="5" fillId="6" borderId="12" xfId="0" applyFont="1" applyFill="1" applyBorder="1" applyAlignment="1" applyProtection="1">
      <alignment vertical="top"/>
      <protection locked="0"/>
    </xf>
    <xf numFmtId="0" fontId="5" fillId="6" borderId="18" xfId="0" applyFont="1" applyFill="1" applyBorder="1" applyAlignment="1" applyProtection="1">
      <alignment vertical="top"/>
      <protection locked="0"/>
    </xf>
    <xf numFmtId="0" fontId="19" fillId="12" borderId="2" xfId="0" applyFont="1" applyFill="1" applyBorder="1" applyAlignment="1" applyProtection="1">
      <alignment horizontal="left" wrapText="1"/>
      <protection locked="0"/>
    </xf>
    <xf numFmtId="3" fontId="6" fillId="0" borderId="1" xfId="0" applyNumberFormat="1" applyFont="1" applyBorder="1" applyAlignment="1" applyProtection="1">
      <alignment horizontal="center" vertical="top" wrapText="1"/>
      <protection locked="0"/>
    </xf>
    <xf numFmtId="0" fontId="6" fillId="0" borderId="2" xfId="0" applyFont="1" applyBorder="1" applyAlignment="1" applyProtection="1">
      <alignment horizontal="center" vertical="top" wrapText="1"/>
      <protection locked="0"/>
    </xf>
    <xf numFmtId="0" fontId="6" fillId="0" borderId="8" xfId="0" applyFont="1" applyBorder="1" applyAlignment="1" applyProtection="1">
      <alignment horizontal="center" vertical="top" wrapText="1"/>
      <protection locked="0"/>
    </xf>
    <xf numFmtId="0" fontId="5" fillId="11" borderId="8" xfId="0" applyFont="1" applyFill="1" applyBorder="1" applyAlignment="1" applyProtection="1">
      <alignment horizontal="center" vertical="top" wrapText="1"/>
      <protection locked="0"/>
    </xf>
    <xf numFmtId="0" fontId="6" fillId="0" borderId="2" xfId="0" applyFont="1" applyBorder="1" applyAlignment="1" applyProtection="1">
      <alignment vertical="top" wrapText="1"/>
      <protection locked="0"/>
    </xf>
    <xf numFmtId="0" fontId="6" fillId="12" borderId="2" xfId="0" applyFont="1" applyFill="1" applyBorder="1" applyAlignment="1" applyProtection="1">
      <alignment horizontal="center" vertical="top" wrapText="1"/>
      <protection locked="0"/>
    </xf>
    <xf numFmtId="0" fontId="6" fillId="12" borderId="2" xfId="0" applyFont="1" applyFill="1" applyBorder="1" applyAlignment="1" applyProtection="1">
      <alignment horizontal="left" vertical="top" wrapText="1"/>
      <protection locked="0"/>
    </xf>
    <xf numFmtId="0" fontId="6" fillId="0" borderId="21" xfId="0" applyFont="1" applyFill="1" applyBorder="1" applyAlignment="1" applyProtection="1">
      <alignment horizontal="left" vertical="top" wrapText="1"/>
      <protection locked="0"/>
    </xf>
    <xf numFmtId="0" fontId="26" fillId="0" borderId="2" xfId="0" applyFont="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28" fillId="0" borderId="0" xfId="0" applyFont="1" applyProtection="1">
      <protection locked="0"/>
    </xf>
    <xf numFmtId="0" fontId="0" fillId="0" borderId="0" xfId="0" applyProtection="1">
      <protection locked="0"/>
    </xf>
    <xf numFmtId="0" fontId="29" fillId="0" borderId="0" xfId="0" applyFont="1" applyProtection="1">
      <protection locked="0"/>
    </xf>
    <xf numFmtId="0" fontId="23"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0" fillId="6" borderId="18" xfId="0" applyFill="1" applyBorder="1" applyProtection="1">
      <protection locked="0"/>
    </xf>
    <xf numFmtId="0" fontId="0" fillId="0" borderId="0" xfId="0" applyProtection="1"/>
    <xf numFmtId="0" fontId="24" fillId="0" borderId="0" xfId="0" applyFont="1" applyAlignment="1" applyProtection="1">
      <alignment vertical="top"/>
    </xf>
    <xf numFmtId="0" fontId="1" fillId="0" borderId="0" xfId="0" applyFont="1" applyAlignment="1" applyProtection="1">
      <alignment vertical="top"/>
    </xf>
    <xf numFmtId="0" fontId="2" fillId="0" borderId="0" xfId="0" applyFont="1" applyAlignment="1" applyProtection="1">
      <alignment vertical="top"/>
    </xf>
    <xf numFmtId="0" fontId="2" fillId="0" borderId="0" xfId="0" applyFont="1" applyAlignment="1" applyProtection="1">
      <alignment horizontal="right" vertical="center"/>
    </xf>
    <xf numFmtId="0" fontId="1" fillId="0" borderId="0" xfId="0" applyFont="1" applyAlignment="1" applyProtection="1">
      <alignment horizontal="left" vertical="top" wrapText="1"/>
    </xf>
    <xf numFmtId="0" fontId="29" fillId="0" borderId="0" xfId="0" applyFont="1" applyAlignment="1" applyProtection="1">
      <alignment vertical="center"/>
      <protection locked="0"/>
    </xf>
    <xf numFmtId="0" fontId="23" fillId="16" borderId="20" xfId="0" applyFont="1" applyFill="1" applyBorder="1" applyAlignment="1" applyProtection="1">
      <alignment wrapText="1"/>
      <protection locked="0"/>
    </xf>
    <xf numFmtId="0" fontId="1" fillId="0" borderId="0" xfId="0" applyFont="1" applyAlignment="1" applyProtection="1">
      <alignment vertical="top" wrapText="1"/>
      <protection locked="0"/>
    </xf>
    <xf numFmtId="0" fontId="1" fillId="0" borderId="0" xfId="0" applyFont="1" applyAlignment="1" applyProtection="1">
      <alignment wrapText="1"/>
      <protection locked="0"/>
    </xf>
    <xf numFmtId="0" fontId="2" fillId="16" borderId="7" xfId="0" applyFont="1" applyFill="1" applyBorder="1" applyAlignment="1" applyProtection="1">
      <alignment vertical="top" wrapText="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23" fillId="0" borderId="0" xfId="0" applyFont="1" applyProtection="1">
      <protection locked="0"/>
    </xf>
    <xf numFmtId="0" fontId="1" fillId="0" borderId="2" xfId="0" applyFont="1" applyBorder="1" applyAlignment="1" applyProtection="1">
      <alignment vertical="top"/>
      <protection locked="0"/>
    </xf>
    <xf numFmtId="0" fontId="12" fillId="0" borderId="18" xfId="0" applyFont="1" applyBorder="1" applyProtection="1">
      <protection locked="0"/>
    </xf>
    <xf numFmtId="0" fontId="12" fillId="0" borderId="0" xfId="0" applyFont="1" applyProtection="1">
      <protection locked="0"/>
    </xf>
    <xf numFmtId="0" fontId="9" fillId="0" borderId="0" xfId="0" applyFont="1" applyAlignment="1" applyProtection="1">
      <alignment horizontal="centerContinuous" vertical="top" wrapText="1"/>
      <protection locked="0"/>
    </xf>
    <xf numFmtId="0" fontId="8" fillId="17" borderId="9" xfId="0" applyFont="1" applyFill="1" applyBorder="1" applyProtection="1">
      <protection locked="0"/>
    </xf>
    <xf numFmtId="0" fontId="8" fillId="17" borderId="18" xfId="0" applyFont="1" applyFill="1" applyBorder="1" applyProtection="1">
      <protection locked="0"/>
    </xf>
    <xf numFmtId="0" fontId="8" fillId="2" borderId="11" xfId="0" applyFont="1" applyFill="1" applyBorder="1" applyAlignment="1" applyProtection="1">
      <alignment vertical="center" wrapText="1"/>
      <protection locked="0"/>
    </xf>
    <xf numFmtId="0" fontId="8" fillId="2" borderId="8" xfId="0" applyFont="1" applyFill="1" applyBorder="1" applyAlignment="1" applyProtection="1">
      <alignment vertical="center" wrapText="1"/>
      <protection locked="0"/>
    </xf>
    <xf numFmtId="0" fontId="8" fillId="14" borderId="11" xfId="0" applyFont="1" applyFill="1" applyBorder="1" applyAlignment="1" applyProtection="1">
      <alignment horizontal="center" vertical="center" wrapText="1"/>
      <protection locked="0"/>
    </xf>
    <xf numFmtId="0" fontId="8" fillId="14" borderId="2" xfId="0" applyFont="1" applyFill="1" applyBorder="1" applyAlignment="1" applyProtection="1">
      <alignment horizontal="center" vertical="center" wrapText="1"/>
      <protection locked="0"/>
    </xf>
    <xf numFmtId="0" fontId="8" fillId="18" borderId="8" xfId="0" applyFont="1" applyFill="1" applyBorder="1" applyAlignment="1" applyProtection="1">
      <alignment vertical="center" wrapText="1"/>
      <protection locked="0"/>
    </xf>
    <xf numFmtId="0" fontId="8" fillId="18" borderId="7" xfId="0" applyFont="1" applyFill="1" applyBorder="1" applyAlignment="1" applyProtection="1">
      <alignment vertical="center" wrapText="1"/>
      <protection locked="0"/>
    </xf>
    <xf numFmtId="0" fontId="9" fillId="0" borderId="2" xfId="0" applyFont="1" applyBorder="1" applyAlignment="1" applyProtection="1">
      <alignment vertical="center" wrapText="1"/>
      <protection locked="0"/>
    </xf>
    <xf numFmtId="3" fontId="5" fillId="0" borderId="23" xfId="0" applyNumberFormat="1"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8" fillId="18" borderId="20" xfId="0" applyFont="1" applyFill="1" applyBorder="1" applyAlignment="1" applyProtection="1">
      <alignment vertical="center" wrapText="1"/>
      <protection locked="0"/>
    </xf>
    <xf numFmtId="0" fontId="6" fillId="0" borderId="2" xfId="0" applyFont="1" applyBorder="1" applyAlignment="1" applyProtection="1">
      <alignment vertical="center" wrapText="1"/>
      <protection locked="0"/>
    </xf>
    <xf numFmtId="3" fontId="5" fillId="0" borderId="25" xfId="0" applyNumberFormat="1" applyFont="1" applyBorder="1" applyAlignment="1" applyProtection="1">
      <alignment horizontal="center" vertical="center" wrapText="1"/>
      <protection locked="0"/>
    </xf>
    <xf numFmtId="0" fontId="5" fillId="0" borderId="26" xfId="0" applyFont="1" applyBorder="1" applyAlignment="1" applyProtection="1">
      <alignment horizontal="center" vertical="center" wrapText="1"/>
      <protection locked="0"/>
    </xf>
    <xf numFmtId="0" fontId="5" fillId="0" borderId="11" xfId="0" applyFont="1" applyBorder="1" applyAlignment="1" applyProtection="1">
      <alignment horizontal="right" vertical="center" wrapText="1"/>
      <protection locked="0"/>
    </xf>
    <xf numFmtId="3" fontId="5" fillId="0" borderId="26" xfId="0" applyNumberFormat="1" applyFont="1" applyBorder="1" applyAlignment="1" applyProtection="1">
      <alignment horizontal="center" vertical="center"/>
      <protection locked="0"/>
    </xf>
    <xf numFmtId="3" fontId="5" fillId="0" borderId="26" xfId="0" applyNumberFormat="1" applyFont="1" applyBorder="1" applyAlignment="1" applyProtection="1">
      <alignment horizontal="center" vertical="center" wrapText="1"/>
      <protection locked="0"/>
    </xf>
    <xf numFmtId="0" fontId="5" fillId="0" borderId="2" xfId="0" applyFont="1" applyBorder="1" applyAlignment="1" applyProtection="1">
      <alignment vertical="center" wrapText="1"/>
      <protection locked="0"/>
    </xf>
    <xf numFmtId="0" fontId="0" fillId="16" borderId="12" xfId="0" applyFill="1" applyBorder="1" applyProtection="1">
      <protection locked="0"/>
    </xf>
    <xf numFmtId="0" fontId="0" fillId="16" borderId="18" xfId="0" applyFill="1" applyBorder="1" applyProtection="1">
      <protection locked="0"/>
    </xf>
    <xf numFmtId="0" fontId="0" fillId="16" borderId="14" xfId="0" applyFill="1" applyBorder="1" applyProtection="1">
      <protection locked="0"/>
    </xf>
    <xf numFmtId="0" fontId="0" fillId="16" borderId="13" xfId="0" applyFill="1" applyBorder="1" applyProtection="1">
      <protection locked="0"/>
    </xf>
    <xf numFmtId="0" fontId="0" fillId="16" borderId="0" xfId="0" applyFill="1" applyProtection="1">
      <protection locked="0"/>
    </xf>
    <xf numFmtId="0" fontId="0" fillId="16" borderId="15" xfId="0" applyFill="1" applyBorder="1" applyProtection="1">
      <protection locked="0"/>
    </xf>
    <xf numFmtId="0" fontId="0" fillId="16" borderId="19" xfId="0" applyFill="1" applyBorder="1" applyProtection="1">
      <protection locked="0"/>
    </xf>
    <xf numFmtId="0" fontId="0" fillId="16" borderId="20" xfId="0" applyFill="1" applyBorder="1" applyProtection="1">
      <protection locked="0"/>
    </xf>
    <xf numFmtId="0" fontId="0" fillId="16" borderId="21" xfId="0" applyFill="1" applyBorder="1" applyProtection="1">
      <protection locked="0"/>
    </xf>
    <xf numFmtId="0" fontId="5" fillId="0" borderId="4" xfId="0" applyFont="1" applyBorder="1" applyAlignment="1" applyProtection="1">
      <alignment vertical="center"/>
      <protection locked="0"/>
    </xf>
    <xf numFmtId="0" fontId="25" fillId="0" borderId="0" xfId="0" applyFont="1" applyProtection="1">
      <protection locked="0"/>
    </xf>
    <xf numFmtId="0" fontId="1" fillId="0" borderId="0" xfId="0" applyFont="1" applyProtection="1">
      <protection locked="0"/>
    </xf>
    <xf numFmtId="0" fontId="5" fillId="0" borderId="0" xfId="0" applyFont="1" applyProtection="1">
      <protection locked="0"/>
    </xf>
    <xf numFmtId="0" fontId="0" fillId="0" borderId="7" xfId="0" applyBorder="1" applyProtection="1"/>
    <xf numFmtId="0" fontId="0" fillId="0" borderId="18" xfId="0" applyBorder="1" applyProtection="1"/>
    <xf numFmtId="0" fontId="0" fillId="0" borderId="0" xfId="0" applyAlignment="1" applyProtection="1">
      <alignment horizontal="centerContinuous" vertical="top"/>
    </xf>
    <xf numFmtId="0" fontId="9" fillId="0" borderId="0" xfId="0" applyFont="1" applyAlignment="1" applyProtection="1">
      <alignment horizontal="centerContinuous" vertical="top" wrapText="1"/>
    </xf>
    <xf numFmtId="0" fontId="0" fillId="17" borderId="10" xfId="0" applyFill="1" applyBorder="1" applyProtection="1"/>
    <xf numFmtId="0" fontId="0" fillId="16" borderId="4" xfId="0" applyFill="1" applyBorder="1" applyProtection="1"/>
    <xf numFmtId="0" fontId="0" fillId="16" borderId="4" xfId="0" applyFill="1" applyBorder="1" applyAlignment="1" applyProtection="1">
      <alignment vertical="top"/>
    </xf>
    <xf numFmtId="0" fontId="0" fillId="16" borderId="4" xfId="0" applyFill="1" applyBorder="1" applyAlignment="1" applyProtection="1">
      <alignment vertical="center" wrapText="1"/>
    </xf>
    <xf numFmtId="0" fontId="0" fillId="16" borderId="1" xfId="0" applyFill="1" applyBorder="1" applyProtection="1"/>
    <xf numFmtId="0" fontId="25" fillId="0" borderId="0" xfId="0" applyFont="1" applyProtection="1"/>
    <xf numFmtId="0" fontId="1" fillId="0" borderId="0" xfId="0" applyFont="1" applyProtection="1"/>
    <xf numFmtId="0" fontId="0" fillId="0" borderId="0" xfId="0" applyBorder="1" applyProtection="1"/>
    <xf numFmtId="0" fontId="0" fillId="0" borderId="20" xfId="0" applyBorder="1" applyProtection="1"/>
    <xf numFmtId="0" fontId="0" fillId="0" borderId="21" xfId="0" applyBorder="1" applyProtection="1"/>
    <xf numFmtId="0" fontId="0" fillId="0" borderId="15" xfId="0" applyBorder="1" applyProtection="1"/>
    <xf numFmtId="0" fontId="0" fillId="0" borderId="14" xfId="0" applyBorder="1" applyProtection="1"/>
    <xf numFmtId="0" fontId="0" fillId="0" borderId="0" xfId="0" applyAlignment="1" applyProtection="1">
      <alignment horizontal="centerContinuous"/>
    </xf>
    <xf numFmtId="0" fontId="0" fillId="17" borderId="7" xfId="0" applyFill="1" applyBorder="1" applyProtection="1"/>
    <xf numFmtId="0" fontId="0" fillId="17" borderId="11" xfId="0" applyFill="1" applyBorder="1" applyProtection="1"/>
    <xf numFmtId="0" fontId="5" fillId="0" borderId="4" xfId="0" applyFont="1" applyBorder="1" applyAlignment="1" applyProtection="1">
      <alignment vertical="center"/>
    </xf>
    <xf numFmtId="0" fontId="1" fillId="0" borderId="0" xfId="0" applyFont="1" applyBorder="1" applyAlignment="1" applyProtection="1">
      <alignment vertical="center" wrapText="1"/>
    </xf>
    <xf numFmtId="0" fontId="22" fillId="0" borderId="0" xfId="1" applyFont="1" applyBorder="1" applyAlignment="1" applyProtection="1">
      <alignment vertical="center" wrapText="1"/>
    </xf>
    <xf numFmtId="0" fontId="8" fillId="15" borderId="21" xfId="0" applyFont="1" applyFill="1" applyBorder="1" applyAlignment="1" applyProtection="1">
      <alignment vertical="center" wrapText="1"/>
      <protection locked="0"/>
    </xf>
    <xf numFmtId="0" fontId="8" fillId="15" borderId="1" xfId="0" applyFont="1" applyFill="1" applyBorder="1" applyAlignment="1" applyProtection="1">
      <alignment vertical="center" wrapText="1"/>
      <protection locked="0"/>
    </xf>
    <xf numFmtId="0" fontId="8" fillId="15" borderId="19" xfId="0" applyFont="1" applyFill="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22" fillId="0" borderId="3" xfId="1" applyFont="1" applyBorder="1" applyAlignment="1" applyProtection="1">
      <alignment vertical="center" wrapText="1"/>
      <protection locked="0"/>
    </xf>
    <xf numFmtId="0" fontId="1" fillId="0" borderId="12" xfId="0" applyFont="1" applyBorder="1" applyAlignment="1" applyProtection="1">
      <alignment vertical="center" wrapText="1"/>
      <protection locked="0"/>
    </xf>
    <xf numFmtId="0" fontId="3" fillId="2" borderId="21" xfId="0" applyFont="1" applyFill="1" applyBorder="1" applyAlignment="1" applyProtection="1">
      <alignment horizontal="left" vertical="top" wrapText="1"/>
      <protection locked="0"/>
    </xf>
    <xf numFmtId="0" fontId="3" fillId="10" borderId="19" xfId="0" applyFont="1" applyFill="1" applyBorder="1" applyAlignment="1" applyProtection="1">
      <alignment horizontal="center" vertical="top" wrapText="1"/>
      <protection locked="0"/>
    </xf>
    <xf numFmtId="0" fontId="3" fillId="13" borderId="14" xfId="0" applyFont="1" applyFill="1" applyBorder="1" applyAlignment="1" applyProtection="1">
      <alignment horizontal="left" vertical="top" wrapText="1"/>
      <protection locked="0"/>
    </xf>
    <xf numFmtId="0" fontId="5" fillId="6" borderId="0" xfId="0" applyFont="1" applyFill="1" applyBorder="1" applyAlignment="1" applyProtection="1">
      <alignment horizontal="center" vertical="top" wrapText="1"/>
      <protection locked="0"/>
    </xf>
    <xf numFmtId="0" fontId="6" fillId="6" borderId="0" xfId="0" applyFont="1" applyFill="1" applyBorder="1" applyAlignment="1" applyProtection="1">
      <alignment horizontal="center" vertical="top" wrapText="1"/>
      <protection locked="0"/>
    </xf>
    <xf numFmtId="0" fontId="5" fillId="0" borderId="0" xfId="0" applyFont="1" applyBorder="1" applyAlignment="1" applyProtection="1">
      <alignment vertical="top" wrapText="1"/>
      <protection locked="0"/>
    </xf>
    <xf numFmtId="0" fontId="6" fillId="0" borderId="8" xfId="0" applyFont="1" applyBorder="1" applyAlignment="1" applyProtection="1">
      <alignment horizontal="left" vertical="center" wrapText="1"/>
      <protection locked="0"/>
    </xf>
    <xf numFmtId="0" fontId="6" fillId="12" borderId="8" xfId="0" applyFont="1" applyFill="1" applyBorder="1" applyAlignment="1" applyProtection="1">
      <alignment horizontal="center" vertical="top" wrapText="1"/>
      <protection locked="0"/>
    </xf>
    <xf numFmtId="0" fontId="5" fillId="6" borderId="18" xfId="0" applyFont="1" applyFill="1" applyBorder="1" applyAlignment="1" applyProtection="1">
      <alignment horizontal="center" vertical="top" wrapText="1"/>
      <protection locked="0"/>
    </xf>
    <xf numFmtId="0" fontId="3" fillId="4" borderId="0" xfId="0" applyFont="1" applyFill="1" applyBorder="1" applyAlignment="1" applyProtection="1">
      <alignment horizontal="left" vertical="top" wrapText="1"/>
      <protection locked="0"/>
    </xf>
    <xf numFmtId="0" fontId="3" fillId="5" borderId="15" xfId="0" applyFont="1" applyFill="1" applyBorder="1" applyAlignment="1" applyProtection="1">
      <alignment horizontal="left" vertical="top" wrapText="1"/>
      <protection locked="0"/>
    </xf>
    <xf numFmtId="3" fontId="6" fillId="0" borderId="19" xfId="0" applyNumberFormat="1" applyFont="1" applyBorder="1" applyAlignment="1" applyProtection="1">
      <alignment horizontal="center" vertical="top" wrapText="1"/>
      <protection locked="0"/>
    </xf>
    <xf numFmtId="3" fontId="6" fillId="0" borderId="8" xfId="0" applyNumberFormat="1" applyFont="1" applyBorder="1" applyAlignment="1" applyProtection="1">
      <alignment horizontal="center" vertical="top" wrapText="1"/>
      <protection locked="0"/>
    </xf>
    <xf numFmtId="3" fontId="5" fillId="12" borderId="8" xfId="0" applyNumberFormat="1" applyFont="1" applyFill="1" applyBorder="1" applyAlignment="1" applyProtection="1">
      <alignment horizontal="center" vertical="top" wrapText="1"/>
      <protection locked="0"/>
    </xf>
    <xf numFmtId="3" fontId="5" fillId="11" borderId="8" xfId="0" applyNumberFormat="1" applyFont="1" applyFill="1" applyBorder="1" applyAlignment="1" applyProtection="1">
      <alignment horizontal="center" vertical="top" wrapText="1"/>
      <protection locked="0"/>
    </xf>
    <xf numFmtId="0" fontId="1" fillId="6" borderId="0" xfId="0" applyFont="1" applyFill="1" applyBorder="1" applyProtection="1">
      <protection locked="0"/>
    </xf>
    <xf numFmtId="0" fontId="0" fillId="2" borderId="2" xfId="0" applyFill="1" applyBorder="1" applyProtection="1"/>
    <xf numFmtId="0" fontId="5" fillId="14" borderId="14" xfId="0" applyFont="1" applyFill="1" applyBorder="1" applyAlignment="1" applyProtection="1">
      <alignment vertical="center" wrapText="1"/>
    </xf>
    <xf numFmtId="0" fontId="5" fillId="14" borderId="21" xfId="0" applyFont="1" applyFill="1" applyBorder="1" applyAlignment="1" applyProtection="1">
      <alignment vertical="center" wrapText="1"/>
    </xf>
    <xf numFmtId="0" fontId="8" fillId="18" borderId="7" xfId="0" applyFont="1" applyFill="1" applyBorder="1" applyAlignment="1" applyProtection="1">
      <alignment vertical="center" wrapText="1"/>
    </xf>
    <xf numFmtId="0" fontId="20" fillId="18" borderId="7" xfId="0" applyFont="1" applyFill="1" applyBorder="1" applyAlignment="1" applyProtection="1">
      <alignment vertical="center" wrapText="1"/>
    </xf>
    <xf numFmtId="0" fontId="8" fillId="14" borderId="2" xfId="0" applyFont="1" applyFill="1" applyBorder="1" applyAlignment="1" applyProtection="1">
      <alignment vertical="center" wrapText="1"/>
    </xf>
    <xf numFmtId="0" fontId="0" fillId="18" borderId="7" xfId="0" applyFill="1" applyBorder="1" applyProtection="1"/>
    <xf numFmtId="0" fontId="0" fillId="18" borderId="11" xfId="0" applyFill="1" applyBorder="1" applyProtection="1"/>
    <xf numFmtId="0" fontId="0" fillId="18" borderId="7" xfId="0" applyFont="1" applyFill="1" applyBorder="1" applyProtection="1"/>
    <xf numFmtId="0" fontId="3" fillId="13" borderId="15" xfId="0" applyFont="1" applyFill="1" applyBorder="1" applyAlignment="1" applyProtection="1">
      <alignment horizontal="left" vertical="center" wrapText="1"/>
    </xf>
    <xf numFmtId="0" fontId="3" fillId="13" borderId="17" xfId="0" applyFont="1" applyFill="1" applyBorder="1" applyAlignment="1" applyProtection="1">
      <alignment horizontal="left" vertical="center" wrapText="1"/>
    </xf>
    <xf numFmtId="0" fontId="5" fillId="7" borderId="4" xfId="0" applyFont="1" applyFill="1" applyBorder="1" applyAlignment="1" applyProtection="1">
      <alignment horizontal="left" vertical="top" wrapText="1"/>
    </xf>
    <xf numFmtId="0" fontId="5" fillId="7" borderId="4" xfId="0" applyFont="1" applyFill="1" applyBorder="1" applyAlignment="1" applyProtection="1">
      <alignment horizontal="center" vertical="center" wrapText="1"/>
    </xf>
    <xf numFmtId="0" fontId="5" fillId="7" borderId="1" xfId="0" applyFont="1" applyFill="1" applyBorder="1" applyAlignment="1" applyProtection="1">
      <alignment horizontal="left" vertical="top" wrapText="1"/>
    </xf>
    <xf numFmtId="0" fontId="5" fillId="7" borderId="1" xfId="0" applyFont="1" applyFill="1" applyBorder="1" applyAlignment="1" applyProtection="1">
      <alignment horizontal="center" vertical="center" wrapText="1"/>
    </xf>
    <xf numFmtId="0" fontId="6" fillId="7" borderId="4" xfId="0" applyFont="1" applyFill="1" applyBorder="1" applyAlignment="1" applyProtection="1">
      <alignment horizontal="left" vertical="top" wrapText="1"/>
    </xf>
    <xf numFmtId="0" fontId="6" fillId="7" borderId="4" xfId="0" applyFont="1" applyFill="1" applyBorder="1" applyAlignment="1" applyProtection="1">
      <alignment horizontal="center" vertical="center" wrapText="1"/>
    </xf>
    <xf numFmtId="0" fontId="6" fillId="7" borderId="1" xfId="0" applyFont="1" applyFill="1" applyBorder="1" applyAlignment="1" applyProtection="1">
      <alignment horizontal="left" vertical="top" wrapText="1"/>
    </xf>
    <xf numFmtId="0" fontId="6" fillId="7" borderId="1" xfId="0" applyFont="1" applyFill="1" applyBorder="1" applyAlignment="1" applyProtection="1">
      <alignment horizontal="center" vertical="center" wrapText="1"/>
    </xf>
    <xf numFmtId="0" fontId="5" fillId="7" borderId="5" xfId="0" applyFont="1" applyFill="1" applyBorder="1" applyAlignment="1" applyProtection="1">
      <alignment horizontal="center" vertical="center" wrapText="1"/>
    </xf>
    <xf numFmtId="0" fontId="5" fillId="7" borderId="5" xfId="0" applyFont="1" applyFill="1" applyBorder="1" applyAlignment="1" applyProtection="1">
      <alignment horizontal="left" vertical="top" wrapText="1"/>
    </xf>
    <xf numFmtId="0" fontId="3" fillId="4" borderId="0" xfId="0" applyFont="1" applyFill="1" applyBorder="1" applyAlignment="1" applyProtection="1">
      <alignment horizontal="left" vertical="top" wrapText="1"/>
    </xf>
    <xf numFmtId="0" fontId="3" fillId="4" borderId="0" xfId="0" applyFont="1" applyFill="1" applyBorder="1" applyAlignment="1" applyProtection="1">
      <alignment horizontal="left" vertical="center" wrapText="1"/>
    </xf>
    <xf numFmtId="0" fontId="3" fillId="4" borderId="15" xfId="0" applyFont="1" applyFill="1" applyBorder="1" applyAlignment="1" applyProtection="1">
      <alignment horizontal="left" vertical="center" wrapText="1"/>
    </xf>
    <xf numFmtId="0" fontId="3" fillId="4" borderId="17" xfId="0" applyFont="1" applyFill="1" applyBorder="1" applyAlignment="1" applyProtection="1">
      <alignment horizontal="left" vertical="center" wrapText="1"/>
    </xf>
    <xf numFmtId="0" fontId="10" fillId="9" borderId="4" xfId="0" applyFont="1" applyFill="1" applyBorder="1" applyAlignment="1" applyProtection="1">
      <alignment horizontal="center" vertical="center" wrapText="1"/>
    </xf>
    <xf numFmtId="0" fontId="11" fillId="9" borderId="1" xfId="0" applyFont="1" applyFill="1" applyBorder="1" applyAlignment="1" applyProtection="1">
      <alignment horizontal="left" vertical="top" wrapText="1"/>
    </xf>
    <xf numFmtId="0" fontId="11" fillId="9" borderId="1" xfId="0" applyFont="1" applyFill="1" applyBorder="1" applyAlignment="1" applyProtection="1">
      <alignment horizontal="center" vertical="center" wrapText="1"/>
    </xf>
    <xf numFmtId="0" fontId="5" fillId="9" borderId="4" xfId="0" applyFont="1" applyFill="1" applyBorder="1" applyAlignment="1" applyProtection="1">
      <alignment horizontal="center" vertical="center" wrapText="1"/>
    </xf>
    <xf numFmtId="0" fontId="5" fillId="9" borderId="5" xfId="0" applyFont="1" applyFill="1" applyBorder="1" applyAlignment="1" applyProtection="1">
      <alignment horizontal="center" vertical="center" wrapText="1"/>
    </xf>
    <xf numFmtId="0" fontId="5" fillId="9" borderId="4" xfId="0" applyFont="1" applyFill="1" applyBorder="1" applyAlignment="1" applyProtection="1">
      <alignment horizontal="left" vertical="top" wrapText="1"/>
    </xf>
    <xf numFmtId="0" fontId="5" fillId="9" borderId="5" xfId="0" applyFont="1" applyFill="1" applyBorder="1" applyAlignment="1" applyProtection="1">
      <alignment horizontal="left" vertical="top" wrapText="1"/>
    </xf>
    <xf numFmtId="0" fontId="3" fillId="5" borderId="15" xfId="0" applyFont="1" applyFill="1" applyBorder="1" applyAlignment="1" applyProtection="1">
      <alignment horizontal="left" vertical="center" wrapText="1"/>
    </xf>
    <xf numFmtId="0" fontId="3" fillId="12" borderId="18" xfId="0" applyFont="1" applyFill="1" applyBorder="1" applyAlignment="1" applyProtection="1">
      <alignment horizontal="left" vertical="center" wrapText="1"/>
    </xf>
    <xf numFmtId="0" fontId="6" fillId="8" borderId="4" xfId="0" applyFont="1" applyFill="1" applyBorder="1" applyAlignment="1" applyProtection="1">
      <alignment vertical="top" wrapText="1"/>
    </xf>
    <xf numFmtId="0" fontId="6" fillId="8" borderId="4" xfId="0" applyFont="1" applyFill="1" applyBorder="1" applyAlignment="1" applyProtection="1">
      <alignment horizontal="center" vertical="center" wrapText="1"/>
    </xf>
  </cellXfs>
  <cellStyles count="2">
    <cellStyle name="Hyperlink" xfId="1" builtinId="8"/>
    <cellStyle name="Normal" xfId="0" builtinId="0"/>
  </cellStyles>
  <dxfs count="35">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border>
      <protection locked="1" hidden="0"/>
    </dxf>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20"/>
        <color rgb="FF001F5F"/>
        <name val="Arial"/>
        <family val="2"/>
        <scheme val="none"/>
      </font>
      <fill>
        <patternFill patternType="solid">
          <fgColor indexed="64"/>
          <bgColor theme="0" tint="-4.9989318521683403E-2"/>
        </patternFill>
      </fill>
      <alignment horizontal="general" vertical="bottom" textRotation="0" wrapText="1" indent="0" justifyLastLine="0" shrinkToFit="0" readingOrder="0"/>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ertAlign val="baseline"/>
        <sz val="12"/>
        <color theme="10"/>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2"/>
        </patternFill>
      </fill>
      <border diagonalUp="0" diagonalDown="0">
        <left/>
        <right/>
        <top style="thin">
          <color indexed="64"/>
        </top>
        <bottom/>
      </border>
      <protection locked="0" hidden="0"/>
    </dxf>
    <dxf>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0</xdr:colOff>
          <xdr:row>12</xdr:row>
          <xdr:rowOff>1238250</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xdr:row>
          <xdr:rowOff>19050</xdr:rowOff>
        </xdr:from>
        <xdr:to>
          <xdr:col>4</xdr:col>
          <xdr:colOff>0</xdr:colOff>
          <xdr:row>14</xdr:row>
          <xdr:rowOff>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1266825</xdr:rowOff>
        </xdr:from>
        <xdr:to>
          <xdr:col>4</xdr:col>
          <xdr:colOff>0</xdr:colOff>
          <xdr:row>15</xdr:row>
          <xdr:rowOff>28575</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14</xdr:row>
          <xdr:rowOff>1266825</xdr:rowOff>
        </xdr:from>
        <xdr:to>
          <xdr:col>4</xdr:col>
          <xdr:colOff>0</xdr:colOff>
          <xdr:row>16</xdr:row>
          <xdr:rowOff>0</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2</xdr:row>
      <xdr:rowOff>117374</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84150"/>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G51" totalsRowCount="1" headerRowDxfId="34" dataDxfId="32" totalsRowDxfId="30" headerRowBorderDxfId="33" tableBorderDxfId="31" totalsRowBorderDxfId="29">
  <tableColumns count="7">
    <tableColumn id="1" xr3:uid="{00000000-0010-0000-0000-000001000000}" name="Priority Area" dataDxfId="28" totalsRowDxfId="0"/>
    <tableColumn id="4" xr3:uid="{00000000-0010-0000-0000-000004000000}" name="Measurement Area" totalsRowLabel="Total available points" dataDxfId="27" totalsRowDxfId="26"/>
    <tableColumn id="8" xr3:uid="{00000000-0010-0000-0000-000008000000}" name="Available Points" totalsRowFunction="custom" dataDxfId="25" totalsRowDxfId="24">
      <totalsRowFormula>SUM(C10:C50)</totalsRowFormula>
    </tableColumn>
    <tableColumn id="5" xr3:uid="{00000000-0010-0000-0000-000005000000}" name="Measure Numerator" totalsRowLabel="*Data has been suppressed due to Data De-Identification Guidelines." dataDxfId="23" totalsRowDxfId="22"/>
    <tableColumn id="2" xr3:uid="{00000000-0010-0000-0000-000002000000}" name="MCP Numerator Submission" dataDxfId="21" totalsRowDxfId="20"/>
    <tableColumn id="3" xr3:uid="{00000000-0010-0000-0000-000003000000}" name="Measure Denominator" dataDxfId="19" totalsRowDxfId="18"/>
    <tableColumn id="6" xr3:uid="{00000000-0010-0000-0000-000006000000}" name="MCP Denominator Submission" dataDxfId="17" totalsRowDxfId="16"/>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69F41AE-BDF5-4255-AA02-260D128B8102}" name="Table3" displayName="Table3" ref="A6:E7" totalsRowShown="0" headerRowDxfId="15" dataDxfId="13" headerRowBorderDxfId="14" tableBorderDxfId="12" totalsRowBorderDxfId="11">
  <autoFilter ref="A6:E7" xr:uid="{B69F41AE-BDF5-4255-AA02-260D128B8102}"/>
  <tableColumns count="5">
    <tableColumn id="1" xr3:uid="{DD898D4E-96DF-4A17-8871-1B7B021C7E4B}" name="MCP Name" dataDxfId="10"/>
    <tableColumn id="2" xr3:uid="{8F01B15A-F771-4299-B104-2EC30EB5EF9C}" name="Lead Contact Person Name" dataDxfId="9"/>
    <tableColumn id="3" xr3:uid="{8523E40B-FA49-460A-A10D-A6DA582F5B3C}" name="Title" dataDxfId="8"/>
    <tableColumn id="4" xr3:uid="{66BC5C41-6C73-47C9-9F7D-555A6863D2F7}" name="Contact Email Address" dataDxfId="7" dataCellStyle="Hyperlink"/>
    <tableColumn id="5" xr3:uid="{049E4DDC-EB70-42A0-960A-D91D41BF3A7B}" name="County Name"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A2:A8" totalsRowShown="0" headerRowDxfId="5" dataDxfId="3" headerRowBorderDxfId="4" tableBorderDxfId="2">
  <autoFilter ref="A2:A8" xr:uid="{00000000-0009-0000-0100-000001000000}">
    <filterColumn colId="0" hiddenButton="1"/>
  </autoFilter>
  <tableColumns count="1">
    <tableColumn id="1" xr3:uid="{00000000-0010-0000-0100-000001000000}" name="PART II: MCP STRATEGIES TO ADDRESS IDENTIFIED HOUSING AND SERVICE GAPS"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table" Target="../tables/table2.xml"/><Relationship Id="rId2" Type="http://schemas.openxmlformats.org/officeDocument/2006/relationships/printerSettings" Target="../printerSettings/printerSettings1.bin"/><Relationship Id="rId1" Type="http://schemas.openxmlformats.org/officeDocument/2006/relationships/hyperlink" Target="mailto:tlewis@alamedaalliance.org" TargetMode="External"/><Relationship Id="rId6" Type="http://schemas.openxmlformats.org/officeDocument/2006/relationships/ctrlProp" Target="../ctrlProps/ctrlProp2.xml"/><Relationship Id="rId11" Type="http://schemas.openxmlformats.org/officeDocument/2006/relationships/table" Target="../tables/table1.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8"/>
  <sheetViews>
    <sheetView showGridLines="0" tabSelected="1" zoomScale="70" zoomScaleNormal="70" workbookViewId="0">
      <selection activeCell="B10" sqref="B10"/>
    </sheetView>
  </sheetViews>
  <sheetFormatPr defaultColWidth="0" defaultRowHeight="15" zeroHeight="1" x14ac:dyDescent="0.25"/>
  <cols>
    <col min="1" max="1" width="28.42578125" style="83" customWidth="1"/>
    <col min="2" max="2" width="45.5703125" style="83" customWidth="1"/>
    <col min="3" max="3" width="18.7109375" style="83" customWidth="1"/>
    <col min="4" max="4" width="63.140625" style="83" customWidth="1"/>
    <col min="5" max="5" width="54.28515625" style="83" customWidth="1"/>
    <col min="6" max="6" width="47.7109375" style="83" customWidth="1"/>
    <col min="7" max="7" width="49.5703125" style="83" customWidth="1"/>
    <col min="8" max="8" width="11.28515625" style="83" hidden="1" customWidth="1"/>
    <col min="9" max="9" width="31.42578125" style="83" hidden="1" customWidth="1"/>
    <col min="10" max="10" width="15.5703125" style="83" hidden="1" customWidth="1"/>
    <col min="11" max="11" width="12.5703125" style="83" hidden="1" customWidth="1"/>
    <col min="12" max="12" width="36.42578125" style="83" hidden="1" customWidth="1"/>
    <col min="13" max="13" width="30.42578125" style="83" hidden="1" customWidth="1"/>
    <col min="14" max="14" width="15.140625" style="83" hidden="1" customWidth="1"/>
    <col min="15" max="15" width="14.5703125" style="83" hidden="1" customWidth="1"/>
    <col min="16" max="16384" width="8.7109375" style="83" hidden="1"/>
  </cols>
  <sheetData>
    <row r="1" spans="1:15" x14ac:dyDescent="0.25">
      <c r="A1" s="77" t="s">
        <v>194</v>
      </c>
    </row>
    <row r="2" spans="1:15" ht="54.6" customHeight="1" x14ac:dyDescent="0.25">
      <c r="A2" s="78"/>
    </row>
    <row r="3" spans="1:15" ht="15.75" x14ac:dyDescent="0.25">
      <c r="A3" s="79" t="s">
        <v>195</v>
      </c>
    </row>
    <row r="4" spans="1:15" ht="26.25" x14ac:dyDescent="0.25">
      <c r="A4" s="80" t="s">
        <v>0</v>
      </c>
      <c r="B4" s="84"/>
      <c r="C4" s="85"/>
      <c r="D4" s="86"/>
      <c r="E4" s="86"/>
      <c r="F4" s="86"/>
      <c r="G4" s="86"/>
      <c r="H4" s="85"/>
      <c r="I4" s="85"/>
      <c r="J4" s="85"/>
      <c r="K4" s="85"/>
      <c r="L4" s="85"/>
      <c r="M4" s="85"/>
      <c r="N4" s="85"/>
      <c r="O4" s="85"/>
    </row>
    <row r="5" spans="1:15" ht="15.75" x14ac:dyDescent="0.25">
      <c r="A5" s="81" t="s">
        <v>1</v>
      </c>
      <c r="E5" s="86"/>
      <c r="F5" s="86"/>
      <c r="G5" s="86"/>
      <c r="H5" s="85"/>
      <c r="I5" s="85"/>
      <c r="J5" s="85"/>
      <c r="K5" s="85"/>
      <c r="L5" s="85"/>
      <c r="M5" s="85"/>
      <c r="N5" s="85"/>
      <c r="O5" s="85"/>
    </row>
    <row r="6" spans="1:15" ht="15.75" x14ac:dyDescent="0.25">
      <c r="A6" s="155" t="s">
        <v>2</v>
      </c>
      <c r="B6" s="156" t="s">
        <v>3</v>
      </c>
      <c r="C6" s="156" t="s">
        <v>4</v>
      </c>
      <c r="D6" s="156" t="s">
        <v>5</v>
      </c>
      <c r="E6" s="157" t="s">
        <v>6</v>
      </c>
      <c r="F6" s="86"/>
      <c r="G6" s="86"/>
      <c r="H6" s="85"/>
      <c r="I6" s="85"/>
      <c r="J6" s="85"/>
      <c r="K6" s="85"/>
      <c r="L6" s="85"/>
      <c r="M6" s="85"/>
      <c r="N6" s="85"/>
      <c r="O6" s="85"/>
    </row>
    <row r="7" spans="1:15" ht="45" x14ac:dyDescent="0.25">
      <c r="A7" s="158" t="s">
        <v>7</v>
      </c>
      <c r="B7" s="159" t="s">
        <v>8</v>
      </c>
      <c r="C7" s="159" t="s">
        <v>9</v>
      </c>
      <c r="D7" s="160" t="s">
        <v>10</v>
      </c>
      <c r="E7" s="161" t="s">
        <v>11</v>
      </c>
      <c r="F7" s="86"/>
      <c r="G7" s="86"/>
      <c r="H7" s="85"/>
      <c r="I7" s="85"/>
      <c r="J7" s="85"/>
      <c r="K7" s="85"/>
      <c r="L7" s="85"/>
      <c r="M7" s="85"/>
      <c r="N7" s="85"/>
      <c r="O7" s="85"/>
    </row>
    <row r="8" spans="1:15" ht="15.75" x14ac:dyDescent="0.25">
      <c r="A8" s="153"/>
      <c r="B8" s="153"/>
      <c r="C8" s="153"/>
      <c r="D8" s="154"/>
      <c r="E8" s="153"/>
      <c r="F8" s="86"/>
      <c r="G8" s="86"/>
      <c r="H8" s="85"/>
      <c r="I8" s="85"/>
      <c r="J8" s="85"/>
      <c r="K8" s="85"/>
      <c r="L8" s="85"/>
      <c r="M8" s="85"/>
      <c r="N8" s="85"/>
      <c r="O8" s="85"/>
    </row>
    <row r="9" spans="1:15" ht="31.5" x14ac:dyDescent="0.25">
      <c r="A9" s="162" t="s">
        <v>12</v>
      </c>
      <c r="B9" s="75" t="s">
        <v>13</v>
      </c>
      <c r="C9" s="75" t="s">
        <v>14</v>
      </c>
      <c r="D9" s="76" t="s">
        <v>15</v>
      </c>
      <c r="E9" s="76" t="s">
        <v>16</v>
      </c>
      <c r="F9" s="76" t="s">
        <v>17</v>
      </c>
      <c r="G9" s="163" t="s">
        <v>18</v>
      </c>
    </row>
    <row r="10" spans="1:15" ht="174.95" customHeight="1" x14ac:dyDescent="0.25">
      <c r="A10" s="164" t="s">
        <v>19</v>
      </c>
      <c r="B10" s="3" t="s">
        <v>20</v>
      </c>
      <c r="C10" s="49">
        <v>10</v>
      </c>
      <c r="D10" s="74" t="s">
        <v>21</v>
      </c>
      <c r="E10" s="1" t="s">
        <v>22</v>
      </c>
      <c r="F10" s="21"/>
      <c r="G10" s="165"/>
    </row>
    <row r="11" spans="1:15" ht="158.44999999999999" customHeight="1" x14ac:dyDescent="0.25">
      <c r="A11" s="187"/>
      <c r="B11" s="26" t="s">
        <v>23</v>
      </c>
      <c r="C11" s="50">
        <v>20</v>
      </c>
      <c r="D11" s="13" t="s">
        <v>24</v>
      </c>
      <c r="E11" s="11" t="s">
        <v>25</v>
      </c>
      <c r="F11" s="21"/>
      <c r="G11" s="165"/>
    </row>
    <row r="12" spans="1:15" ht="140.44999999999999" customHeight="1" x14ac:dyDescent="0.25">
      <c r="A12" s="187"/>
      <c r="B12" s="14" t="s">
        <v>26</v>
      </c>
      <c r="C12" s="51">
        <v>10</v>
      </c>
      <c r="D12" s="38" t="s">
        <v>27</v>
      </c>
      <c r="E12" s="39" t="s">
        <v>28</v>
      </c>
      <c r="F12" s="166"/>
      <c r="G12" s="165"/>
    </row>
    <row r="13" spans="1:15" ht="141.94999999999999" customHeight="1" x14ac:dyDescent="0.25">
      <c r="A13" s="187"/>
      <c r="B13" s="189"/>
      <c r="C13" s="190"/>
      <c r="D13" s="40" t="s">
        <v>29</v>
      </c>
      <c r="E13" s="72" t="s">
        <v>30</v>
      </c>
      <c r="F13" s="21"/>
      <c r="G13" s="166"/>
    </row>
    <row r="14" spans="1:15" ht="100.15" customHeight="1" x14ac:dyDescent="0.25">
      <c r="A14" s="187"/>
      <c r="B14" s="189"/>
      <c r="C14" s="190"/>
      <c r="D14" s="40" t="s">
        <v>31</v>
      </c>
      <c r="E14" s="65"/>
      <c r="F14" s="21"/>
      <c r="G14" s="165"/>
    </row>
    <row r="15" spans="1:15" ht="96.95" customHeight="1" x14ac:dyDescent="0.25">
      <c r="A15" s="187"/>
      <c r="B15" s="189"/>
      <c r="C15" s="190"/>
      <c r="D15" s="40" t="s">
        <v>32</v>
      </c>
      <c r="E15" s="72" t="s">
        <v>33</v>
      </c>
      <c r="F15" s="22"/>
      <c r="G15" s="165"/>
    </row>
    <row r="16" spans="1:15" ht="100.15" customHeight="1" x14ac:dyDescent="0.25">
      <c r="A16" s="187"/>
      <c r="B16" s="189"/>
      <c r="C16" s="190"/>
      <c r="D16" s="40" t="s">
        <v>34</v>
      </c>
      <c r="E16" s="65"/>
      <c r="F16" s="22"/>
      <c r="G16" s="165"/>
    </row>
    <row r="17" spans="1:7" ht="129" customHeight="1" x14ac:dyDescent="0.25">
      <c r="A17" s="187"/>
      <c r="B17" s="189"/>
      <c r="C17" s="190"/>
      <c r="D17" s="40" t="s">
        <v>35</v>
      </c>
      <c r="E17" s="167" t="s">
        <v>36</v>
      </c>
      <c r="F17" s="22"/>
      <c r="G17" s="165"/>
    </row>
    <row r="18" spans="1:7" ht="100.15" customHeight="1" x14ac:dyDescent="0.25">
      <c r="A18" s="187"/>
      <c r="B18" s="191"/>
      <c r="C18" s="192"/>
      <c r="D18" s="40" t="s">
        <v>37</v>
      </c>
      <c r="E18" s="65"/>
      <c r="F18" s="22"/>
      <c r="G18" s="165"/>
    </row>
    <row r="19" spans="1:7" ht="126" customHeight="1" x14ac:dyDescent="0.25">
      <c r="A19" s="187"/>
      <c r="B19" s="12" t="s">
        <v>38</v>
      </c>
      <c r="C19" s="52">
        <v>20</v>
      </c>
      <c r="D19" s="42" t="s">
        <v>39</v>
      </c>
      <c r="E19" s="43" t="s">
        <v>40</v>
      </c>
      <c r="F19" s="45" t="s">
        <v>41</v>
      </c>
      <c r="G19" s="168" t="s">
        <v>42</v>
      </c>
    </row>
    <row r="20" spans="1:7" ht="15.75" x14ac:dyDescent="0.25">
      <c r="A20" s="187"/>
      <c r="B20" s="193"/>
      <c r="C20" s="194"/>
      <c r="D20" s="28" t="s">
        <v>43</v>
      </c>
      <c r="E20" s="71">
        <v>0</v>
      </c>
      <c r="F20" s="28" t="s">
        <v>43</v>
      </c>
      <c r="G20" s="169">
        <v>0</v>
      </c>
    </row>
    <row r="21" spans="1:7" ht="15.75" x14ac:dyDescent="0.25">
      <c r="A21" s="187"/>
      <c r="B21" s="193"/>
      <c r="C21" s="194"/>
      <c r="D21" s="28" t="s">
        <v>44</v>
      </c>
      <c r="E21" s="71">
        <v>11</v>
      </c>
      <c r="F21" s="28" t="s">
        <v>44</v>
      </c>
      <c r="G21" s="169">
        <v>11</v>
      </c>
    </row>
    <row r="22" spans="1:7" ht="15.75" x14ac:dyDescent="0.25">
      <c r="A22" s="187"/>
      <c r="B22" s="193"/>
      <c r="C22" s="194"/>
      <c r="D22" s="28" t="s">
        <v>45</v>
      </c>
      <c r="E22" s="71">
        <v>11</v>
      </c>
      <c r="F22" s="28" t="s">
        <v>45</v>
      </c>
      <c r="G22" s="169">
        <v>11</v>
      </c>
    </row>
    <row r="23" spans="1:7" ht="15.75" x14ac:dyDescent="0.25">
      <c r="A23" s="187"/>
      <c r="B23" s="193"/>
      <c r="C23" s="194"/>
      <c r="D23" s="28" t="s">
        <v>46</v>
      </c>
      <c r="E23" s="71">
        <v>0</v>
      </c>
      <c r="F23" s="28" t="s">
        <v>46</v>
      </c>
      <c r="G23" s="169">
        <v>0</v>
      </c>
    </row>
    <row r="24" spans="1:7" ht="15.75" x14ac:dyDescent="0.25">
      <c r="A24" s="187"/>
      <c r="B24" s="195"/>
      <c r="C24" s="196"/>
      <c r="D24" s="28" t="s">
        <v>47</v>
      </c>
      <c r="E24" s="71">
        <v>0</v>
      </c>
      <c r="F24" s="28" t="s">
        <v>47</v>
      </c>
      <c r="G24" s="169">
        <v>0</v>
      </c>
    </row>
    <row r="25" spans="1:7" ht="159.94999999999999" customHeight="1" x14ac:dyDescent="0.25">
      <c r="A25" s="187"/>
      <c r="B25" s="3" t="s">
        <v>48</v>
      </c>
      <c r="C25" s="49">
        <v>10</v>
      </c>
      <c r="D25" s="13" t="s">
        <v>49</v>
      </c>
      <c r="E25" s="13" t="s">
        <v>50</v>
      </c>
      <c r="F25" s="20"/>
      <c r="G25" s="170"/>
    </row>
    <row r="26" spans="1:7" ht="63" customHeight="1" x14ac:dyDescent="0.25">
      <c r="A26" s="187"/>
      <c r="B26" s="29" t="s">
        <v>51</v>
      </c>
      <c r="C26" s="53">
        <v>10</v>
      </c>
      <c r="D26" s="47" t="s">
        <v>52</v>
      </c>
      <c r="E26" s="41"/>
      <c r="F26" s="166"/>
      <c r="G26" s="165"/>
    </row>
    <row r="27" spans="1:7" ht="156" customHeight="1" x14ac:dyDescent="0.25">
      <c r="A27" s="187"/>
      <c r="B27" s="15" t="s">
        <v>53</v>
      </c>
      <c r="C27" s="190"/>
      <c r="D27" s="10" t="s">
        <v>54</v>
      </c>
      <c r="E27" s="10" t="s">
        <v>55</v>
      </c>
      <c r="F27" s="21"/>
      <c r="G27" s="165"/>
    </row>
    <row r="28" spans="1:7" ht="113.1" customHeight="1" x14ac:dyDescent="0.25">
      <c r="A28" s="188"/>
      <c r="B28" s="198"/>
      <c r="C28" s="197"/>
      <c r="D28" s="16" t="s">
        <v>56</v>
      </c>
      <c r="E28" s="36" t="s">
        <v>57</v>
      </c>
      <c r="F28" s="46"/>
      <c r="G28" s="46"/>
    </row>
    <row r="29" spans="1:7" ht="123.6" customHeight="1" x14ac:dyDescent="0.25">
      <c r="A29" s="171" t="s">
        <v>58</v>
      </c>
      <c r="B29" s="32" t="s">
        <v>59</v>
      </c>
      <c r="C29" s="54">
        <v>20</v>
      </c>
      <c r="D29" s="73" t="s">
        <v>60</v>
      </c>
      <c r="E29" s="35"/>
      <c r="F29" s="165"/>
      <c r="G29" s="165"/>
    </row>
    <row r="30" spans="1:7" ht="217.9" customHeight="1" x14ac:dyDescent="0.25">
      <c r="A30" s="199"/>
      <c r="B30" s="32" t="s">
        <v>61</v>
      </c>
      <c r="C30" s="203"/>
      <c r="D30" s="30" t="s">
        <v>62</v>
      </c>
      <c r="E30" s="8" t="s">
        <v>63</v>
      </c>
      <c r="F30" s="165"/>
      <c r="G30" s="165"/>
    </row>
    <row r="31" spans="1:7" ht="85.15" customHeight="1" x14ac:dyDescent="0.25">
      <c r="A31" s="200"/>
      <c r="B31" s="33" t="s">
        <v>64</v>
      </c>
      <c r="C31" s="55">
        <v>20</v>
      </c>
      <c r="D31" s="31" t="s">
        <v>65</v>
      </c>
      <c r="E31" s="1" t="s">
        <v>66</v>
      </c>
      <c r="F31" s="24"/>
      <c r="G31" s="165"/>
    </row>
    <row r="32" spans="1:7" ht="157.69999999999999" customHeight="1" x14ac:dyDescent="0.25">
      <c r="A32" s="200"/>
      <c r="B32" s="204"/>
      <c r="C32" s="205"/>
      <c r="D32" s="31" t="s">
        <v>67</v>
      </c>
      <c r="E32" s="1" t="s">
        <v>63</v>
      </c>
      <c r="F32" s="24"/>
      <c r="G32" s="165"/>
    </row>
    <row r="33" spans="1:7" ht="159.94999999999999" customHeight="1" x14ac:dyDescent="0.25">
      <c r="A33" s="201"/>
      <c r="B33" s="37" t="s">
        <v>68</v>
      </c>
      <c r="C33" s="56">
        <v>10</v>
      </c>
      <c r="D33" s="1" t="s">
        <v>69</v>
      </c>
      <c r="E33" s="44" t="s">
        <v>70</v>
      </c>
      <c r="F33" s="165"/>
      <c r="G33" s="165"/>
    </row>
    <row r="34" spans="1:7" ht="51.95" customHeight="1" x14ac:dyDescent="0.25">
      <c r="A34" s="201"/>
      <c r="B34" s="19" t="s">
        <v>71</v>
      </c>
      <c r="C34" s="206"/>
      <c r="D34" s="1" t="s">
        <v>72</v>
      </c>
      <c r="E34" s="1" t="s">
        <v>73</v>
      </c>
      <c r="F34" s="24"/>
      <c r="G34" s="165"/>
    </row>
    <row r="35" spans="1:7" ht="52.5" customHeight="1" x14ac:dyDescent="0.25">
      <c r="A35" s="201"/>
      <c r="B35" s="208"/>
      <c r="C35" s="206"/>
      <c r="D35" s="1" t="s">
        <v>74</v>
      </c>
      <c r="E35" s="1" t="s">
        <v>73</v>
      </c>
      <c r="F35" s="24"/>
      <c r="G35" s="165"/>
    </row>
    <row r="36" spans="1:7" ht="52.5" customHeight="1" x14ac:dyDescent="0.25">
      <c r="A36" s="201"/>
      <c r="B36" s="208"/>
      <c r="C36" s="206"/>
      <c r="D36" s="1" t="s">
        <v>75</v>
      </c>
      <c r="E36" s="1" t="s">
        <v>73</v>
      </c>
      <c r="F36" s="24"/>
      <c r="G36" s="165"/>
    </row>
    <row r="37" spans="1:7" ht="54.6" customHeight="1" x14ac:dyDescent="0.25">
      <c r="A37" s="201"/>
      <c r="B37" s="208"/>
      <c r="C37" s="206"/>
      <c r="D37" s="1" t="s">
        <v>76</v>
      </c>
      <c r="E37" s="1" t="s">
        <v>73</v>
      </c>
      <c r="F37" s="24"/>
      <c r="G37" s="165"/>
    </row>
    <row r="38" spans="1:7" ht="25.5" customHeight="1" x14ac:dyDescent="0.25">
      <c r="A38" s="201"/>
      <c r="B38" s="208"/>
      <c r="C38" s="206"/>
      <c r="D38" s="1" t="s">
        <v>77</v>
      </c>
      <c r="E38" s="1" t="s">
        <v>63</v>
      </c>
      <c r="F38" s="24"/>
      <c r="G38" s="165"/>
    </row>
    <row r="39" spans="1:7" ht="23.45" customHeight="1" thickBot="1" x14ac:dyDescent="0.3">
      <c r="A39" s="202"/>
      <c r="B39" s="209"/>
      <c r="C39" s="207"/>
      <c r="D39" s="18" t="s">
        <v>78</v>
      </c>
      <c r="E39" s="18" t="s">
        <v>63</v>
      </c>
      <c r="F39" s="23"/>
      <c r="G39" s="46"/>
    </row>
    <row r="40" spans="1:7" ht="81.599999999999994" customHeight="1" x14ac:dyDescent="0.25">
      <c r="A40" s="172" t="s">
        <v>79</v>
      </c>
      <c r="B40" s="7" t="s">
        <v>80</v>
      </c>
      <c r="C40" s="57">
        <v>10</v>
      </c>
      <c r="D40" s="10" t="s">
        <v>81</v>
      </c>
      <c r="E40" s="66">
        <v>7431</v>
      </c>
      <c r="F40" s="9" t="s">
        <v>82</v>
      </c>
      <c r="G40" s="173">
        <v>303067</v>
      </c>
    </row>
    <row r="41" spans="1:7" ht="98.1" customHeight="1" x14ac:dyDescent="0.25">
      <c r="A41" s="210"/>
      <c r="B41" s="5" t="s">
        <v>83</v>
      </c>
      <c r="C41" s="58">
        <v>10</v>
      </c>
      <c r="D41" s="8" t="s">
        <v>84</v>
      </c>
      <c r="E41" s="67">
        <v>965</v>
      </c>
      <c r="F41" s="2" t="s">
        <v>85</v>
      </c>
      <c r="G41" s="174">
        <v>7502</v>
      </c>
    </row>
    <row r="42" spans="1:7" ht="82.5" customHeight="1" x14ac:dyDescent="0.25">
      <c r="A42" s="210"/>
      <c r="B42" s="6" t="s">
        <v>86</v>
      </c>
      <c r="C42" s="58">
        <v>10</v>
      </c>
      <c r="D42" s="1" t="s">
        <v>87</v>
      </c>
      <c r="E42" s="1" t="s">
        <v>88</v>
      </c>
      <c r="F42" s="20"/>
      <c r="G42" s="170"/>
    </row>
    <row r="43" spans="1:7" ht="125.45" customHeight="1" x14ac:dyDescent="0.25">
      <c r="A43" s="210"/>
      <c r="B43" s="25" t="s">
        <v>89</v>
      </c>
      <c r="C43" s="59">
        <v>10</v>
      </c>
      <c r="D43" s="34" t="s">
        <v>90</v>
      </c>
      <c r="E43" s="17" t="s">
        <v>91</v>
      </c>
      <c r="F43" s="70" t="s">
        <v>92</v>
      </c>
      <c r="G43" s="175">
        <v>1536</v>
      </c>
    </row>
    <row r="44" spans="1:7" ht="15.75" x14ac:dyDescent="0.25">
      <c r="A44" s="210"/>
      <c r="B44" s="212"/>
      <c r="C44" s="213"/>
      <c r="D44" s="1" t="s">
        <v>72</v>
      </c>
      <c r="E44" s="67">
        <v>55</v>
      </c>
      <c r="F44" s="24"/>
      <c r="G44" s="170"/>
    </row>
    <row r="45" spans="1:7" ht="15.75" x14ac:dyDescent="0.25">
      <c r="A45" s="210"/>
      <c r="B45" s="212"/>
      <c r="C45" s="213"/>
      <c r="D45" s="1" t="s">
        <v>74</v>
      </c>
      <c r="E45" s="68">
        <v>30</v>
      </c>
      <c r="F45" s="24"/>
      <c r="G45" s="165"/>
    </row>
    <row r="46" spans="1:7" ht="15.75" x14ac:dyDescent="0.25">
      <c r="A46" s="210"/>
      <c r="B46" s="212"/>
      <c r="C46" s="213"/>
      <c r="D46" s="1" t="s">
        <v>75</v>
      </c>
      <c r="E46" s="68">
        <v>182</v>
      </c>
      <c r="F46" s="24"/>
      <c r="G46" s="165"/>
    </row>
    <row r="47" spans="1:7" ht="15.75" x14ac:dyDescent="0.25">
      <c r="A47" s="210"/>
      <c r="B47" s="212"/>
      <c r="C47" s="213"/>
      <c r="D47" s="1" t="s">
        <v>76</v>
      </c>
      <c r="E47" s="68" t="s">
        <v>199</v>
      </c>
      <c r="F47" s="24"/>
      <c r="G47" s="165"/>
    </row>
    <row r="48" spans="1:7" ht="15.75" x14ac:dyDescent="0.25">
      <c r="A48" s="210"/>
      <c r="B48" s="212"/>
      <c r="C48" s="213"/>
      <c r="D48" s="1" t="s">
        <v>77</v>
      </c>
      <c r="E48" s="68" t="s">
        <v>63</v>
      </c>
      <c r="F48" s="24"/>
      <c r="G48" s="165"/>
    </row>
    <row r="49" spans="1:7" ht="15.75" x14ac:dyDescent="0.25">
      <c r="A49" s="210"/>
      <c r="B49" s="212"/>
      <c r="C49" s="213"/>
      <c r="D49" s="1" t="s">
        <v>78</v>
      </c>
      <c r="E49" s="68" t="s">
        <v>63</v>
      </c>
      <c r="F49" s="24"/>
      <c r="G49" s="165"/>
    </row>
    <row r="50" spans="1:7" ht="81.599999999999994" customHeight="1" x14ac:dyDescent="0.25">
      <c r="A50" s="210"/>
      <c r="B50" s="27" t="s">
        <v>93</v>
      </c>
      <c r="C50" s="60">
        <v>20</v>
      </c>
      <c r="D50" s="4" t="s">
        <v>94</v>
      </c>
      <c r="E50" s="69">
        <v>83</v>
      </c>
      <c r="F50" s="48" t="s">
        <v>95</v>
      </c>
      <c r="G50" s="176">
        <v>1536</v>
      </c>
    </row>
    <row r="51" spans="1:7" ht="31.15" customHeight="1" x14ac:dyDescent="0.25">
      <c r="A51" s="211"/>
      <c r="B51" s="61" t="s">
        <v>96</v>
      </c>
      <c r="C51" s="62">
        <f>SUM(C10:C50)</f>
        <v>190</v>
      </c>
      <c r="D51" s="63" t="s">
        <v>200</v>
      </c>
      <c r="E51" s="82"/>
      <c r="F51" s="64"/>
      <c r="G51" s="177"/>
    </row>
    <row r="52" spans="1:7" ht="15.75" hidden="1" x14ac:dyDescent="0.25">
      <c r="A52" s="87"/>
      <c r="B52" s="88"/>
      <c r="C52" s="88"/>
      <c r="D52" s="88"/>
      <c r="E52" s="88"/>
      <c r="G52" s="88"/>
    </row>
    <row r="53" spans="1:7" ht="99.75" hidden="1" customHeight="1" x14ac:dyDescent="0.25">
      <c r="A53" s="87"/>
      <c r="B53" s="88"/>
      <c r="C53" s="88"/>
      <c r="D53" s="88"/>
      <c r="E53" s="88"/>
      <c r="G53" s="88"/>
    </row>
    <row r="54" spans="1:7" ht="84" hidden="1" customHeight="1" x14ac:dyDescent="0.25">
      <c r="A54" s="87"/>
      <c r="B54" s="88"/>
      <c r="C54" s="88"/>
      <c r="D54" s="88"/>
      <c r="E54" s="88"/>
      <c r="G54" s="88"/>
    </row>
    <row r="55" spans="1:7" ht="52.35" hidden="1" customHeight="1" x14ac:dyDescent="0.25">
      <c r="A55" s="87"/>
      <c r="B55" s="88"/>
      <c r="C55" s="88"/>
      <c r="D55" s="88"/>
      <c r="E55" s="88"/>
      <c r="G55" s="88"/>
    </row>
    <row r="56" spans="1:7" ht="65.849999999999994" hidden="1" customHeight="1" x14ac:dyDescent="0.25">
      <c r="A56" s="87"/>
      <c r="B56" s="88"/>
      <c r="C56" s="88"/>
      <c r="D56" s="88"/>
      <c r="E56" s="88"/>
      <c r="G56" s="88"/>
    </row>
    <row r="57" spans="1:7" ht="81" hidden="1" customHeight="1" x14ac:dyDescent="0.25"/>
    <row r="58" spans="1:7" ht="50.1" hidden="1" customHeight="1" x14ac:dyDescent="0.25"/>
  </sheetData>
  <sheetProtection sheet="1" objects="1" scenarios="1" selectLockedCells="1"/>
  <phoneticPr fontId="4" type="noConversion"/>
  <dataValidations count="12">
    <dataValidation type="list" allowBlank="1" showInputMessage="1" showErrorMessage="1" sqref="E31" xr:uid="{00000000-0002-0000-0000-000000000000}">
      <formula1>"Yes, No"</formula1>
    </dataValidation>
    <dataValidation type="whole" allowBlank="1" showInputMessage="1" showErrorMessage="1" sqref="E40:E41 G40 E20:E24 G43:G44 E50" xr:uid="{00000000-0002-0000-0000-000001000000}">
      <formula1>0</formula1>
      <formula2>10000000</formula2>
    </dataValidation>
    <dataValidation type="whole" allowBlank="1" showInputMessage="1" showErrorMessage="1" sqref="G20:G24" xr:uid="{00000000-0002-0000-0000-000002000000}">
      <formula1>0</formula1>
      <formula2>100000000</formula2>
    </dataValidation>
    <dataValidation type="whole" allowBlank="1" showInputMessage="1" showErrorMessage="1" sqref="G41" xr:uid="{00000000-0002-0000-0000-000003000000}">
      <formula1>0</formula1>
      <formula2>1000000000</formula2>
    </dataValidation>
    <dataValidation type="whole" allowBlank="1" showInputMessage="1" showErrorMessage="1" sqref="G50" xr:uid="{00000000-0002-0000-0000-000004000000}">
      <formula1>0</formula1>
      <formula2>1000000</formula2>
    </dataValidation>
    <dataValidation type="textLength" allowBlank="1" showInputMessage="1" showErrorMessage="1" promptTitle="Character Length Limit" prompt="No more than 500 characters" sqref="E42 E25 E27:E28 E30 E32 E34:E39" xr:uid="{00000000-0002-0000-0000-000005000000}">
      <formula1>0</formula1>
      <formula2>500</formula2>
    </dataValidation>
    <dataValidation type="textLength" allowBlank="1" showInputMessage="1" showErrorMessage="1" promptTitle="Character Length Limitation" prompt="No more than 500 characters" sqref="E10:E11" xr:uid="{00000000-0002-0000-0000-000006000000}">
      <formula1>0</formula1>
      <formula2>500</formula2>
    </dataValidation>
    <dataValidation allowBlank="1" showInputMessage="1" showErrorMessage="1" promptTitle="Lead Contact Person Name" prompt="Insert contact person's name in this cell." sqref="B7:B8" xr:uid="{00000000-0002-0000-0000-000007000000}"/>
    <dataValidation allowBlank="1" showInputMessage="1" showErrorMessage="1" promptTitle="Title" prompt="Input the lead contact person's title in this cell." sqref="C7:C8" xr:uid="{00000000-0002-0000-0000-000008000000}"/>
    <dataValidation allowBlank="1" showInputMessage="1" showErrorMessage="1" promptTitle="County Name" prompt="Input the email address of the lead contact person. " sqref="D7:D8" xr:uid="{00000000-0002-0000-0000-000009000000}"/>
    <dataValidation allowBlank="1" showInputMessage="1" showErrorMessage="1" promptTitle="Narrative Response" prompt="If this barrier is selected, enter a narrative response in this cell." sqref="E13:E16 E18" xr:uid="{00000000-0002-0000-0000-00000A000000}"/>
    <dataValidation allowBlank="1" showInputMessage="1" showErrorMessage="1" promptTitle="County Name" prompt="Input the name of the county for which this LHP is being completed" sqref="E7:E8" xr:uid="{00000000-0002-0000-0000-00000B000000}"/>
  </dataValidations>
  <hyperlinks>
    <hyperlink ref="D7" r:id="rId1" xr:uid="{00000000-0004-0000-0000-000000000000}"/>
  </hyperlinks>
  <pageMargins left="0.7" right="0.7" top="0.75" bottom="0.75" header="0.3" footer="0.3"/>
  <pageSetup orientation="portrait" horizontalDpi="204" verticalDpi="196" r:id="rId2"/>
  <drawing r:id="rId3"/>
  <legacyDrawing r:id="rId4"/>
  <mc:AlternateContent xmlns:mc="http://schemas.openxmlformats.org/markup-compatibility/2006">
    <mc:Choice Requires="x14">
      <controls>
        <mc:AlternateContent xmlns:mc="http://schemas.openxmlformats.org/markup-compatibility/2006">
          <mc:Choice Requires="x14">
            <control shapeId="1036" r:id="rId5" name="Check Box 12">
              <controlPr defaultSize="0" autoFill="0" autoLine="0" autoPict="0" altText="Barrier: Adequate network of providers to meet demand">
                <anchor moveWithCells="1">
                  <from>
                    <xdr:col>3</xdr:col>
                    <xdr:colOff>28575</xdr:colOff>
                    <xdr:row>12</xdr:row>
                    <xdr:rowOff>9525</xdr:rowOff>
                  </from>
                  <to>
                    <xdr:col>4</xdr:col>
                    <xdr:colOff>0</xdr:colOff>
                    <xdr:row>12</xdr:row>
                    <xdr:rowOff>1238250</xdr:rowOff>
                  </to>
                </anchor>
              </controlPr>
            </control>
          </mc:Choice>
        </mc:AlternateContent>
        <mc:AlternateContent xmlns:mc="http://schemas.openxmlformats.org/markup-compatibility/2006">
          <mc:Choice Requires="x14">
            <control shapeId="1037" r:id="rId6" name="Check Box 13">
              <controlPr defaultSize="0" autoFill="0" autoLine="0" autoPict="0" altText="Barrier: Outreach and engagement efforts">
                <anchor moveWithCells="1">
                  <from>
                    <xdr:col>3</xdr:col>
                    <xdr:colOff>19050</xdr:colOff>
                    <xdr:row>13</xdr:row>
                    <xdr:rowOff>19050</xdr:rowOff>
                  </from>
                  <to>
                    <xdr:col>4</xdr:col>
                    <xdr:colOff>0</xdr:colOff>
                    <xdr:row>14</xdr:row>
                    <xdr:rowOff>0</xdr:rowOff>
                  </to>
                </anchor>
              </controlPr>
            </control>
          </mc:Choice>
        </mc:AlternateContent>
        <mc:AlternateContent xmlns:mc="http://schemas.openxmlformats.org/markup-compatibility/2006">
          <mc:Choice Requires="x14">
            <control shapeId="1038" r:id="rId7" name="Check Box 14">
              <controlPr defaultSize="0" autoFill="0" autoLine="0" autoPict="0" altText="Barrier: Availability of affordable long-term housing">
                <anchor moveWithCells="1">
                  <from>
                    <xdr:col>3</xdr:col>
                    <xdr:colOff>9525</xdr:colOff>
                    <xdr:row>13</xdr:row>
                    <xdr:rowOff>1266825</xdr:rowOff>
                  </from>
                  <to>
                    <xdr:col>4</xdr:col>
                    <xdr:colOff>0</xdr:colOff>
                    <xdr:row>15</xdr:row>
                    <xdr:rowOff>28575</xdr:rowOff>
                  </to>
                </anchor>
              </controlPr>
            </control>
          </mc:Choice>
        </mc:AlternateContent>
        <mc:AlternateContent xmlns:mc="http://schemas.openxmlformats.org/markup-compatibility/2006">
          <mc:Choice Requires="x14">
            <control shapeId="1039" r:id="rId8" name="Check Box 15">
              <controlPr defaultSize="0" autoFill="0" autoLine="0" autoPict="0" altText="Barrier: Accessible services and supports for individuals with SMI/SED">
                <anchor moveWithCells="1">
                  <from>
                    <xdr:col>3</xdr:col>
                    <xdr:colOff>19050</xdr:colOff>
                    <xdr:row>14</xdr:row>
                    <xdr:rowOff>1266825</xdr:rowOff>
                  </from>
                  <to>
                    <xdr:col>4</xdr:col>
                    <xdr:colOff>0</xdr:colOff>
                    <xdr:row>16</xdr:row>
                    <xdr:rowOff>0</xdr:rowOff>
                  </to>
                </anchor>
              </controlPr>
            </control>
          </mc:Choice>
        </mc:AlternateContent>
        <mc:AlternateContent xmlns:mc="http://schemas.openxmlformats.org/markup-compatibility/2006">
          <mc:Choice Requires="x14">
            <control shapeId="1040" r:id="rId9"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1257300</xdr:rowOff>
                  </to>
                </anchor>
              </controlPr>
            </control>
          </mc:Choice>
        </mc:AlternateContent>
        <mc:AlternateContent xmlns:mc="http://schemas.openxmlformats.org/markup-compatibility/2006">
          <mc:Choice Requires="x14">
            <control shapeId="1041" r:id="rId10"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controls>
    </mc:Choice>
  </mc:AlternateContent>
  <tableParts count="2">
    <tablePart r:id="rId11"/>
    <tablePart r:id="rId1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8"/>
  <sheetViews>
    <sheetView showGridLines="0" zoomScale="90" zoomScaleNormal="90" workbookViewId="0">
      <selection activeCell="A7" sqref="A7"/>
    </sheetView>
  </sheetViews>
  <sheetFormatPr defaultColWidth="0" defaultRowHeight="15" zeroHeight="1" x14ac:dyDescent="0.25"/>
  <cols>
    <col min="1" max="1" width="130.7109375" style="78" customWidth="1"/>
    <col min="2" max="2" width="15" style="78" hidden="1" customWidth="1"/>
    <col min="3" max="16384" width="8.7109375" style="78" hidden="1"/>
  </cols>
  <sheetData>
    <row r="1" spans="1:2" x14ac:dyDescent="0.25">
      <c r="A1" s="89" t="s">
        <v>196</v>
      </c>
    </row>
    <row r="2" spans="1:2" ht="51" customHeight="1" x14ac:dyDescent="0.4">
      <c r="A2" s="90" t="s">
        <v>97</v>
      </c>
    </row>
    <row r="3" spans="1:2" ht="66" customHeight="1" x14ac:dyDescent="0.25">
      <c r="A3" s="91" t="s">
        <v>98</v>
      </c>
      <c r="B3" s="92" t="s">
        <v>99</v>
      </c>
    </row>
    <row r="4" spans="1:2" ht="34.9" customHeight="1" x14ac:dyDescent="0.25">
      <c r="A4" s="91" t="s">
        <v>100</v>
      </c>
    </row>
    <row r="5" spans="1:2" ht="63.6" customHeight="1" x14ac:dyDescent="0.25">
      <c r="A5" s="91" t="s">
        <v>101</v>
      </c>
    </row>
    <row r="6" spans="1:2" ht="25.9" customHeight="1" x14ac:dyDescent="0.25">
      <c r="A6" s="91" t="s">
        <v>102</v>
      </c>
    </row>
    <row r="7" spans="1:2" ht="15.75" x14ac:dyDescent="0.25">
      <c r="A7" s="93" t="s">
        <v>103</v>
      </c>
    </row>
    <row r="8" spans="1:2" ht="208.5" customHeight="1" x14ac:dyDescent="0.25">
      <c r="A8" s="91" t="s">
        <v>104</v>
      </c>
    </row>
  </sheetData>
  <sheetProtection sheet="1" objects="1" scenarios="1" selectLockedCells="1"/>
  <dataValidations count="1">
    <dataValidation type="textLength" allowBlank="1" showInputMessage="1" showErrorMessage="1" promptTitle="Character Length Limit" prompt="No more than 1000 characters" sqref="A8" xr:uid="{00000000-0002-0000-0100-000000000000}">
      <formula1>0</formula1>
      <formula2>1000</formula2>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2"/>
  <sheetViews>
    <sheetView showGridLines="0" zoomScale="70" zoomScaleNormal="70" workbookViewId="0">
      <selection activeCell="E5" sqref="E5"/>
    </sheetView>
  </sheetViews>
  <sheetFormatPr defaultColWidth="0" defaultRowHeight="15" zeroHeight="1" x14ac:dyDescent="0.25"/>
  <cols>
    <col min="1" max="1" width="42.85546875" style="78" customWidth="1"/>
    <col min="2" max="2" width="18" style="78" customWidth="1"/>
    <col min="3" max="3" width="41.7109375" style="78" customWidth="1"/>
    <col min="4" max="4" width="4.42578125" style="83" customWidth="1"/>
    <col min="5" max="5" width="47.28515625" style="78" customWidth="1"/>
    <col min="6" max="10" width="15.7109375" style="78" customWidth="1"/>
    <col min="11" max="11" width="16.85546875" style="78" customWidth="1"/>
    <col min="12" max="13" width="15.7109375" style="78" customWidth="1"/>
    <col min="14" max="14" width="31.85546875" style="78" customWidth="1"/>
    <col min="15" max="15" width="8.7109375" style="83" customWidth="1"/>
    <col min="16" max="16384" width="8.7109375" style="78" hidden="1"/>
  </cols>
  <sheetData>
    <row r="1" spans="1:14" ht="15.75" x14ac:dyDescent="0.25">
      <c r="A1" s="79" t="s">
        <v>198</v>
      </c>
      <c r="B1" s="83"/>
      <c r="C1" s="83"/>
      <c r="E1" s="83"/>
      <c r="F1" s="83"/>
      <c r="G1" s="83"/>
      <c r="H1" s="83"/>
      <c r="I1" s="83"/>
      <c r="J1" s="83"/>
      <c r="K1" s="83"/>
      <c r="L1" s="83"/>
      <c r="M1" s="83"/>
      <c r="N1" s="83"/>
    </row>
    <row r="2" spans="1:14" ht="26.25" x14ac:dyDescent="0.4">
      <c r="A2" s="96" t="s">
        <v>105</v>
      </c>
      <c r="B2" s="83"/>
      <c r="C2" s="83"/>
      <c r="E2" s="144"/>
      <c r="F2" s="145"/>
      <c r="G2" s="145"/>
      <c r="H2" s="145"/>
      <c r="I2" s="145"/>
      <c r="J2" s="145"/>
      <c r="K2" s="145"/>
      <c r="L2" s="145"/>
      <c r="M2" s="145"/>
      <c r="N2" s="146"/>
    </row>
    <row r="3" spans="1:14" x14ac:dyDescent="0.25">
      <c r="A3" s="97" t="s">
        <v>106</v>
      </c>
      <c r="B3" s="133"/>
      <c r="C3" s="133"/>
      <c r="D3" s="133"/>
      <c r="E3" s="133"/>
      <c r="F3" s="145"/>
      <c r="G3" s="145"/>
      <c r="H3" s="145"/>
      <c r="I3" s="145"/>
      <c r="J3" s="145"/>
      <c r="K3" s="145"/>
      <c r="L3" s="145"/>
      <c r="M3" s="145"/>
      <c r="N3" s="147"/>
    </row>
    <row r="4" spans="1:14" ht="18.75" x14ac:dyDescent="0.25">
      <c r="A4" s="98" t="s">
        <v>107</v>
      </c>
      <c r="B4" s="134"/>
      <c r="C4" s="134"/>
      <c r="D4" s="138"/>
      <c r="E4" s="99" t="s">
        <v>108</v>
      </c>
      <c r="F4" s="83"/>
      <c r="G4" s="83"/>
      <c r="H4" s="83"/>
      <c r="I4" s="83"/>
      <c r="J4" s="83"/>
      <c r="K4" s="83"/>
      <c r="L4" s="83"/>
      <c r="M4" s="83"/>
      <c r="N4" s="148"/>
    </row>
    <row r="5" spans="1:14" ht="114.6" customHeight="1" thickBot="1" x14ac:dyDescent="0.3">
      <c r="A5" s="100" t="s">
        <v>109</v>
      </c>
      <c r="B5" s="135"/>
      <c r="C5" s="136"/>
      <c r="D5" s="139"/>
      <c r="E5" s="100" t="s">
        <v>110</v>
      </c>
      <c r="F5" s="149"/>
      <c r="G5" s="149"/>
      <c r="H5" s="149"/>
      <c r="I5" s="83"/>
      <c r="J5" s="83"/>
      <c r="K5" s="83"/>
      <c r="L5" s="83"/>
      <c r="M5" s="83"/>
      <c r="N5" s="146"/>
    </row>
    <row r="6" spans="1:14" ht="15.75" x14ac:dyDescent="0.25">
      <c r="A6" s="101" t="s">
        <v>111</v>
      </c>
      <c r="B6" s="137"/>
      <c r="C6" s="137"/>
      <c r="D6" s="138"/>
      <c r="E6" s="102" t="s">
        <v>112</v>
      </c>
      <c r="F6" s="150"/>
      <c r="G6" s="150"/>
      <c r="H6" s="150"/>
      <c r="I6" s="150"/>
      <c r="J6" s="150"/>
      <c r="K6" s="150"/>
      <c r="L6" s="150"/>
      <c r="M6" s="150"/>
      <c r="N6" s="151"/>
    </row>
    <row r="7" spans="1:14" ht="79.150000000000006" customHeight="1" x14ac:dyDescent="0.25">
      <c r="A7" s="178"/>
      <c r="B7" s="103" t="s">
        <v>113</v>
      </c>
      <c r="C7" s="104" t="s">
        <v>114</v>
      </c>
      <c r="D7" s="140"/>
      <c r="E7" s="179"/>
      <c r="F7" s="105" t="s">
        <v>115</v>
      </c>
      <c r="G7" s="106" t="s">
        <v>116</v>
      </c>
      <c r="H7" s="106" t="s">
        <v>117</v>
      </c>
      <c r="I7" s="106" t="s">
        <v>118</v>
      </c>
      <c r="J7" s="106" t="s">
        <v>119</v>
      </c>
      <c r="K7" s="106" t="s">
        <v>120</v>
      </c>
      <c r="L7" s="106" t="s">
        <v>121</v>
      </c>
      <c r="M7" s="106" t="s">
        <v>122</v>
      </c>
      <c r="N7" s="106" t="s">
        <v>123</v>
      </c>
    </row>
    <row r="8" spans="1:14" ht="15" customHeight="1" thickBot="1" x14ac:dyDescent="0.3">
      <c r="A8" s="107" t="s">
        <v>124</v>
      </c>
      <c r="B8" s="181"/>
      <c r="C8" s="181"/>
      <c r="D8" s="140"/>
      <c r="E8" s="180"/>
      <c r="F8" s="105" t="s">
        <v>125</v>
      </c>
      <c r="G8" s="106" t="s">
        <v>126</v>
      </c>
      <c r="H8" s="106" t="s">
        <v>127</v>
      </c>
      <c r="I8" s="106" t="s">
        <v>128</v>
      </c>
      <c r="J8" s="106" t="s">
        <v>129</v>
      </c>
      <c r="K8" s="106" t="s">
        <v>130</v>
      </c>
      <c r="L8" s="106" t="s">
        <v>131</v>
      </c>
      <c r="M8" s="183"/>
      <c r="N8" s="183"/>
    </row>
    <row r="9" spans="1:14" ht="45.75" thickBot="1" x14ac:dyDescent="0.3">
      <c r="A9" s="109" t="s">
        <v>132</v>
      </c>
      <c r="B9" s="110">
        <v>4774</v>
      </c>
      <c r="C9" s="111" t="s">
        <v>133</v>
      </c>
      <c r="D9" s="138"/>
      <c r="E9" s="112" t="s">
        <v>134</v>
      </c>
      <c r="F9" s="181"/>
      <c r="G9" s="181"/>
      <c r="H9" s="184"/>
      <c r="I9" s="184"/>
      <c r="J9" s="184"/>
      <c r="K9" s="184"/>
      <c r="L9" s="184"/>
      <c r="M9" s="184"/>
      <c r="N9" s="185"/>
    </row>
    <row r="10" spans="1:14" ht="46.5" thickBot="1" x14ac:dyDescent="0.3">
      <c r="A10" s="113" t="s">
        <v>135</v>
      </c>
      <c r="B10" s="114">
        <f>2612*0.25</f>
        <v>653</v>
      </c>
      <c r="C10" s="115" t="s">
        <v>136</v>
      </c>
      <c r="D10" s="138"/>
      <c r="E10" s="116" t="s">
        <v>137</v>
      </c>
      <c r="F10" s="117">
        <f>1951*0.25</f>
        <v>487.75</v>
      </c>
      <c r="G10" s="117">
        <f>1929*0.25</f>
        <v>482.25</v>
      </c>
      <c r="H10" s="118">
        <f>797*0.25</f>
        <v>199.25</v>
      </c>
      <c r="I10" s="118">
        <f>4187*0.25</f>
        <v>1046.75</v>
      </c>
      <c r="J10" s="118">
        <f>1635*0.25</f>
        <v>408.75</v>
      </c>
      <c r="K10" s="118">
        <f>307*0.25</f>
        <v>76.75</v>
      </c>
      <c r="L10" s="118">
        <f>3546*0.25</f>
        <v>886.5</v>
      </c>
      <c r="M10" s="118">
        <f>2846*0.25</f>
        <v>711.5</v>
      </c>
      <c r="N10" s="115" t="s">
        <v>138</v>
      </c>
    </row>
    <row r="11" spans="1:14" ht="45.75" thickBot="1" x14ac:dyDescent="0.3">
      <c r="A11" s="119" t="s">
        <v>139</v>
      </c>
      <c r="B11" s="114">
        <f>7135*0.25</f>
        <v>1783.75</v>
      </c>
      <c r="C11" s="115" t="s">
        <v>136</v>
      </c>
      <c r="D11" s="138"/>
      <c r="E11" s="116" t="s">
        <v>140</v>
      </c>
      <c r="F11" s="117">
        <f>231*0.25</f>
        <v>57.75</v>
      </c>
      <c r="G11" s="117">
        <f>363*0.25</f>
        <v>90.75</v>
      </c>
      <c r="H11" s="118">
        <f>78*0.25</f>
        <v>19.5</v>
      </c>
      <c r="I11" s="118">
        <f>231*0.25</f>
        <v>57.75</v>
      </c>
      <c r="J11" s="118">
        <f>272*0.25</f>
        <v>68</v>
      </c>
      <c r="K11" s="118" t="s">
        <v>199</v>
      </c>
      <c r="L11" s="118" t="s">
        <v>199</v>
      </c>
      <c r="M11" s="118">
        <f>375*0.25</f>
        <v>93.75</v>
      </c>
      <c r="N11" s="115" t="s">
        <v>138</v>
      </c>
    </row>
    <row r="12" spans="1:14" ht="45.75" thickBot="1" x14ac:dyDescent="0.3">
      <c r="A12" s="107" t="s">
        <v>134</v>
      </c>
      <c r="B12" s="182"/>
      <c r="C12" s="181"/>
      <c r="D12" s="138"/>
      <c r="E12" s="116" t="s">
        <v>141</v>
      </c>
      <c r="F12" s="117">
        <v>0</v>
      </c>
      <c r="G12" s="117" t="s">
        <v>199</v>
      </c>
      <c r="H12" s="118" t="s">
        <v>199</v>
      </c>
      <c r="I12" s="118" t="s">
        <v>199</v>
      </c>
      <c r="J12" s="118">
        <v>0</v>
      </c>
      <c r="K12" s="118">
        <v>0</v>
      </c>
      <c r="L12" s="118" t="s">
        <v>199</v>
      </c>
      <c r="M12" s="118">
        <f>1*0.25</f>
        <v>0.25</v>
      </c>
      <c r="N12" s="115" t="s">
        <v>138</v>
      </c>
    </row>
    <row r="13" spans="1:14" ht="32.25" thickBot="1" x14ac:dyDescent="0.3">
      <c r="A13" s="109" t="s">
        <v>137</v>
      </c>
      <c r="B13" s="110">
        <f>14333*0.25</f>
        <v>3583.25</v>
      </c>
      <c r="C13" s="111" t="s">
        <v>142</v>
      </c>
      <c r="D13" s="138"/>
      <c r="E13" s="108" t="s">
        <v>143</v>
      </c>
      <c r="F13" s="182"/>
      <c r="G13" s="182"/>
      <c r="H13" s="186"/>
      <c r="I13" s="186"/>
      <c r="J13" s="186"/>
      <c r="K13" s="186"/>
      <c r="L13" s="186"/>
      <c r="M13" s="186"/>
      <c r="N13" s="185"/>
    </row>
    <row r="14" spans="1:14" ht="45.75" thickBot="1" x14ac:dyDescent="0.3">
      <c r="A14" s="119" t="s">
        <v>140</v>
      </c>
      <c r="B14" s="114">
        <f>1214*0.25</f>
        <v>303.5</v>
      </c>
      <c r="C14" s="115" t="s">
        <v>142</v>
      </c>
      <c r="D14" s="138"/>
      <c r="E14" s="116" t="s">
        <v>144</v>
      </c>
      <c r="F14" s="117">
        <f>1455*0.25</f>
        <v>363.75</v>
      </c>
      <c r="G14" s="117">
        <f>1236*0.25</f>
        <v>309</v>
      </c>
      <c r="H14" s="118">
        <f>411*0.25</f>
        <v>102.75</v>
      </c>
      <c r="I14" s="118">
        <f>1921*0.25</f>
        <v>480.25</v>
      </c>
      <c r="J14" s="118">
        <f>1177*0.25</f>
        <v>294.25</v>
      </c>
      <c r="K14" s="118" t="s">
        <v>199</v>
      </c>
      <c r="L14" s="118">
        <f>1855*0.25</f>
        <v>463.75</v>
      </c>
      <c r="M14" s="118">
        <f>1967*0.25</f>
        <v>491.75</v>
      </c>
      <c r="N14" s="115" t="s">
        <v>145</v>
      </c>
    </row>
    <row r="15" spans="1:14" ht="45.75" thickBot="1" x14ac:dyDescent="0.3">
      <c r="A15" s="119" t="s">
        <v>141</v>
      </c>
      <c r="B15" s="114">
        <f>116*0.25</f>
        <v>29</v>
      </c>
      <c r="C15" s="115" t="s">
        <v>142</v>
      </c>
      <c r="D15" s="138"/>
      <c r="E15" s="116" t="s">
        <v>146</v>
      </c>
      <c r="F15" s="117">
        <f>1720*0.25</f>
        <v>430</v>
      </c>
      <c r="G15" s="117">
        <f>855*0.25</f>
        <v>213.75</v>
      </c>
      <c r="H15" s="118">
        <f>432*0.25</f>
        <v>108</v>
      </c>
      <c r="I15" s="118">
        <f>1105*0.25</f>
        <v>276.25</v>
      </c>
      <c r="J15" s="118">
        <f>1030*0.25</f>
        <v>257.5</v>
      </c>
      <c r="K15" s="118">
        <f>109*0.25</f>
        <v>27.25</v>
      </c>
      <c r="L15" s="118">
        <f>1651*0.25</f>
        <v>412.75</v>
      </c>
      <c r="M15" s="118">
        <f>1818*0.25</f>
        <v>454.5</v>
      </c>
      <c r="N15" s="115" t="s">
        <v>147</v>
      </c>
    </row>
    <row r="16" spans="1:14" ht="45.75" thickBot="1" x14ac:dyDescent="0.3">
      <c r="A16" s="107" t="s">
        <v>143</v>
      </c>
      <c r="B16" s="182"/>
      <c r="C16" s="181"/>
      <c r="D16" s="138"/>
      <c r="E16" s="116" t="s">
        <v>148</v>
      </c>
      <c r="F16" s="117">
        <f>879*0.25</f>
        <v>219.75</v>
      </c>
      <c r="G16" s="117">
        <f>341*0.25</f>
        <v>85.25</v>
      </c>
      <c r="H16" s="118">
        <f>154*0.25</f>
        <v>38.5</v>
      </c>
      <c r="I16" s="118">
        <f>569*0.25</f>
        <v>142.25</v>
      </c>
      <c r="J16" s="118">
        <f>549*0.25</f>
        <v>137.25</v>
      </c>
      <c r="K16" s="118" t="s">
        <v>199</v>
      </c>
      <c r="L16" s="118">
        <f>850*0.25</f>
        <v>212.5</v>
      </c>
      <c r="M16" s="118">
        <f>955*0.25</f>
        <v>238.75</v>
      </c>
      <c r="N16" s="115" t="s">
        <v>147</v>
      </c>
    </row>
    <row r="17" spans="1:14" ht="45.75" thickBot="1" x14ac:dyDescent="0.3">
      <c r="A17" s="119" t="s">
        <v>149</v>
      </c>
      <c r="B17" s="110">
        <f>6695*0.25</f>
        <v>1673.75</v>
      </c>
      <c r="C17" s="111" t="s">
        <v>142</v>
      </c>
      <c r="D17" s="138"/>
      <c r="E17" s="116" t="s">
        <v>150</v>
      </c>
      <c r="F17" s="117">
        <f>195*0.25</f>
        <v>48.75</v>
      </c>
      <c r="G17" s="117">
        <f>485*0.25</f>
        <v>121.25</v>
      </c>
      <c r="H17" s="118">
        <f>88*0.25</f>
        <v>22</v>
      </c>
      <c r="I17" s="118">
        <f>153*0.25</f>
        <v>38.25</v>
      </c>
      <c r="J17" s="118">
        <f>52*0.25</f>
        <v>13</v>
      </c>
      <c r="K17" s="118">
        <f>102*0.25</f>
        <v>25.5</v>
      </c>
      <c r="L17" s="118">
        <f>124*0.25</f>
        <v>31</v>
      </c>
      <c r="M17" s="118">
        <f>95*0.25</f>
        <v>23.75</v>
      </c>
      <c r="N17" s="115" t="s">
        <v>151</v>
      </c>
    </row>
    <row r="18" spans="1:14" ht="45.75" thickBot="1" x14ac:dyDescent="0.3">
      <c r="A18" s="119" t="s">
        <v>146</v>
      </c>
      <c r="B18" s="114">
        <f>7284*0.25</f>
        <v>1821</v>
      </c>
      <c r="C18" s="115" t="s">
        <v>142</v>
      </c>
      <c r="D18" s="138"/>
      <c r="E18" s="116" t="s">
        <v>152</v>
      </c>
      <c r="F18" s="117">
        <f>141*0.25</f>
        <v>35.25</v>
      </c>
      <c r="G18" s="117" t="s">
        <v>199</v>
      </c>
      <c r="H18" s="118" t="s">
        <v>199</v>
      </c>
      <c r="I18" s="118" t="s">
        <v>199</v>
      </c>
      <c r="J18" s="118">
        <f>53*0.25</f>
        <v>13.25</v>
      </c>
      <c r="K18" s="118">
        <f>1*0.25</f>
        <v>0.25</v>
      </c>
      <c r="L18" s="118">
        <f>56*0.25</f>
        <v>14</v>
      </c>
      <c r="M18" s="118">
        <f>96*0.25</f>
        <v>24</v>
      </c>
      <c r="N18" s="115" t="s">
        <v>153</v>
      </c>
    </row>
    <row r="19" spans="1:14" ht="45.75" thickBot="1" x14ac:dyDescent="0.3">
      <c r="A19" s="119" t="s">
        <v>148</v>
      </c>
      <c r="B19" s="114">
        <f>3297*0.25</f>
        <v>824.25</v>
      </c>
      <c r="C19" s="115" t="s">
        <v>142</v>
      </c>
      <c r="D19" s="138"/>
      <c r="E19" s="116" t="s">
        <v>154</v>
      </c>
      <c r="F19" s="117">
        <f>575*0.25</f>
        <v>143.75</v>
      </c>
      <c r="G19" s="117">
        <f>348*0.25</f>
        <v>87</v>
      </c>
      <c r="H19" s="118">
        <f>152*0.25</f>
        <v>38</v>
      </c>
      <c r="I19" s="118">
        <f>372*0.25</f>
        <v>93</v>
      </c>
      <c r="J19" s="118">
        <f>556*0.25</f>
        <v>139</v>
      </c>
      <c r="K19" s="118" t="s">
        <v>199</v>
      </c>
      <c r="L19" s="118">
        <f>440*0.25</f>
        <v>110</v>
      </c>
      <c r="M19" s="118">
        <f>964*0.25</f>
        <v>241</v>
      </c>
      <c r="N19" s="115" t="s">
        <v>155</v>
      </c>
    </row>
    <row r="20" spans="1:14" ht="45.75" thickBot="1" x14ac:dyDescent="0.3">
      <c r="A20" s="119" t="s">
        <v>150</v>
      </c>
      <c r="B20" s="114">
        <f>1113*0.25</f>
        <v>278.25</v>
      </c>
      <c r="C20" s="115" t="s">
        <v>142</v>
      </c>
      <c r="D20" s="138"/>
      <c r="E20" s="116" t="s">
        <v>156</v>
      </c>
      <c r="F20" s="117">
        <f>47*0.25</f>
        <v>11.75</v>
      </c>
      <c r="G20" s="117">
        <f>102*0.25</f>
        <v>25.5</v>
      </c>
      <c r="H20" s="118">
        <f>174*0.25</f>
        <v>43.5</v>
      </c>
      <c r="I20" s="118">
        <f>364*0.25</f>
        <v>91</v>
      </c>
      <c r="J20" s="118">
        <f>115*0.25</f>
        <v>28.75</v>
      </c>
      <c r="K20" s="118" t="s">
        <v>199</v>
      </c>
      <c r="L20" s="118">
        <f>761*0.25</f>
        <v>190.25</v>
      </c>
      <c r="M20" s="118">
        <f>223*0.25</f>
        <v>55.75</v>
      </c>
      <c r="N20" s="115" t="s">
        <v>157</v>
      </c>
    </row>
    <row r="21" spans="1:14" ht="45.75" thickBot="1" x14ac:dyDescent="0.3">
      <c r="A21" s="119" t="s">
        <v>152</v>
      </c>
      <c r="B21" s="110">
        <f>386*0.25</f>
        <v>96.5</v>
      </c>
      <c r="C21" s="111" t="s">
        <v>142</v>
      </c>
      <c r="D21" s="138"/>
      <c r="E21" s="116" t="s">
        <v>158</v>
      </c>
      <c r="F21" s="117">
        <v>0</v>
      </c>
      <c r="G21" s="117" t="s">
        <v>199</v>
      </c>
      <c r="H21" s="118" t="s">
        <v>199</v>
      </c>
      <c r="I21" s="118" t="s">
        <v>199</v>
      </c>
      <c r="J21" s="118">
        <f>46*0.25</f>
        <v>11.5</v>
      </c>
      <c r="K21" s="118">
        <v>0</v>
      </c>
      <c r="L21" s="118">
        <v>0</v>
      </c>
      <c r="M21" s="118">
        <f>61*0.25</f>
        <v>15.25</v>
      </c>
      <c r="N21" s="115" t="s">
        <v>159</v>
      </c>
    </row>
    <row r="22" spans="1:14" ht="45.75" thickBot="1" x14ac:dyDescent="0.3">
      <c r="A22" s="119" t="s">
        <v>154</v>
      </c>
      <c r="B22" s="114">
        <f>2925*0.25</f>
        <v>731.25</v>
      </c>
      <c r="C22" s="115" t="s">
        <v>142</v>
      </c>
      <c r="D22" s="138"/>
      <c r="E22" s="116" t="s">
        <v>160</v>
      </c>
      <c r="F22" s="117">
        <v>0</v>
      </c>
      <c r="G22" s="117">
        <f>50*0.25</f>
        <v>12.5</v>
      </c>
      <c r="H22" s="118">
        <f>48*0.25</f>
        <v>12</v>
      </c>
      <c r="I22" s="118" t="s">
        <v>199</v>
      </c>
      <c r="J22" s="118">
        <f>61*0.25</f>
        <v>15.25</v>
      </c>
      <c r="K22" s="118">
        <v>0</v>
      </c>
      <c r="L22" s="118">
        <v>0</v>
      </c>
      <c r="M22" s="118">
        <f>83*0.25</f>
        <v>20.75</v>
      </c>
      <c r="N22" s="115" t="s">
        <v>159</v>
      </c>
    </row>
    <row r="23" spans="1:14" ht="32.25" thickBot="1" x14ac:dyDescent="0.3">
      <c r="A23" s="119" t="s">
        <v>161</v>
      </c>
      <c r="B23" s="114">
        <f>1408*0.25</f>
        <v>352</v>
      </c>
      <c r="C23" s="115" t="s">
        <v>142</v>
      </c>
      <c r="D23" s="138"/>
      <c r="E23" s="108" t="s">
        <v>162</v>
      </c>
      <c r="F23" s="182"/>
      <c r="G23" s="182"/>
      <c r="H23" s="186"/>
      <c r="I23" s="186"/>
      <c r="J23" s="186"/>
      <c r="K23" s="186"/>
      <c r="L23" s="186"/>
      <c r="M23" s="186"/>
      <c r="N23" s="185"/>
    </row>
    <row r="24" spans="1:14" ht="45.75" thickBot="1" x14ac:dyDescent="0.3">
      <c r="A24" s="119" t="s">
        <v>158</v>
      </c>
      <c r="B24" s="114">
        <f>135*0.25</f>
        <v>33.75</v>
      </c>
      <c r="C24" s="115" t="s">
        <v>142</v>
      </c>
      <c r="D24" s="138"/>
      <c r="E24" s="116" t="s">
        <v>163</v>
      </c>
      <c r="F24" s="117">
        <f>1362*0.25</f>
        <v>340.5</v>
      </c>
      <c r="G24" s="117">
        <f>1412*0.25</f>
        <v>353</v>
      </c>
      <c r="H24" s="118">
        <f>402*0.25</f>
        <v>100.5</v>
      </c>
      <c r="I24" s="118">
        <f>2048*0.25</f>
        <v>512</v>
      </c>
      <c r="J24" s="118">
        <f>1104*0.25</f>
        <v>276</v>
      </c>
      <c r="K24" s="118">
        <f>172*0.25</f>
        <v>43</v>
      </c>
      <c r="L24" s="118">
        <f>1494*0.25</f>
        <v>373.5</v>
      </c>
      <c r="M24" s="118">
        <f>1997*0.25</f>
        <v>499.25</v>
      </c>
      <c r="N24" s="115" t="s">
        <v>164</v>
      </c>
    </row>
    <row r="25" spans="1:14" ht="45.75" thickBot="1" x14ac:dyDescent="0.3">
      <c r="A25" s="119" t="s">
        <v>160</v>
      </c>
      <c r="B25" s="114">
        <f>167*0.25</f>
        <v>41.75</v>
      </c>
      <c r="C25" s="115" t="s">
        <v>142</v>
      </c>
      <c r="D25" s="138"/>
      <c r="E25" s="116" t="s">
        <v>165</v>
      </c>
      <c r="F25" s="117">
        <f>1563*0.25</f>
        <v>390.75</v>
      </c>
      <c r="G25" s="117">
        <f>1778*0.25</f>
        <v>444.5</v>
      </c>
      <c r="H25" s="118">
        <f>618*0.25</f>
        <v>154.5</v>
      </c>
      <c r="I25" s="118">
        <f>3139*0.25</f>
        <v>784.75</v>
      </c>
      <c r="J25" s="118">
        <f>1211*0.25</f>
        <v>302.75</v>
      </c>
      <c r="K25" s="118">
        <f>165*0.25</f>
        <v>41.25</v>
      </c>
      <c r="L25" s="118">
        <f>2038*0.25</f>
        <v>509.5</v>
      </c>
      <c r="M25" s="118">
        <f>1815*0.25</f>
        <v>453.75</v>
      </c>
      <c r="N25" s="115" t="s">
        <v>164</v>
      </c>
    </row>
    <row r="26" spans="1:14" ht="45.75" thickBot="1" x14ac:dyDescent="0.3">
      <c r="A26" s="107" t="s">
        <v>162</v>
      </c>
      <c r="B26" s="182"/>
      <c r="C26" s="181"/>
      <c r="D26" s="138"/>
      <c r="E26" s="116" t="s">
        <v>166</v>
      </c>
      <c r="F26" s="117" t="s">
        <v>199</v>
      </c>
      <c r="G26" s="117" t="s">
        <v>199</v>
      </c>
      <c r="H26" s="118" t="s">
        <v>199</v>
      </c>
      <c r="I26" s="118" t="s">
        <v>199</v>
      </c>
      <c r="J26" s="118" t="s">
        <v>199</v>
      </c>
      <c r="K26" s="118" t="s">
        <v>199</v>
      </c>
      <c r="L26" s="118" t="s">
        <v>199</v>
      </c>
      <c r="M26" s="118" t="s">
        <v>199</v>
      </c>
      <c r="N26" s="115" t="s">
        <v>164</v>
      </c>
    </row>
    <row r="27" spans="1:14" ht="45.75" thickBot="1" x14ac:dyDescent="0.3">
      <c r="A27" s="119" t="s">
        <v>163</v>
      </c>
      <c r="B27" s="110">
        <f>8675*0.25</f>
        <v>2168.75</v>
      </c>
      <c r="C27" s="111" t="s">
        <v>167</v>
      </c>
      <c r="D27" s="138"/>
      <c r="E27" s="116" t="s">
        <v>168</v>
      </c>
      <c r="F27" s="117">
        <f>1*0.25</f>
        <v>0.25</v>
      </c>
      <c r="G27" s="117" t="s">
        <v>199</v>
      </c>
      <c r="H27" s="118" t="s">
        <v>199</v>
      </c>
      <c r="I27" s="118" t="s">
        <v>199</v>
      </c>
      <c r="J27" s="118" t="s">
        <v>199</v>
      </c>
      <c r="K27" s="118" t="s">
        <v>199</v>
      </c>
      <c r="L27" s="118" t="s">
        <v>199</v>
      </c>
      <c r="M27" s="118" t="s">
        <v>199</v>
      </c>
      <c r="N27" s="115" t="s">
        <v>164</v>
      </c>
    </row>
    <row r="28" spans="1:14" ht="16.5" thickBot="1" x14ac:dyDescent="0.3">
      <c r="A28" s="119" t="s">
        <v>165</v>
      </c>
      <c r="B28" s="114">
        <f>10055*0.25</f>
        <v>2513.75</v>
      </c>
      <c r="C28" s="115" t="s">
        <v>167</v>
      </c>
      <c r="D28" s="138"/>
      <c r="E28" s="108" t="s">
        <v>169</v>
      </c>
      <c r="F28" s="182"/>
      <c r="G28" s="182"/>
      <c r="H28" s="186"/>
      <c r="I28" s="186"/>
      <c r="J28" s="186"/>
      <c r="K28" s="186"/>
      <c r="L28" s="186"/>
      <c r="M28" s="186"/>
      <c r="N28" s="185"/>
    </row>
    <row r="29" spans="1:14" ht="45.75" thickBot="1" x14ac:dyDescent="0.3">
      <c r="A29" s="119" t="s">
        <v>166</v>
      </c>
      <c r="B29" s="114">
        <f>79*0.25</f>
        <v>19.75</v>
      </c>
      <c r="C29" s="115" t="s">
        <v>167</v>
      </c>
      <c r="D29" s="138"/>
      <c r="E29" s="116" t="s">
        <v>170</v>
      </c>
      <c r="F29" s="117">
        <f>445*0.25</f>
        <v>111.25</v>
      </c>
      <c r="G29" s="117">
        <f>599*0.25</f>
        <v>149.75</v>
      </c>
      <c r="H29" s="118">
        <f>159*0.25</f>
        <v>39.75</v>
      </c>
      <c r="I29" s="118">
        <f>915*0.25</f>
        <v>228.75</v>
      </c>
      <c r="J29" s="118">
        <f>422*0.25</f>
        <v>105.5</v>
      </c>
      <c r="K29" s="118">
        <f>47*0.25</f>
        <v>11.75</v>
      </c>
      <c r="L29" s="118">
        <f>617*0.25</f>
        <v>154.25</v>
      </c>
      <c r="M29" s="118">
        <f>648*0.25</f>
        <v>162</v>
      </c>
      <c r="N29" s="115" t="s">
        <v>171</v>
      </c>
    </row>
    <row r="30" spans="1:14" ht="45.75" thickBot="1" x14ac:dyDescent="0.3">
      <c r="A30" s="119" t="s">
        <v>168</v>
      </c>
      <c r="B30" s="114">
        <f>43*0.25</f>
        <v>10.75</v>
      </c>
      <c r="C30" s="115" t="s">
        <v>167</v>
      </c>
      <c r="D30" s="138"/>
      <c r="E30" s="116" t="s">
        <v>172</v>
      </c>
      <c r="F30" s="117">
        <f>2494*0.25</f>
        <v>623.5</v>
      </c>
      <c r="G30" s="117">
        <f>2590*0.25</f>
        <v>647.5</v>
      </c>
      <c r="H30" s="118">
        <f>874*0.25</f>
        <v>218.5</v>
      </c>
      <c r="I30" s="118">
        <f>4296*0.25</f>
        <v>1074</v>
      </c>
      <c r="J30" s="118">
        <f>1792*0.25</f>
        <v>448</v>
      </c>
      <c r="K30" s="118">
        <f>290*0.25</f>
        <v>72.5</v>
      </c>
      <c r="L30" s="118">
        <f>2969*0.25</f>
        <v>742.25</v>
      </c>
      <c r="M30" s="118">
        <f>3064*0.25</f>
        <v>766</v>
      </c>
      <c r="N30" s="115" t="s">
        <v>171</v>
      </c>
    </row>
    <row r="31" spans="1:14" ht="45.75" thickBot="1" x14ac:dyDescent="0.3">
      <c r="A31" s="107" t="s">
        <v>169</v>
      </c>
      <c r="B31" s="182"/>
      <c r="C31" s="181"/>
      <c r="D31" s="138"/>
      <c r="E31" s="116" t="s">
        <v>173</v>
      </c>
      <c r="F31" s="117">
        <f>1565*0.25</f>
        <v>391.25</v>
      </c>
      <c r="G31" s="117">
        <f>1762*0.25</f>
        <v>440.5</v>
      </c>
      <c r="H31" s="118">
        <f>679*0.25</f>
        <v>169.75</v>
      </c>
      <c r="I31" s="118">
        <f>2790*0.25</f>
        <v>697.5</v>
      </c>
      <c r="J31" s="118">
        <f>1184*0.25</f>
        <v>296</v>
      </c>
      <c r="K31" s="118">
        <f>237*0.25</f>
        <v>59.25</v>
      </c>
      <c r="L31" s="118">
        <f>1957*0.25</f>
        <v>489.25</v>
      </c>
      <c r="M31" s="118">
        <f>2112*0.25</f>
        <v>528</v>
      </c>
      <c r="N31" s="115" t="s">
        <v>174</v>
      </c>
    </row>
    <row r="32" spans="1:14" ht="45.75" thickBot="1" x14ac:dyDescent="0.3">
      <c r="A32" s="119" t="s">
        <v>175</v>
      </c>
      <c r="B32" s="110">
        <f>3201*0.25</f>
        <v>800.25</v>
      </c>
      <c r="C32" s="111" t="s">
        <v>167</v>
      </c>
      <c r="D32" s="138"/>
      <c r="E32" s="116" t="s">
        <v>176</v>
      </c>
      <c r="F32" s="117">
        <f>73*0.25</f>
        <v>18.25</v>
      </c>
      <c r="G32" s="117">
        <f>79*0.25</f>
        <v>19.75</v>
      </c>
      <c r="H32" s="118" t="s">
        <v>199</v>
      </c>
      <c r="I32" s="118">
        <f>149*0.25</f>
        <v>37.25</v>
      </c>
      <c r="J32" s="118">
        <f>56*0.25</f>
        <v>14</v>
      </c>
      <c r="K32" s="118" t="s">
        <v>199</v>
      </c>
      <c r="L32" s="118">
        <v>87</v>
      </c>
      <c r="M32" s="118">
        <f>98*0.25</f>
        <v>24.5</v>
      </c>
      <c r="N32" s="115" t="s">
        <v>174</v>
      </c>
    </row>
    <row r="33" spans="1:15" ht="45.75" thickBot="1" x14ac:dyDescent="0.3">
      <c r="A33" s="119" t="s">
        <v>177</v>
      </c>
      <c r="B33" s="114">
        <f>15468*0.25</f>
        <v>3867</v>
      </c>
      <c r="C33" s="115" t="s">
        <v>167</v>
      </c>
      <c r="D33" s="138"/>
      <c r="E33" s="116" t="s">
        <v>178</v>
      </c>
      <c r="F33" s="117">
        <f>91*0.25</f>
        <v>22.75</v>
      </c>
      <c r="G33" s="117">
        <f>90*0.25</f>
        <v>22.5</v>
      </c>
      <c r="H33" s="118" t="s">
        <v>199</v>
      </c>
      <c r="I33" s="118">
        <f>197*0.25</f>
        <v>49.25</v>
      </c>
      <c r="J33" s="118">
        <f>45*0.25</f>
        <v>11.25</v>
      </c>
      <c r="K33" s="118" t="s">
        <v>199</v>
      </c>
      <c r="L33" s="118">
        <f>152*0.25</f>
        <v>38</v>
      </c>
      <c r="M33" s="118">
        <f>100*0.25</f>
        <v>25</v>
      </c>
      <c r="N33" s="115" t="s">
        <v>174</v>
      </c>
    </row>
    <row r="34" spans="1:15" ht="45.75" thickBot="1" x14ac:dyDescent="0.3">
      <c r="A34" s="119" t="s">
        <v>173</v>
      </c>
      <c r="B34" s="114">
        <f>10649*0.25</f>
        <v>2662.25</v>
      </c>
      <c r="C34" s="115" t="s">
        <v>167</v>
      </c>
      <c r="D34" s="138"/>
      <c r="E34" s="116" t="s">
        <v>179</v>
      </c>
      <c r="F34" s="117">
        <f>44*0.25</f>
        <v>11</v>
      </c>
      <c r="G34" s="117">
        <f>53*0.25</f>
        <v>13.25</v>
      </c>
      <c r="H34" s="118" t="s">
        <v>199</v>
      </c>
      <c r="I34" s="118">
        <f>122*0.25</f>
        <v>30.5</v>
      </c>
      <c r="J34" s="118">
        <f>56*0.25</f>
        <v>14</v>
      </c>
      <c r="K34" s="118" t="s">
        <v>199</v>
      </c>
      <c r="L34" s="118">
        <f>66*0.25</f>
        <v>16.5</v>
      </c>
      <c r="M34" s="118">
        <f>70*0.25</f>
        <v>17.5</v>
      </c>
      <c r="N34" s="115" t="s">
        <v>174</v>
      </c>
    </row>
    <row r="35" spans="1:15" ht="45.75" thickBot="1" x14ac:dyDescent="0.3">
      <c r="A35" s="119" t="s">
        <v>176</v>
      </c>
      <c r="B35" s="114">
        <f>469*0.25</f>
        <v>117.25</v>
      </c>
      <c r="C35" s="115" t="s">
        <v>167</v>
      </c>
      <c r="D35" s="138"/>
      <c r="E35" s="116" t="s">
        <v>180</v>
      </c>
      <c r="F35" s="117">
        <f>877*0.25</f>
        <v>219.25</v>
      </c>
      <c r="G35" s="117">
        <f>930*0.25</f>
        <v>232.5</v>
      </c>
      <c r="H35" s="118">
        <f>190*0.25</f>
        <v>47.5</v>
      </c>
      <c r="I35" s="118">
        <f>1610*0.25</f>
        <v>402.5</v>
      </c>
      <c r="J35" s="118">
        <f>674*0.25</f>
        <v>168.5</v>
      </c>
      <c r="K35" s="118">
        <f>61*0.25</f>
        <v>15.25</v>
      </c>
      <c r="L35" s="118">
        <f>1070*0.25</f>
        <v>267.5</v>
      </c>
      <c r="M35" s="118">
        <f>997*0.25</f>
        <v>249.25</v>
      </c>
      <c r="N35" s="115" t="s">
        <v>174</v>
      </c>
    </row>
    <row r="36" spans="1:15" ht="45.75" thickBot="1" x14ac:dyDescent="0.3">
      <c r="A36" s="119" t="s">
        <v>178</v>
      </c>
      <c r="B36" s="110">
        <f>622*0.25</f>
        <v>155.5</v>
      </c>
      <c r="C36" s="111" t="s">
        <v>167</v>
      </c>
      <c r="D36" s="138"/>
      <c r="E36" s="116" t="s">
        <v>181</v>
      </c>
      <c r="F36" s="117">
        <f>290*0.25</f>
        <v>72.5</v>
      </c>
      <c r="G36" s="117">
        <f>261*0.25</f>
        <v>65.25</v>
      </c>
      <c r="H36" s="118">
        <f>78*0.25</f>
        <v>19.5</v>
      </c>
      <c r="I36" s="118">
        <f>322*0.25</f>
        <v>80.5</v>
      </c>
      <c r="J36" s="118">
        <f>148*0.25</f>
        <v>37</v>
      </c>
      <c r="K36" s="118" t="s">
        <v>199</v>
      </c>
      <c r="L36" s="118">
        <f>227*0.25</f>
        <v>56.75</v>
      </c>
      <c r="M36" s="118">
        <f>257*0.25</f>
        <v>64.25</v>
      </c>
      <c r="N36" s="115" t="s">
        <v>174</v>
      </c>
    </row>
    <row r="37" spans="1:15" ht="32.25" thickBot="1" x14ac:dyDescent="0.3">
      <c r="A37" s="119" t="s">
        <v>179</v>
      </c>
      <c r="B37" s="114">
        <f>328*0.25</f>
        <v>82</v>
      </c>
      <c r="C37" s="115" t="s">
        <v>167</v>
      </c>
      <c r="D37" s="138"/>
      <c r="E37" s="120" t="s">
        <v>200</v>
      </c>
      <c r="F37" s="121"/>
      <c r="G37" s="121"/>
      <c r="H37" s="121"/>
      <c r="I37" s="121"/>
      <c r="J37" s="121"/>
      <c r="K37" s="121"/>
      <c r="L37" s="121"/>
      <c r="M37" s="121"/>
      <c r="N37" s="122"/>
    </row>
    <row r="38" spans="1:15" ht="16.5" thickBot="1" x14ac:dyDescent="0.3">
      <c r="A38" s="119" t="s">
        <v>180</v>
      </c>
      <c r="B38" s="114">
        <f>5020*0.25</f>
        <v>1255</v>
      </c>
      <c r="C38" s="115" t="s">
        <v>167</v>
      </c>
      <c r="D38" s="138"/>
      <c r="E38" s="123"/>
      <c r="F38" s="124"/>
      <c r="G38" s="124"/>
      <c r="H38" s="124"/>
      <c r="I38" s="124"/>
      <c r="J38" s="124"/>
      <c r="K38" s="124"/>
      <c r="L38" s="124"/>
      <c r="M38" s="124"/>
      <c r="N38" s="125"/>
    </row>
    <row r="39" spans="1:15" ht="16.5" thickBot="1" x14ac:dyDescent="0.3">
      <c r="A39" s="119" t="s">
        <v>181</v>
      </c>
      <c r="B39" s="114">
        <f>1342*0.25</f>
        <v>335.5</v>
      </c>
      <c r="C39" s="115" t="s">
        <v>167</v>
      </c>
      <c r="D39" s="141"/>
      <c r="E39" s="126"/>
      <c r="F39" s="127"/>
      <c r="G39" s="127"/>
      <c r="H39" s="127"/>
      <c r="I39" s="127"/>
      <c r="J39" s="127"/>
      <c r="K39" s="127"/>
      <c r="L39" s="127"/>
      <c r="M39" s="127"/>
      <c r="N39" s="128"/>
    </row>
    <row r="40" spans="1:15" s="130" customFormat="1" ht="18" x14ac:dyDescent="0.2">
      <c r="A40" s="129" t="s">
        <v>182</v>
      </c>
      <c r="B40" s="152"/>
      <c r="C40" s="152"/>
      <c r="D40" s="142"/>
      <c r="E40" s="142"/>
      <c r="F40" s="142"/>
      <c r="G40" s="142"/>
      <c r="H40" s="142"/>
      <c r="I40" s="142"/>
      <c r="J40" s="142"/>
      <c r="K40" s="142"/>
      <c r="L40" s="142"/>
      <c r="M40" s="142"/>
      <c r="N40" s="142"/>
      <c r="O40" s="142"/>
    </row>
    <row r="41" spans="1:15" s="131" customFormat="1" ht="18" x14ac:dyDescent="0.2">
      <c r="A41" s="131" t="s">
        <v>183</v>
      </c>
      <c r="B41" s="143"/>
      <c r="C41" s="143"/>
      <c r="D41" s="143"/>
      <c r="E41" s="143"/>
      <c r="F41" s="143"/>
      <c r="G41" s="143"/>
      <c r="H41" s="143"/>
      <c r="I41" s="143"/>
      <c r="J41" s="143"/>
      <c r="K41" s="143"/>
      <c r="L41" s="143"/>
      <c r="M41" s="143"/>
      <c r="N41" s="143"/>
      <c r="O41" s="143"/>
    </row>
    <row r="42" spans="1:15" s="130" customFormat="1" ht="18" x14ac:dyDescent="0.2">
      <c r="A42" s="132" t="s">
        <v>184</v>
      </c>
      <c r="B42" s="142"/>
      <c r="C42" s="142"/>
      <c r="D42" s="142"/>
      <c r="E42" s="142"/>
      <c r="F42" s="142"/>
      <c r="G42" s="142"/>
      <c r="H42" s="142"/>
      <c r="I42" s="142"/>
      <c r="J42" s="142"/>
      <c r="K42" s="142"/>
      <c r="L42" s="142"/>
      <c r="M42" s="142"/>
      <c r="N42" s="142"/>
      <c r="O42" s="142"/>
    </row>
  </sheetData>
  <sheetProtection sheet="1" objects="1" scenarios="1" selectLockedCell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6"/>
  <sheetViews>
    <sheetView zoomScale="90" zoomScaleNormal="90" workbookViewId="0">
      <selection activeCell="A6" sqref="A6"/>
    </sheetView>
  </sheetViews>
  <sheetFormatPr defaultColWidth="0" defaultRowHeight="15" zeroHeight="1" x14ac:dyDescent="0.25"/>
  <cols>
    <col min="1" max="1" width="29.5703125" style="78" customWidth="1"/>
    <col min="2" max="2" width="68.85546875" style="78" customWidth="1"/>
    <col min="3" max="16384" width="8.7109375" style="78" hidden="1"/>
  </cols>
  <sheetData>
    <row r="1" spans="1:2" x14ac:dyDescent="0.25">
      <c r="A1" s="89" t="s">
        <v>197</v>
      </c>
      <c r="B1" s="83"/>
    </row>
    <row r="2" spans="1:2" ht="90" x14ac:dyDescent="0.25">
      <c r="A2" s="94" t="s">
        <v>185</v>
      </c>
      <c r="B2" s="95" t="s">
        <v>186</v>
      </c>
    </row>
    <row r="3" spans="1:2" ht="75" x14ac:dyDescent="0.25">
      <c r="A3" s="94" t="s">
        <v>187</v>
      </c>
      <c r="B3" s="95" t="s">
        <v>188</v>
      </c>
    </row>
    <row r="4" spans="1:2" ht="90" x14ac:dyDescent="0.25">
      <c r="A4" s="94" t="s">
        <v>189</v>
      </c>
      <c r="B4" s="95" t="s">
        <v>190</v>
      </c>
    </row>
    <row r="5" spans="1:2" ht="120" x14ac:dyDescent="0.25">
      <c r="A5" s="94" t="s">
        <v>46</v>
      </c>
      <c r="B5" s="95" t="s">
        <v>191</v>
      </c>
    </row>
    <row r="6" spans="1:2" ht="60" x14ac:dyDescent="0.25">
      <c r="A6" s="94" t="s">
        <v>192</v>
      </c>
      <c r="B6" s="95" t="s">
        <v>193</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DHCSDOC-1832079576-3847</_dlc_DocId>
    <_dlc_DocIdUrl xmlns="69bc34b3-1921-46c7-8c7a-d18363374b4b">
      <Url>https://dhcscagovauthoring/services/_layouts/15/DocIdRedir.aspx?ID=DHCSDOC-1832079576-3847</Url>
      <Description>DHCSDOC-1832079576-3847</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purl.org/dc/elements/1.1/"/>
    <ds:schemaRef ds:uri="http://schemas.microsoft.com/office/2006/documentManagement/types"/>
    <ds:schemaRef ds:uri="http://schemas.microsoft.com/office/2006/metadata/properties"/>
    <ds:schemaRef ds:uri="http://www.w3.org/XML/1998/namespace"/>
    <ds:schemaRef ds:uri="http://purl.org/dc/terms/"/>
    <ds:schemaRef ds:uri="1e76f68e-a217-4195-bd04-97ef1dbc59eb"/>
    <ds:schemaRef ds:uri="http://purl.org/dc/dcmitype/"/>
    <ds:schemaRef ds:uri="d7455f7f-a7bf-4197-be4b-2c6f1eafd06e"/>
    <ds:schemaRef ds:uri="http://schemas.microsoft.com/office/infopath/2007/PartnerControls"/>
    <ds:schemaRef ds:uri="http://schemas.openxmlformats.org/package/2006/metadata/core-properties"/>
    <ds:schemaRef ds:uri="e40804ba-1057-4418-89bb-79e583b76e4f"/>
  </ds:schemaRefs>
</ds:datastoreItem>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8A6E20DD-03E1-4986-A3EC-B1EAA87762AF}"/>
</file>

<file path=customXml/itemProps4.xml><?xml version="1.0" encoding="utf-8"?>
<ds:datastoreItem xmlns:ds="http://schemas.openxmlformats.org/officeDocument/2006/customXml" ds:itemID="{B97B26EF-3C38-4E7C-A676-55CD6EBC6957}"/>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TitleRegion1.a6.c39.3</vt:lpstr>
      <vt:lpstr>TitleRegion1.a6.e7.1</vt:lpstr>
      <vt:lpstr>TitleRegion2.a9.g51.1</vt:lpstr>
      <vt:lpstr>TitleRegion2.e6.n39.3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LHP-Alameda-Alliance-For-Health-Alameda</dc:title>
  <dc:subject/>
  <dc:creator>Katherine Laurila</dc:creator>
  <cp:keywords/>
  <dc:description/>
  <cp:lastModifiedBy>Lawson, Erika@DHCS</cp:lastModifiedBy>
  <cp:revision/>
  <dcterms:created xsi:type="dcterms:W3CDTF">2022-02-11T23:08:36Z</dcterms:created>
  <dcterms:modified xsi:type="dcterms:W3CDTF">2024-09-04T16:05:56Z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d36dcd5c-7d3d-47bf-86eb-39c337065b8b</vt:lpwstr>
  </property>
  <property fmtid="{D5CDD505-2E9C-101B-9397-08002B2CF9AE}" pid="5" name="Division">
    <vt:lpwstr>5;#Capitated Rates Development|219759ee-ee76-4cfc-bb80-102b1fe0ea29</vt:lpwstr>
  </property>
</Properties>
</file>