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J:\Medi-Cal Estimates\Drug Medi-Cal Supplementals\May Estimates\"/>
    </mc:Choice>
  </mc:AlternateContent>
  <xr:revisionPtr revIDLastSave="0" documentId="13_ncr:1_{1EC9085E-032A-4073-A123-94B027ECBF74}" xr6:coauthVersionLast="47" xr6:coauthVersionMax="47" xr10:uidLastSave="{00000000-0000-0000-0000-000000000000}"/>
  <bookViews>
    <workbookView xWindow="53880" yWindow="-120" windowWidth="25440" windowHeight="15270" xr2:uid="{00000000-000D-0000-FFFF-FFFF00000000}"/>
  </bookViews>
  <sheets>
    <sheet name="Supplemental Chart " sheetId="1" r:id="rId1"/>
    <sheet name="ESRI_MAPINFO_SHEET" sheetId="2" state="very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 '!$A$1:$U$129</definedName>
    <definedName name="_xlnm.Print_Area">#REF!</definedName>
    <definedName name="PRINT_AREA_MI">#REF!</definedName>
    <definedName name="_xlnm.Print_Titles" localSheetId="0">'Supplemental Chart '!$1:$4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 '!$A$6</definedName>
    <definedName name="TitleRegion2.a53.90.1">'Supplemental Chart '!$A$51</definedName>
    <definedName name="TitleRegion3.a99.r138.1">'Supplemental Chart '!$A$95</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2D811B98_3CFA_41D4_AEE7_AE5AF87BA166_.wvu.Cols" localSheetId="0" hidden="1">'Supplemental Chart '!$V:$XFD</definedName>
    <definedName name="Z_2D811B98_3CFA_41D4_AEE7_AE5AF87BA166_.wvu.PrintArea" localSheetId="0" hidden="1">'Supplemental Chart '!$A$1:$U$129</definedName>
    <definedName name="Z_2D811B98_3CFA_41D4_AEE7_AE5AF87BA166_.wvu.PrintTitles" localSheetId="0" hidden="1">'Supplemental Chart '!$1:$4</definedName>
    <definedName name="Z_2D811B98_3CFA_41D4_AEE7_AE5AF87BA166_.wvu.Rows" localSheetId="0" hidden="1">'Supplemental Chart '!$158:$1048576</definedName>
    <definedName name="Z_392D8166_AC0F_4A11_B402_FCAA1470FA29_.wvu.Cols" localSheetId="0" hidden="1">'Supplemental Chart '!$V:$XFD</definedName>
    <definedName name="Z_392D8166_AC0F_4A11_B402_FCAA1470FA29_.wvu.PrintArea" localSheetId="0" hidden="1">'Supplemental Chart '!$A$1:$U$129</definedName>
    <definedName name="Z_392D8166_AC0F_4A11_B402_FCAA1470FA29_.wvu.PrintTitles" localSheetId="0" hidden="1">'Supplemental Chart '!$1:$4</definedName>
    <definedName name="Z_392D8166_AC0F_4A11_B402_FCAA1470FA29_.wvu.Rows" localSheetId="0" hidden="1">'Supplemental Chart '!$158:$1048576</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_AD91D16E_086C_4105_8320_DF4A553F8355_.wvu.Cols" localSheetId="0" hidden="1">'Supplemental Chart '!$V:$XFD</definedName>
    <definedName name="Z_AD91D16E_086C_4105_8320_DF4A553F8355_.wvu.PrintArea" localSheetId="0" hidden="1">'Supplemental Chart '!$A$1:$U$129</definedName>
    <definedName name="Z_AD91D16E_086C_4105_8320_DF4A553F8355_.wvu.PrintTitles" localSheetId="0" hidden="1">'Supplemental Chart '!$1:$4</definedName>
    <definedName name="Z_AD91D16E_086C_4105_8320_DF4A553F8355_.wvu.Rows" localSheetId="0" hidden="1">'Supplemental Chart '!$139:$1048576</definedName>
    <definedName name="Z_B195B882_EE77_4420_89B8_1ACDC0879806_.wvu.Cols" localSheetId="0" hidden="1">'Supplemental Chart '!$V:$XFD</definedName>
    <definedName name="Z_B195B882_EE77_4420_89B8_1ACDC0879806_.wvu.PrintArea" localSheetId="0" hidden="1">'Supplemental Chart '!$A$1:$U$129</definedName>
    <definedName name="Z_B195B882_EE77_4420_89B8_1ACDC0879806_.wvu.PrintTitles" localSheetId="0" hidden="1">'Supplemental Chart '!$1:$4</definedName>
    <definedName name="Z_B195B882_EE77_4420_89B8_1ACDC0879806_.wvu.Rows" localSheetId="0" hidden="1">'Supplemental Chart '!$158:$1048576</definedName>
    <definedName name="Z_D73D0871_6931_4782_BC64_B16AC8AD1972_.wvu.Cols" localSheetId="0" hidden="1">'Supplemental Chart '!$V:$XFD</definedName>
    <definedName name="Z_D73D0871_6931_4782_BC64_B16AC8AD1972_.wvu.PrintArea" localSheetId="0" hidden="1">'Supplemental Chart '!$A$1:$U$129</definedName>
    <definedName name="Z_D73D0871_6931_4782_BC64_B16AC8AD1972_.wvu.PrintTitles" localSheetId="0" hidden="1">'Supplemental Chart '!$1:$4</definedName>
    <definedName name="Z_D787B054_6AB6_4B86_AC73_997E635A5A8A_.wvu.Cols" localSheetId="0" hidden="1">'Supplemental Chart '!$V:$XFD</definedName>
    <definedName name="Z_D787B054_6AB6_4B86_AC73_997E635A5A8A_.wvu.PrintArea" localSheetId="0" hidden="1">'Supplemental Chart '!$A$1:$U$129</definedName>
    <definedName name="Z_D787B054_6AB6_4B86_AC73_997E635A5A8A_.wvu.PrintTitles" localSheetId="0" hidden="1">'Supplemental Chart '!$1:$4</definedName>
    <definedName name="Z_D787B054_6AB6_4B86_AC73_997E635A5A8A_.wvu.Rows" localSheetId="0" hidden="1">'Supplemental Chart '!$139:$1048576</definedName>
    <definedName name="zz">#REF!</definedName>
    <definedName name="ZZZZZZZZZZZZZZZZZZZZZZZZZZZZZZZZZZZZZZZZZZZ">#REF!</definedName>
  </definedNames>
  <calcPr calcId="191029"/>
  <customWorkbookViews>
    <customWorkbookView name="Stacey, Erik@DHCS - Personal View" guid="{AD91D16E-086C-4105-8320-DF4A553F8355}" mergeInterval="0" personalView="1" maximized="1" xWindow="-8" yWindow="-8" windowWidth="1936" windowHeight="1056" activeSheetId="1"/>
    <customWorkbookView name="Ly, Cang@DHCS - Personal View" guid="{2D811B98-3CFA-41D4-AEE7-AE5AF87BA166}" mergeInterval="0" personalView="1" xWindow="2449" yWindow="93" windowWidth="2243" windowHeight="1300" activeSheetId="1"/>
    <customWorkbookView name="Wollenberger, Louis@DHCS - Personal View" guid="{B195B882-EE77-4420-89B8-1ACDC0879806}" mergeInterval="0" personalView="1" xWindow="129" yWindow="20" windowWidth="1428" windowHeight="890" activeSheetId="1"/>
    <customWorkbookView name="Bui, My-Ai (FF)@DHCS - Personal View" guid="{392D8166-AC0F-4A11-B402-FCAA1470FA29}" mergeInterval="0" personalView="1" maximized="1" xWindow="-11" yWindow="-11" windowWidth="1942" windowHeight="1042" activeSheetId="1"/>
    <customWorkbookView name="Singh, Joel (FF)@DHCS - Personal View" guid="{D787B054-6AB6-4B86-AC73-997E635A5A8A}" mergeInterval="0" personalView="1" maximized="1" xWindow="-1928" yWindow="-8" windowWidth="1936" windowHeight="1056" activeSheetId="1"/>
    <customWorkbookView name="Donaldson, Celine@DHCS - Personal View" guid="{D73D0871-6931-4782-BC64-B16AC8AD1972}" mergeInterval="0" personalView="1" maximized="1" xWindow="1911" yWindow="-9" windowWidth="2578" windowHeight="139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3" i="1" l="1"/>
  <c r="B121" i="1"/>
  <c r="B119" i="1"/>
  <c r="B118" i="1"/>
  <c r="B117" i="1"/>
  <c r="B116" i="1"/>
  <c r="B109" i="1"/>
  <c r="B99" i="1"/>
  <c r="F98" i="1"/>
  <c r="B78" i="1"/>
  <c r="B76" i="1"/>
  <c r="B74" i="1"/>
  <c r="B73" i="1"/>
  <c r="B72" i="1"/>
  <c r="B71" i="1"/>
  <c r="B64" i="1"/>
  <c r="B54" i="1"/>
  <c r="L53" i="1"/>
  <c r="F53" i="1"/>
  <c r="B33" i="1"/>
  <c r="B31" i="1"/>
  <c r="B29" i="1"/>
  <c r="B28" i="1"/>
  <c r="B27" i="1"/>
  <c r="B26" i="1"/>
  <c r="B19" i="1"/>
  <c r="B9" i="1"/>
  <c r="L8" i="1"/>
  <c r="F8" i="1"/>
  <c r="L98" i="1"/>
  <c r="M73" i="1"/>
  <c r="K73" i="1"/>
  <c r="M28" i="1"/>
  <c r="K28" i="1"/>
  <c r="M74" i="1" l="1"/>
  <c r="L74" i="1"/>
  <c r="N29" i="1"/>
  <c r="M29" i="1"/>
  <c r="L29" i="1"/>
  <c r="K26" i="1"/>
  <c r="M70" i="1"/>
  <c r="M25" i="1"/>
  <c r="L64" i="1" l="1"/>
  <c r="M19" i="1"/>
  <c r="M12" i="1"/>
  <c r="M10" i="1"/>
  <c r="D78" i="1" l="1"/>
  <c r="D77" i="1"/>
  <c r="D76" i="1"/>
  <c r="D75" i="1"/>
  <c r="D74" i="1"/>
  <c r="G73" i="1"/>
  <c r="E73" i="1"/>
  <c r="E82" i="1" s="1"/>
  <c r="D73" i="1"/>
  <c r="D72" i="1"/>
  <c r="D71" i="1"/>
  <c r="G70" i="1"/>
  <c r="G82" i="1" s="1"/>
  <c r="D70" i="1"/>
  <c r="D69" i="1"/>
  <c r="D68" i="1"/>
  <c r="D67" i="1"/>
  <c r="D66" i="1"/>
  <c r="I65" i="1"/>
  <c r="H65" i="1"/>
  <c r="G65" i="1"/>
  <c r="F65" i="1"/>
  <c r="E65" i="1"/>
  <c r="D64" i="1"/>
  <c r="D63" i="1"/>
  <c r="D62" i="1"/>
  <c r="D61" i="1"/>
  <c r="D60" i="1"/>
  <c r="I59" i="1"/>
  <c r="H59" i="1"/>
  <c r="G59" i="1"/>
  <c r="F59" i="1"/>
  <c r="E59" i="1"/>
  <c r="D58" i="1"/>
  <c r="D57" i="1"/>
  <c r="D56" i="1"/>
  <c r="D55" i="1"/>
  <c r="I54" i="1"/>
  <c r="H54" i="1"/>
  <c r="G54" i="1"/>
  <c r="F54" i="1"/>
  <c r="E54" i="1"/>
  <c r="O82" i="1"/>
  <c r="I82" i="1"/>
  <c r="H82" i="1"/>
  <c r="F82" i="1"/>
  <c r="O81" i="1"/>
  <c r="N81" i="1"/>
  <c r="L81" i="1"/>
  <c r="K81" i="1"/>
  <c r="Q81" i="1" s="1"/>
  <c r="I81" i="1"/>
  <c r="H81" i="1"/>
  <c r="G81" i="1"/>
  <c r="F81" i="1"/>
  <c r="E81" i="1"/>
  <c r="O80" i="1"/>
  <c r="N80" i="1"/>
  <c r="L80" i="1"/>
  <c r="K80" i="1"/>
  <c r="I80" i="1"/>
  <c r="H80" i="1"/>
  <c r="G80" i="1"/>
  <c r="F80" i="1"/>
  <c r="E80" i="1"/>
  <c r="O37" i="1"/>
  <c r="L37" i="1"/>
  <c r="I37" i="1"/>
  <c r="H37" i="1"/>
  <c r="G37" i="1"/>
  <c r="F37" i="1"/>
  <c r="E37" i="1"/>
  <c r="O36" i="1"/>
  <c r="N36" i="1"/>
  <c r="L36" i="1"/>
  <c r="K36" i="1"/>
  <c r="I36" i="1"/>
  <c r="H36" i="1"/>
  <c r="G36" i="1"/>
  <c r="F36" i="1"/>
  <c r="E36" i="1"/>
  <c r="O35" i="1"/>
  <c r="N35" i="1"/>
  <c r="L35" i="1"/>
  <c r="K35" i="1"/>
  <c r="I35" i="1"/>
  <c r="H35" i="1"/>
  <c r="G35" i="1"/>
  <c r="F35" i="1"/>
  <c r="E35" i="1"/>
  <c r="T31" i="1"/>
  <c r="D31" i="1"/>
  <c r="E121" i="1"/>
  <c r="F121" i="1"/>
  <c r="G121" i="1"/>
  <c r="H121" i="1"/>
  <c r="I121" i="1"/>
  <c r="K121" i="1"/>
  <c r="L121" i="1"/>
  <c r="M121" i="1"/>
  <c r="N121" i="1"/>
  <c r="O121" i="1"/>
  <c r="J76" i="1"/>
  <c r="Q76" i="1"/>
  <c r="R76" i="1"/>
  <c r="S76" i="1"/>
  <c r="T76" i="1"/>
  <c r="U76" i="1"/>
  <c r="J31" i="1"/>
  <c r="Q31" i="1"/>
  <c r="R31" i="1"/>
  <c r="S31" i="1"/>
  <c r="U31" i="1"/>
  <c r="D65" i="1" l="1"/>
  <c r="H79" i="1"/>
  <c r="T121" i="1"/>
  <c r="R35" i="1"/>
  <c r="U36" i="1"/>
  <c r="U80" i="1"/>
  <c r="Q36" i="1"/>
  <c r="S121" i="1"/>
  <c r="R121" i="1"/>
  <c r="G79" i="1"/>
  <c r="D121" i="1"/>
  <c r="Q80" i="1"/>
  <c r="U82" i="1"/>
  <c r="T35" i="1"/>
  <c r="R37" i="1"/>
  <c r="R80" i="1"/>
  <c r="U81" i="1"/>
  <c r="Q35" i="1"/>
  <c r="U35" i="1"/>
  <c r="U37" i="1"/>
  <c r="T81" i="1"/>
  <c r="R81" i="1"/>
  <c r="D80" i="1"/>
  <c r="F79" i="1"/>
  <c r="D59" i="1"/>
  <c r="D82" i="1"/>
  <c r="P31" i="1"/>
  <c r="E79" i="1"/>
  <c r="I79" i="1"/>
  <c r="D81" i="1"/>
  <c r="P76" i="1"/>
  <c r="U121" i="1"/>
  <c r="Q121" i="1"/>
  <c r="T36" i="1"/>
  <c r="R36" i="1"/>
  <c r="D54" i="1"/>
  <c r="T80" i="1"/>
  <c r="J121" i="1"/>
  <c r="D79" i="1" l="1"/>
  <c r="P121" i="1"/>
  <c r="N82" i="1" l="1"/>
  <c r="T82" i="1" s="1"/>
  <c r="N37" i="1"/>
  <c r="T37" i="1" s="1"/>
  <c r="K37" i="1"/>
  <c r="Q37" i="1" s="1"/>
  <c r="L82" i="1" l="1"/>
  <c r="R82" i="1" s="1"/>
  <c r="K82" i="1" l="1"/>
  <c r="Q82" i="1" s="1"/>
  <c r="M82" i="1" l="1"/>
  <c r="S82" i="1" s="1"/>
  <c r="M37" i="1"/>
  <c r="S37" i="1" s="1"/>
  <c r="M81" i="1"/>
  <c r="S81" i="1" s="1"/>
  <c r="M80" i="1"/>
  <c r="S80" i="1" s="1"/>
  <c r="M36" i="1"/>
  <c r="S36" i="1" s="1"/>
  <c r="M35" i="1" l="1"/>
  <c r="S35" i="1" s="1"/>
  <c r="M119" i="1"/>
  <c r="E119" i="1"/>
  <c r="F119" i="1"/>
  <c r="G119" i="1"/>
  <c r="H119" i="1"/>
  <c r="I119" i="1"/>
  <c r="K119" i="1"/>
  <c r="L119" i="1"/>
  <c r="N119" i="1"/>
  <c r="O119" i="1"/>
  <c r="T74" i="1"/>
  <c r="R74" i="1"/>
  <c r="U74" i="1"/>
  <c r="D29" i="1"/>
  <c r="J29" i="1"/>
  <c r="Q29" i="1"/>
  <c r="R29" i="1"/>
  <c r="S29" i="1"/>
  <c r="T29" i="1"/>
  <c r="U29" i="1"/>
  <c r="E123" i="1"/>
  <c r="F123" i="1"/>
  <c r="G123" i="1"/>
  <c r="H123" i="1"/>
  <c r="I123" i="1"/>
  <c r="K123" i="1"/>
  <c r="L123" i="1"/>
  <c r="M123" i="1"/>
  <c r="N123" i="1"/>
  <c r="O123" i="1"/>
  <c r="J78" i="1"/>
  <c r="Q78" i="1"/>
  <c r="R78" i="1"/>
  <c r="S78" i="1"/>
  <c r="T78" i="1"/>
  <c r="U78" i="1"/>
  <c r="D33" i="1"/>
  <c r="J33" i="1"/>
  <c r="Q33" i="1"/>
  <c r="R33" i="1"/>
  <c r="S33" i="1"/>
  <c r="T33" i="1"/>
  <c r="U33" i="1"/>
  <c r="T119" i="1" l="1"/>
  <c r="S123" i="1"/>
  <c r="D119" i="1"/>
  <c r="Q74" i="1"/>
  <c r="S119" i="1"/>
  <c r="Q123" i="1"/>
  <c r="J74" i="1"/>
  <c r="R119" i="1"/>
  <c r="R123" i="1"/>
  <c r="U119" i="1"/>
  <c r="Q119" i="1"/>
  <c r="P33" i="1"/>
  <c r="P29" i="1"/>
  <c r="D123" i="1"/>
  <c r="U123" i="1"/>
  <c r="T123" i="1"/>
  <c r="S74" i="1"/>
  <c r="J119" i="1"/>
  <c r="J123" i="1"/>
  <c r="P78" i="1"/>
  <c r="P119" i="1" l="1"/>
  <c r="P74" i="1"/>
  <c r="P123" i="1"/>
  <c r="O122" i="1"/>
  <c r="N122" i="1"/>
  <c r="M122" i="1"/>
  <c r="L122" i="1"/>
  <c r="K122" i="1"/>
  <c r="O120" i="1"/>
  <c r="N120" i="1"/>
  <c r="M120" i="1"/>
  <c r="L120" i="1"/>
  <c r="K120" i="1"/>
  <c r="O118" i="1"/>
  <c r="N118" i="1"/>
  <c r="M118" i="1"/>
  <c r="L118" i="1"/>
  <c r="K118" i="1"/>
  <c r="O117" i="1"/>
  <c r="N117" i="1"/>
  <c r="M117" i="1"/>
  <c r="L117" i="1"/>
  <c r="K117" i="1"/>
  <c r="O116" i="1"/>
  <c r="N116" i="1"/>
  <c r="M116" i="1"/>
  <c r="L116" i="1"/>
  <c r="K116" i="1"/>
  <c r="O115" i="1"/>
  <c r="N115" i="1"/>
  <c r="M115" i="1"/>
  <c r="L115" i="1"/>
  <c r="K115" i="1"/>
  <c r="O114" i="1"/>
  <c r="N114" i="1"/>
  <c r="M114" i="1"/>
  <c r="L114" i="1"/>
  <c r="K114" i="1"/>
  <c r="O113" i="1"/>
  <c r="N113" i="1"/>
  <c r="M113" i="1"/>
  <c r="L113" i="1"/>
  <c r="K113" i="1"/>
  <c r="O112" i="1"/>
  <c r="N112" i="1"/>
  <c r="M112" i="1"/>
  <c r="L112" i="1"/>
  <c r="K112" i="1"/>
  <c r="O111" i="1"/>
  <c r="N111" i="1"/>
  <c r="M111" i="1"/>
  <c r="L111" i="1"/>
  <c r="K111" i="1"/>
  <c r="O109" i="1"/>
  <c r="N109" i="1"/>
  <c r="M109" i="1"/>
  <c r="L109" i="1"/>
  <c r="K109" i="1"/>
  <c r="O108" i="1"/>
  <c r="N108" i="1"/>
  <c r="M108" i="1"/>
  <c r="L108" i="1"/>
  <c r="K108" i="1"/>
  <c r="O107" i="1"/>
  <c r="N107" i="1"/>
  <c r="M107" i="1"/>
  <c r="L107" i="1"/>
  <c r="K107" i="1"/>
  <c r="O106" i="1"/>
  <c r="N106" i="1"/>
  <c r="M106" i="1"/>
  <c r="L106" i="1"/>
  <c r="K106" i="1"/>
  <c r="O105" i="1"/>
  <c r="N105" i="1"/>
  <c r="M105" i="1"/>
  <c r="L105" i="1"/>
  <c r="K105" i="1"/>
  <c r="O103" i="1"/>
  <c r="N103" i="1"/>
  <c r="M103" i="1"/>
  <c r="L103" i="1"/>
  <c r="K103" i="1"/>
  <c r="O102" i="1"/>
  <c r="N102" i="1"/>
  <c r="M102" i="1"/>
  <c r="L102" i="1"/>
  <c r="K102" i="1"/>
  <c r="O101" i="1"/>
  <c r="N101" i="1"/>
  <c r="M101" i="1"/>
  <c r="L101" i="1"/>
  <c r="K101" i="1"/>
  <c r="O100" i="1"/>
  <c r="N100" i="1"/>
  <c r="M100" i="1"/>
  <c r="L100" i="1"/>
  <c r="K100" i="1"/>
  <c r="I122" i="1"/>
  <c r="H122" i="1"/>
  <c r="G122" i="1"/>
  <c r="F122" i="1"/>
  <c r="E122" i="1"/>
  <c r="I120" i="1"/>
  <c r="H120" i="1"/>
  <c r="G120" i="1"/>
  <c r="F120" i="1"/>
  <c r="E120" i="1"/>
  <c r="I118" i="1"/>
  <c r="H118" i="1"/>
  <c r="G118" i="1"/>
  <c r="F118" i="1"/>
  <c r="E118" i="1"/>
  <c r="I117" i="1"/>
  <c r="H117" i="1"/>
  <c r="G117" i="1"/>
  <c r="F117" i="1"/>
  <c r="E117" i="1"/>
  <c r="I116" i="1"/>
  <c r="H116" i="1"/>
  <c r="G116" i="1"/>
  <c r="F116" i="1"/>
  <c r="E116" i="1"/>
  <c r="I115" i="1"/>
  <c r="H115" i="1"/>
  <c r="G115" i="1"/>
  <c r="F115" i="1"/>
  <c r="E115" i="1"/>
  <c r="I114" i="1"/>
  <c r="H114" i="1"/>
  <c r="G114" i="1"/>
  <c r="F114" i="1"/>
  <c r="E114" i="1"/>
  <c r="I113" i="1"/>
  <c r="H113" i="1"/>
  <c r="G113" i="1"/>
  <c r="F113" i="1"/>
  <c r="E113" i="1"/>
  <c r="I112" i="1"/>
  <c r="H112" i="1"/>
  <c r="G112" i="1"/>
  <c r="F112" i="1"/>
  <c r="E112" i="1"/>
  <c r="I111" i="1"/>
  <c r="H111" i="1"/>
  <c r="G111" i="1"/>
  <c r="F111" i="1"/>
  <c r="E111" i="1"/>
  <c r="I109" i="1"/>
  <c r="H109" i="1"/>
  <c r="G109" i="1"/>
  <c r="F109" i="1"/>
  <c r="E109" i="1"/>
  <c r="I108" i="1"/>
  <c r="H108" i="1"/>
  <c r="G108" i="1"/>
  <c r="F108" i="1"/>
  <c r="E108" i="1"/>
  <c r="I107" i="1"/>
  <c r="H107" i="1"/>
  <c r="G107" i="1"/>
  <c r="F107" i="1"/>
  <c r="E107" i="1"/>
  <c r="I106" i="1"/>
  <c r="H106" i="1"/>
  <c r="G106" i="1"/>
  <c r="F106" i="1"/>
  <c r="E106" i="1"/>
  <c r="I105" i="1"/>
  <c r="H105" i="1"/>
  <c r="G105" i="1"/>
  <c r="F105" i="1"/>
  <c r="E105" i="1"/>
  <c r="I103" i="1"/>
  <c r="H103" i="1"/>
  <c r="G103" i="1"/>
  <c r="F103" i="1"/>
  <c r="E103" i="1"/>
  <c r="I102" i="1"/>
  <c r="H102" i="1"/>
  <c r="G102" i="1"/>
  <c r="F102" i="1"/>
  <c r="E102" i="1"/>
  <c r="I101" i="1"/>
  <c r="H101" i="1"/>
  <c r="G101" i="1"/>
  <c r="F101" i="1"/>
  <c r="E101" i="1"/>
  <c r="I100" i="1"/>
  <c r="H100" i="1"/>
  <c r="G100" i="1"/>
  <c r="F100" i="1"/>
  <c r="E100" i="1"/>
  <c r="U77" i="1"/>
  <c r="T77" i="1"/>
  <c r="S77" i="1"/>
  <c r="R77" i="1"/>
  <c r="Q77" i="1"/>
  <c r="J77" i="1"/>
  <c r="U75" i="1"/>
  <c r="T75" i="1"/>
  <c r="S75" i="1"/>
  <c r="R75" i="1"/>
  <c r="Q75" i="1"/>
  <c r="J75" i="1"/>
  <c r="U73" i="1"/>
  <c r="T73" i="1"/>
  <c r="S73" i="1"/>
  <c r="R73" i="1"/>
  <c r="Q73" i="1"/>
  <c r="J73" i="1"/>
  <c r="U72" i="1"/>
  <c r="T72" i="1"/>
  <c r="S72" i="1"/>
  <c r="R72" i="1"/>
  <c r="Q72" i="1"/>
  <c r="J72" i="1"/>
  <c r="U71" i="1"/>
  <c r="T71" i="1"/>
  <c r="S71" i="1"/>
  <c r="R71" i="1"/>
  <c r="Q71" i="1"/>
  <c r="J71" i="1"/>
  <c r="U70" i="1"/>
  <c r="T70" i="1"/>
  <c r="S70" i="1"/>
  <c r="R70" i="1"/>
  <c r="Q70" i="1"/>
  <c r="J70" i="1"/>
  <c r="U69" i="1"/>
  <c r="T69" i="1"/>
  <c r="S69" i="1"/>
  <c r="R69" i="1"/>
  <c r="Q69" i="1"/>
  <c r="J69" i="1"/>
  <c r="U68" i="1"/>
  <c r="T68" i="1"/>
  <c r="S68" i="1"/>
  <c r="R68" i="1"/>
  <c r="Q68" i="1"/>
  <c r="J68" i="1"/>
  <c r="U67" i="1"/>
  <c r="T67" i="1"/>
  <c r="S67" i="1"/>
  <c r="R67" i="1"/>
  <c r="Q67" i="1"/>
  <c r="J67" i="1"/>
  <c r="U66" i="1"/>
  <c r="T66" i="1"/>
  <c r="S66" i="1"/>
  <c r="R66" i="1"/>
  <c r="Q66" i="1"/>
  <c r="J66" i="1"/>
  <c r="O65" i="1"/>
  <c r="N65" i="1"/>
  <c r="M65" i="1"/>
  <c r="L65" i="1"/>
  <c r="K65" i="1"/>
  <c r="U64" i="1"/>
  <c r="T64" i="1"/>
  <c r="S64" i="1"/>
  <c r="R64" i="1"/>
  <c r="Q64" i="1"/>
  <c r="J64" i="1"/>
  <c r="U63" i="1"/>
  <c r="T63" i="1"/>
  <c r="S63" i="1"/>
  <c r="R63" i="1"/>
  <c r="Q63" i="1"/>
  <c r="J63" i="1"/>
  <c r="U62" i="1"/>
  <c r="T62" i="1"/>
  <c r="S62" i="1"/>
  <c r="R62" i="1"/>
  <c r="Q62" i="1"/>
  <c r="J62" i="1"/>
  <c r="U61" i="1"/>
  <c r="T61" i="1"/>
  <c r="S61" i="1"/>
  <c r="R61" i="1"/>
  <c r="Q61" i="1"/>
  <c r="J61" i="1"/>
  <c r="U60" i="1"/>
  <c r="T60" i="1"/>
  <c r="S60" i="1"/>
  <c r="R60" i="1"/>
  <c r="Q60" i="1"/>
  <c r="J60" i="1"/>
  <c r="O59" i="1"/>
  <c r="N59" i="1"/>
  <c r="M59" i="1"/>
  <c r="L59" i="1"/>
  <c r="K59" i="1"/>
  <c r="U58" i="1"/>
  <c r="T58" i="1"/>
  <c r="S58" i="1"/>
  <c r="R58" i="1"/>
  <c r="Q58" i="1"/>
  <c r="J58" i="1"/>
  <c r="U57" i="1"/>
  <c r="T57" i="1"/>
  <c r="S57" i="1"/>
  <c r="R57" i="1"/>
  <c r="Q57" i="1"/>
  <c r="J57" i="1"/>
  <c r="U56" i="1"/>
  <c r="T56" i="1"/>
  <c r="R56" i="1"/>
  <c r="Q56" i="1"/>
  <c r="U55" i="1"/>
  <c r="T55" i="1"/>
  <c r="R55" i="1"/>
  <c r="Q55" i="1"/>
  <c r="S55" i="1"/>
  <c r="J55" i="1"/>
  <c r="O54" i="1"/>
  <c r="N54" i="1"/>
  <c r="M54" i="1"/>
  <c r="L54" i="1"/>
  <c r="K54" i="1"/>
  <c r="N125" i="1" l="1"/>
  <c r="L126" i="1"/>
  <c r="I126" i="1"/>
  <c r="G125" i="1"/>
  <c r="E126" i="1"/>
  <c r="G127" i="1"/>
  <c r="N127" i="1"/>
  <c r="L79" i="1"/>
  <c r="R79" i="1" s="1"/>
  <c r="N79" i="1"/>
  <c r="T79" i="1" s="1"/>
  <c r="E125" i="1"/>
  <c r="I125" i="1"/>
  <c r="G126" i="1"/>
  <c r="E127" i="1"/>
  <c r="I127" i="1"/>
  <c r="L125" i="1"/>
  <c r="N126" i="1"/>
  <c r="L127" i="1"/>
  <c r="K79" i="1"/>
  <c r="Q79" i="1" s="1"/>
  <c r="O79" i="1"/>
  <c r="U79" i="1" s="1"/>
  <c r="J82" i="1"/>
  <c r="P82" i="1" s="1"/>
  <c r="F125" i="1"/>
  <c r="H126" i="1"/>
  <c r="F127" i="1"/>
  <c r="M125" i="1"/>
  <c r="S125" i="1" s="1"/>
  <c r="K126" i="1"/>
  <c r="Q126" i="1" s="1"/>
  <c r="O126" i="1"/>
  <c r="M127" i="1"/>
  <c r="M79" i="1"/>
  <c r="S79" i="1" s="1"/>
  <c r="H125" i="1"/>
  <c r="T125" i="1" s="1"/>
  <c r="F126" i="1"/>
  <c r="R126" i="1" s="1"/>
  <c r="H127" i="1"/>
  <c r="T127" i="1" s="1"/>
  <c r="K125" i="1"/>
  <c r="O125" i="1"/>
  <c r="M126" i="1"/>
  <c r="K127" i="1"/>
  <c r="O127" i="1"/>
  <c r="U127" i="1" s="1"/>
  <c r="J81" i="1"/>
  <c r="P81" i="1" s="1"/>
  <c r="U115" i="1"/>
  <c r="T101" i="1"/>
  <c r="R103" i="1"/>
  <c r="R111" i="1"/>
  <c r="Q112" i="1"/>
  <c r="U112" i="1"/>
  <c r="T113" i="1"/>
  <c r="R115" i="1"/>
  <c r="Q116" i="1"/>
  <c r="U116" i="1"/>
  <c r="T117" i="1"/>
  <c r="S118" i="1"/>
  <c r="R120" i="1"/>
  <c r="Q122" i="1"/>
  <c r="U122" i="1"/>
  <c r="U111" i="1"/>
  <c r="U120" i="1"/>
  <c r="Q107" i="1"/>
  <c r="U107" i="1"/>
  <c r="T108" i="1"/>
  <c r="T116" i="1"/>
  <c r="T122" i="1"/>
  <c r="T112" i="1"/>
  <c r="S109" i="1"/>
  <c r="S101" i="1"/>
  <c r="Q103" i="1"/>
  <c r="U103" i="1"/>
  <c r="R105" i="1"/>
  <c r="Q106" i="1"/>
  <c r="U106" i="1"/>
  <c r="T107" i="1"/>
  <c r="S108" i="1"/>
  <c r="R109" i="1"/>
  <c r="Q111" i="1"/>
  <c r="S113" i="1"/>
  <c r="R114" i="1"/>
  <c r="Q115" i="1"/>
  <c r="S117" i="1"/>
  <c r="R118" i="1"/>
  <c r="Q120" i="1"/>
  <c r="T100" i="1"/>
  <c r="S102" i="1"/>
  <c r="R102" i="1"/>
  <c r="Q100" i="1"/>
  <c r="T105" i="1"/>
  <c r="Q108" i="1"/>
  <c r="S115" i="1"/>
  <c r="R116" i="1"/>
  <c r="U117" i="1"/>
  <c r="Q101" i="1"/>
  <c r="S103" i="1"/>
  <c r="S106" i="1"/>
  <c r="U108" i="1"/>
  <c r="R107" i="1"/>
  <c r="T109" i="1"/>
  <c r="T114" i="1"/>
  <c r="Q117" i="1"/>
  <c r="J102" i="1"/>
  <c r="O99" i="1"/>
  <c r="J103" i="1"/>
  <c r="O104" i="1"/>
  <c r="T111" i="1"/>
  <c r="J112" i="1"/>
  <c r="R113" i="1"/>
  <c r="J114" i="1"/>
  <c r="T115" i="1"/>
  <c r="R117" i="1"/>
  <c r="J118" i="1"/>
  <c r="T120" i="1"/>
  <c r="J122" i="1"/>
  <c r="G104" i="1"/>
  <c r="D106" i="1"/>
  <c r="D114" i="1"/>
  <c r="R54" i="1"/>
  <c r="S114" i="1"/>
  <c r="P55" i="1"/>
  <c r="P58" i="1"/>
  <c r="Q59" i="1"/>
  <c r="U59" i="1"/>
  <c r="J108" i="1"/>
  <c r="I110" i="1"/>
  <c r="K99" i="1"/>
  <c r="J117" i="1"/>
  <c r="J65" i="1"/>
  <c r="P71" i="1"/>
  <c r="P77" i="1"/>
  <c r="U102" i="1"/>
  <c r="K104" i="1"/>
  <c r="S59" i="1"/>
  <c r="P60" i="1"/>
  <c r="P64" i="1"/>
  <c r="U100" i="1"/>
  <c r="Q102" i="1"/>
  <c r="L104" i="1"/>
  <c r="S105" i="1"/>
  <c r="R106" i="1"/>
  <c r="J109" i="1"/>
  <c r="M110" i="1"/>
  <c r="D118" i="1"/>
  <c r="E99" i="1"/>
  <c r="N110" i="1"/>
  <c r="J115" i="1"/>
  <c r="G99" i="1"/>
  <c r="D102" i="1"/>
  <c r="H99" i="1"/>
  <c r="F104" i="1"/>
  <c r="D111" i="1"/>
  <c r="D113" i="1"/>
  <c r="D115" i="1"/>
  <c r="D117" i="1"/>
  <c r="D120" i="1"/>
  <c r="Q54" i="1"/>
  <c r="U54" i="1"/>
  <c r="T54" i="1"/>
  <c r="P68" i="1"/>
  <c r="I99" i="1"/>
  <c r="J105" i="1"/>
  <c r="E110" i="1"/>
  <c r="J101" i="1"/>
  <c r="U101" i="1"/>
  <c r="T102" i="1"/>
  <c r="N104" i="1"/>
  <c r="J106" i="1"/>
  <c r="J107" i="1"/>
  <c r="J111" i="1"/>
  <c r="R112" i="1"/>
  <c r="Q113" i="1"/>
  <c r="U113" i="1"/>
  <c r="J116" i="1"/>
  <c r="T118" i="1"/>
  <c r="J120" i="1"/>
  <c r="R122" i="1"/>
  <c r="L99" i="1"/>
  <c r="M104" i="1"/>
  <c r="K110" i="1"/>
  <c r="O110" i="1"/>
  <c r="S111" i="1"/>
  <c r="J113" i="1"/>
  <c r="S120" i="1"/>
  <c r="N99" i="1"/>
  <c r="R100" i="1"/>
  <c r="L110" i="1"/>
  <c r="R101" i="1"/>
  <c r="Q105" i="1"/>
  <c r="U105" i="1"/>
  <c r="S112" i="1"/>
  <c r="Q114" i="1"/>
  <c r="U114" i="1"/>
  <c r="S116" i="1"/>
  <c r="Q118" i="1"/>
  <c r="U118" i="1"/>
  <c r="S122" i="1"/>
  <c r="Q65" i="1"/>
  <c r="U65" i="1"/>
  <c r="R65" i="1"/>
  <c r="R59" i="1"/>
  <c r="J59" i="1"/>
  <c r="P70" i="1"/>
  <c r="P75" i="1"/>
  <c r="P73" i="1"/>
  <c r="P72" i="1"/>
  <c r="P67" i="1"/>
  <c r="S65" i="1"/>
  <c r="P66" i="1"/>
  <c r="T65" i="1"/>
  <c r="P69" i="1"/>
  <c r="T59" i="1"/>
  <c r="P63" i="1"/>
  <c r="P62" i="1"/>
  <c r="P61" i="1"/>
  <c r="P57" i="1"/>
  <c r="S54" i="1"/>
  <c r="F99" i="1"/>
  <c r="D100" i="1"/>
  <c r="D103" i="1"/>
  <c r="H104" i="1"/>
  <c r="D105" i="1"/>
  <c r="T106" i="1"/>
  <c r="R108" i="1"/>
  <c r="D109" i="1"/>
  <c r="F110" i="1"/>
  <c r="T103" i="1"/>
  <c r="E104" i="1"/>
  <c r="I104" i="1"/>
  <c r="D108" i="1"/>
  <c r="G110" i="1"/>
  <c r="D112" i="1"/>
  <c r="D116" i="1"/>
  <c r="D122" i="1"/>
  <c r="D101" i="1"/>
  <c r="D107" i="1"/>
  <c r="S107" i="1"/>
  <c r="Q109" i="1"/>
  <c r="U109" i="1"/>
  <c r="H110" i="1"/>
  <c r="J100" i="1"/>
  <c r="S100" i="1"/>
  <c r="M99" i="1"/>
  <c r="M124" i="1" s="1"/>
  <c r="J56" i="1"/>
  <c r="J80" i="1" s="1"/>
  <c r="P80" i="1" s="1"/>
  <c r="S56" i="1"/>
  <c r="U32" i="1"/>
  <c r="T32" i="1"/>
  <c r="S32" i="1"/>
  <c r="R32" i="1"/>
  <c r="Q32" i="1"/>
  <c r="J32" i="1"/>
  <c r="D32" i="1"/>
  <c r="U30" i="1"/>
  <c r="T30" i="1"/>
  <c r="S30" i="1"/>
  <c r="R30" i="1"/>
  <c r="Q30" i="1"/>
  <c r="J30" i="1"/>
  <c r="D30" i="1"/>
  <c r="U28" i="1"/>
  <c r="T28" i="1"/>
  <c r="S28" i="1"/>
  <c r="R28" i="1"/>
  <c r="Q28" i="1"/>
  <c r="J28" i="1"/>
  <c r="D28" i="1"/>
  <c r="U27" i="1"/>
  <c r="T27" i="1"/>
  <c r="S27" i="1"/>
  <c r="R27" i="1"/>
  <c r="Q27" i="1"/>
  <c r="J27" i="1"/>
  <c r="D27" i="1"/>
  <c r="U26" i="1"/>
  <c r="T26" i="1"/>
  <c r="S26" i="1"/>
  <c r="R26" i="1"/>
  <c r="Q26" i="1"/>
  <c r="J26" i="1"/>
  <c r="D26" i="1"/>
  <c r="U25" i="1"/>
  <c r="T25" i="1"/>
  <c r="S25" i="1"/>
  <c r="R25" i="1"/>
  <c r="Q25" i="1"/>
  <c r="J25" i="1"/>
  <c r="D25" i="1"/>
  <c r="U24" i="1"/>
  <c r="T24" i="1"/>
  <c r="S24" i="1"/>
  <c r="R24" i="1"/>
  <c r="Q24" i="1"/>
  <c r="J24" i="1"/>
  <c r="D24" i="1"/>
  <c r="U23" i="1"/>
  <c r="T23" i="1"/>
  <c r="S23" i="1"/>
  <c r="R23" i="1"/>
  <c r="Q23" i="1"/>
  <c r="J23" i="1"/>
  <c r="D23" i="1"/>
  <c r="U22" i="1"/>
  <c r="T22" i="1"/>
  <c r="S22" i="1"/>
  <c r="R22" i="1"/>
  <c r="Q22" i="1"/>
  <c r="J22" i="1"/>
  <c r="D22" i="1"/>
  <c r="U21" i="1"/>
  <c r="T21" i="1"/>
  <c r="S21" i="1"/>
  <c r="R21" i="1"/>
  <c r="Q21" i="1"/>
  <c r="J21" i="1"/>
  <c r="D21" i="1"/>
  <c r="O20" i="1"/>
  <c r="N20" i="1"/>
  <c r="M20" i="1"/>
  <c r="L20" i="1"/>
  <c r="K20" i="1"/>
  <c r="I20" i="1"/>
  <c r="H20" i="1"/>
  <c r="G20" i="1"/>
  <c r="F20" i="1"/>
  <c r="E20" i="1"/>
  <c r="U19" i="1"/>
  <c r="T19" i="1"/>
  <c r="S19" i="1"/>
  <c r="R19" i="1"/>
  <c r="Q19" i="1"/>
  <c r="J19" i="1"/>
  <c r="D19" i="1"/>
  <c r="U18" i="1"/>
  <c r="T18" i="1"/>
  <c r="S18" i="1"/>
  <c r="R18" i="1"/>
  <c r="Q18" i="1"/>
  <c r="J18" i="1"/>
  <c r="D18" i="1"/>
  <c r="U17" i="1"/>
  <c r="T17" i="1"/>
  <c r="S17" i="1"/>
  <c r="R17" i="1"/>
  <c r="Q17" i="1"/>
  <c r="J17" i="1"/>
  <c r="D17" i="1"/>
  <c r="U16" i="1"/>
  <c r="T16" i="1"/>
  <c r="S16" i="1"/>
  <c r="R16" i="1"/>
  <c r="Q16" i="1"/>
  <c r="J16" i="1"/>
  <c r="D16" i="1"/>
  <c r="U15" i="1"/>
  <c r="T15" i="1"/>
  <c r="S15" i="1"/>
  <c r="R15" i="1"/>
  <c r="Q15" i="1"/>
  <c r="J15" i="1"/>
  <c r="D15" i="1"/>
  <c r="O14" i="1"/>
  <c r="N14" i="1"/>
  <c r="M14" i="1"/>
  <c r="L14" i="1"/>
  <c r="K14" i="1"/>
  <c r="I14" i="1"/>
  <c r="H14" i="1"/>
  <c r="G14" i="1"/>
  <c r="F14" i="1"/>
  <c r="E14" i="1"/>
  <c r="U13" i="1"/>
  <c r="T13" i="1"/>
  <c r="S13" i="1"/>
  <c r="R13" i="1"/>
  <c r="Q13" i="1"/>
  <c r="J13" i="1"/>
  <c r="D13" i="1"/>
  <c r="U12" i="1"/>
  <c r="T12" i="1"/>
  <c r="S12" i="1"/>
  <c r="R12" i="1"/>
  <c r="Q12" i="1"/>
  <c r="J12" i="1"/>
  <c r="D12" i="1"/>
  <c r="D36" i="1" s="1"/>
  <c r="U11" i="1"/>
  <c r="T11" i="1"/>
  <c r="R11" i="1"/>
  <c r="Q11" i="1"/>
  <c r="S11" i="1"/>
  <c r="J11" i="1"/>
  <c r="D11" i="1"/>
  <c r="U10" i="1"/>
  <c r="T10" i="1"/>
  <c r="R10" i="1"/>
  <c r="Q10" i="1"/>
  <c r="D10" i="1"/>
  <c r="O9" i="1"/>
  <c r="N9" i="1"/>
  <c r="L9" i="1"/>
  <c r="K9" i="1"/>
  <c r="I9" i="1"/>
  <c r="H9" i="1"/>
  <c r="G9" i="1"/>
  <c r="F9" i="1"/>
  <c r="F34" i="1" s="1"/>
  <c r="E9" i="1"/>
  <c r="D37" i="1" l="1"/>
  <c r="H34" i="1"/>
  <c r="D35" i="1"/>
  <c r="S126" i="1"/>
  <c r="N34" i="1"/>
  <c r="T34" i="1" s="1"/>
  <c r="K34" i="1"/>
  <c r="U126" i="1"/>
  <c r="U125" i="1"/>
  <c r="R125" i="1"/>
  <c r="T126" i="1"/>
  <c r="S127" i="1"/>
  <c r="Q125" i="1"/>
  <c r="Q127" i="1"/>
  <c r="L124" i="1"/>
  <c r="R127" i="1"/>
  <c r="G124" i="1"/>
  <c r="S124" i="1" s="1"/>
  <c r="O124" i="1"/>
  <c r="F124" i="1"/>
  <c r="H124" i="1"/>
  <c r="J127" i="1"/>
  <c r="E34" i="1"/>
  <c r="I34" i="1"/>
  <c r="O34" i="1"/>
  <c r="U34" i="1" s="1"/>
  <c r="J125" i="1"/>
  <c r="D127" i="1"/>
  <c r="N124" i="1"/>
  <c r="I124" i="1"/>
  <c r="D126" i="1"/>
  <c r="E124" i="1"/>
  <c r="G34" i="1"/>
  <c r="L34" i="1"/>
  <c r="R34" i="1" s="1"/>
  <c r="J36" i="1"/>
  <c r="P36" i="1" s="1"/>
  <c r="J37" i="1"/>
  <c r="P37" i="1" s="1"/>
  <c r="D125" i="1"/>
  <c r="K124" i="1"/>
  <c r="J126" i="1"/>
  <c r="S110" i="1"/>
  <c r="P106" i="1"/>
  <c r="P115" i="1"/>
  <c r="P122" i="1"/>
  <c r="P120" i="1"/>
  <c r="P118" i="1"/>
  <c r="P112" i="1"/>
  <c r="T99" i="1"/>
  <c r="P114" i="1"/>
  <c r="P117" i="1"/>
  <c r="T104" i="1"/>
  <c r="P108" i="1"/>
  <c r="P65" i="1"/>
  <c r="U99" i="1"/>
  <c r="U104" i="1"/>
  <c r="P103" i="1"/>
  <c r="S104" i="1"/>
  <c r="Q110" i="1"/>
  <c r="U110" i="1"/>
  <c r="P105" i="1"/>
  <c r="S99" i="1"/>
  <c r="P116" i="1"/>
  <c r="P111" i="1"/>
  <c r="Q104" i="1"/>
  <c r="P101" i="1"/>
  <c r="R104" i="1"/>
  <c r="Q99" i="1"/>
  <c r="P18" i="1"/>
  <c r="P59" i="1"/>
  <c r="P113" i="1"/>
  <c r="D99" i="1"/>
  <c r="R110" i="1"/>
  <c r="R99" i="1"/>
  <c r="P107" i="1"/>
  <c r="P22" i="1"/>
  <c r="P26" i="1"/>
  <c r="D110" i="1"/>
  <c r="P102" i="1"/>
  <c r="J110" i="1"/>
  <c r="J104" i="1"/>
  <c r="D104" i="1"/>
  <c r="T110" i="1"/>
  <c r="P109" i="1"/>
  <c r="J20" i="1"/>
  <c r="P21" i="1"/>
  <c r="Q20" i="1"/>
  <c r="U20" i="1"/>
  <c r="P11" i="1"/>
  <c r="P100" i="1"/>
  <c r="J99" i="1"/>
  <c r="J54" i="1"/>
  <c r="J79" i="1" s="1"/>
  <c r="P79" i="1" s="1"/>
  <c r="P56" i="1"/>
  <c r="J14" i="1"/>
  <c r="P25" i="1"/>
  <c r="P30" i="1"/>
  <c r="P13" i="1"/>
  <c r="T14" i="1"/>
  <c r="P17" i="1"/>
  <c r="P24" i="1"/>
  <c r="P28" i="1"/>
  <c r="R14" i="1"/>
  <c r="P16" i="1"/>
  <c r="T9" i="1"/>
  <c r="P12" i="1"/>
  <c r="U9" i="1"/>
  <c r="S14" i="1"/>
  <c r="Q14" i="1"/>
  <c r="U14" i="1"/>
  <c r="S20" i="1"/>
  <c r="R9" i="1"/>
  <c r="Q9" i="1"/>
  <c r="D9" i="1"/>
  <c r="P15" i="1"/>
  <c r="P19" i="1"/>
  <c r="R20" i="1"/>
  <c r="T20" i="1"/>
  <c r="P23" i="1"/>
  <c r="P27" i="1"/>
  <c r="P32" i="1"/>
  <c r="J10" i="1"/>
  <c r="J35" i="1" s="1"/>
  <c r="P35" i="1" s="1"/>
  <c r="S10" i="1"/>
  <c r="D14" i="1"/>
  <c r="D20" i="1"/>
  <c r="M9" i="1"/>
  <c r="M34" i="1" s="1"/>
  <c r="Q34" i="1" l="1"/>
  <c r="U124" i="1"/>
  <c r="R124" i="1"/>
  <c r="T124" i="1"/>
  <c r="Q124" i="1"/>
  <c r="J124" i="1"/>
  <c r="S34" i="1"/>
  <c r="D34" i="1"/>
  <c r="P126" i="1"/>
  <c r="P125" i="1"/>
  <c r="P127" i="1"/>
  <c r="D124" i="1"/>
  <c r="S9" i="1"/>
  <c r="P104" i="1"/>
  <c r="P110" i="1"/>
  <c r="P20" i="1"/>
  <c r="P99" i="1"/>
  <c r="P54" i="1"/>
  <c r="P14" i="1"/>
  <c r="P10" i="1"/>
  <c r="J9" i="1"/>
  <c r="J34" i="1" s="1"/>
  <c r="P124" i="1" l="1"/>
  <c r="P34" i="1"/>
  <c r="P9" i="1"/>
</calcChain>
</file>

<file path=xl/sharedStrings.xml><?xml version="1.0" encoding="utf-8"?>
<sst xmlns="http://schemas.openxmlformats.org/spreadsheetml/2006/main" count="286" uniqueCount="76">
  <si>
    <t>DEPARTMENT OF HEALTH CARE SERVICES</t>
  </si>
  <si>
    <t>Drug Medi-Cal Program</t>
  </si>
  <si>
    <t>Comparison of Fiscal Impacts of Policy Changes</t>
  </si>
  <si>
    <t>Cash Comparison</t>
  </si>
  <si>
    <t>(Dollars In Thousands)</t>
  </si>
  <si>
    <t>DIFFERENCE (Diff), Incr./(Decr.)</t>
  </si>
  <si>
    <t>NO.</t>
  </si>
  <si>
    <t>NAME</t>
  </si>
  <si>
    <t>DESCRIPTION</t>
  </si>
  <si>
    <t>Diff TF</t>
  </si>
  <si>
    <t>Diff GF</t>
  </si>
  <si>
    <t>Diff SF</t>
  </si>
  <si>
    <t>Diff FF</t>
  </si>
  <si>
    <t>Diff CF</t>
  </si>
  <si>
    <t>Diff CASELOAD</t>
  </si>
  <si>
    <t xml:space="preserve">Regular </t>
  </si>
  <si>
    <t xml:space="preserve">Current </t>
  </si>
  <si>
    <t>Regular</t>
  </si>
  <si>
    <t>ACA Optional</t>
  </si>
  <si>
    <t>Perinatal</t>
  </si>
  <si>
    <t xml:space="preserve">ACA Optional </t>
  </si>
  <si>
    <t>DRUG MEDI-CAL STATE PLAN SERVICES</t>
  </si>
  <si>
    <t xml:space="preserve">DRUG MEDI-CAL ANNUAL RATE ADJUSTMENT </t>
  </si>
  <si>
    <t xml:space="preserve">DRUG MEDI-CAL PROGRAM COST SETTLEMENT </t>
  </si>
  <si>
    <t>DRUG MEDI-CAL COUNTY ADMIN</t>
  </si>
  <si>
    <t>DRUG MEDI-CAL PARITY RULE ADMINISTRATION</t>
  </si>
  <si>
    <t xml:space="preserve">   DRUG MEDI-CAL TOTAL</t>
  </si>
  <si>
    <t>Regular Total</t>
  </si>
  <si>
    <t>Perinatal Total</t>
  </si>
  <si>
    <t xml:space="preserve"> Other Total</t>
  </si>
  <si>
    <t>Notes:</t>
  </si>
  <si>
    <t>Amounts may differ due to rounding.</t>
  </si>
  <si>
    <t>DIFFERENCE (Diff) , Incr./(Decr.)</t>
  </si>
  <si>
    <t xml:space="preserve">Diff CASELOAD </t>
  </si>
  <si>
    <t>TYPE</t>
  </si>
  <si>
    <t>Fiscal Year 2023-24, November 2023 Estimate Compared to May 2024 Estimate</t>
  </si>
  <si>
    <t>May 2024 POLICY CHANGE</t>
  </si>
  <si>
    <t>November 2023 (N23) Estimate for FY 2023-24</t>
  </si>
  <si>
    <t>May 2024 (M24) Estimate for FY 2023-24</t>
  </si>
  <si>
    <t>N23 TF</t>
  </si>
  <si>
    <t>N23 GF</t>
  </si>
  <si>
    <t>N23 FF</t>
  </si>
  <si>
    <t>N23 CF</t>
  </si>
  <si>
    <t xml:space="preserve">N23 CASELOAD </t>
  </si>
  <si>
    <t xml:space="preserve">M24 TF </t>
  </si>
  <si>
    <t>M24 GF</t>
  </si>
  <si>
    <t>M24 FF</t>
  </si>
  <si>
    <t>M24 CASELOAD</t>
  </si>
  <si>
    <t>Fiscal Year 2024-25, November 2023 Estimate Compared to May 2024 Estimate</t>
  </si>
  <si>
    <t>November 2023 (N23) Estimate for FY 2024-25</t>
  </si>
  <si>
    <t>May 2024 (M24) Estimate for FY 2024-25</t>
  </si>
  <si>
    <t xml:space="preserve">M24 CF </t>
  </si>
  <si>
    <t>Base 42</t>
  </si>
  <si>
    <t>Base 45</t>
  </si>
  <si>
    <t>Regular 43</t>
  </si>
  <si>
    <t>Regular 44</t>
  </si>
  <si>
    <t>Regular 46</t>
  </si>
  <si>
    <t>Regular 144</t>
  </si>
  <si>
    <t>Regular 151</t>
  </si>
  <si>
    <t>Regular 183</t>
  </si>
  <si>
    <t>Regular 164</t>
  </si>
  <si>
    <t>OA 10</t>
  </si>
  <si>
    <t>OA 33</t>
  </si>
  <si>
    <t>OA 37</t>
  </si>
  <si>
    <t>OA 12</t>
  </si>
  <si>
    <t>May 2024 Estimate, FY 2023-24 Compared to FY 2024-25</t>
  </si>
  <si>
    <r>
      <t>M24 CF</t>
    </r>
    <r>
      <rPr>
        <b/>
        <vertAlign val="superscript"/>
        <sz val="12"/>
        <rFont val="Segoe UI"/>
        <family val="2"/>
      </rPr>
      <t xml:space="preserve"> </t>
    </r>
  </si>
  <si>
    <t xml:space="preserve">Effective July 1, 2023, the Department implemented the CalAIM Behavioral Health Payment Reform and a new Intergovernmental Transfers (IGTs) process. The IGTs are deposited in the Medi-Cal County Behavioral Health Fund, Item 4260-601-3420. This item is included under SF in this chart.  </t>
  </si>
  <si>
    <r>
      <rPr>
        <vertAlign val="superscript"/>
        <sz val="12"/>
        <rFont val="Segoe UI"/>
        <family val="2"/>
      </rPr>
      <t xml:space="preserve">1 </t>
    </r>
    <r>
      <rPr>
        <sz val="12"/>
        <rFont val="Segoe UI"/>
        <family val="2"/>
      </rPr>
      <t xml:space="preserve">The Drug Medi-Cal Organized Delivery System Waiver estimate does not include caseload; the estimate is based on county specific rates and estimated utilization. </t>
    </r>
  </si>
  <si>
    <r>
      <rPr>
        <vertAlign val="superscript"/>
        <sz val="12"/>
        <rFont val="Segoe UI"/>
        <family val="2"/>
      </rPr>
      <t xml:space="preserve">2 </t>
    </r>
    <r>
      <rPr>
        <sz val="12"/>
        <rFont val="Segoe UI"/>
        <family val="2"/>
      </rPr>
      <t>The HCBS SP - Contingency Management policy change estimates the cost of adding Contingency Management as an optional evidence-based service under the DMC-ODS Waiver Program; The non-federal share is funded from the HBCS American Rescue Plan Fund, Item 4260-101-8507. This item is included under SF in this chart.</t>
    </r>
  </si>
  <si>
    <r>
      <rPr>
        <vertAlign val="superscript"/>
        <sz val="12"/>
        <rFont val="Segoe UI"/>
        <family val="2"/>
      </rPr>
      <t xml:space="preserve">3 </t>
    </r>
    <r>
      <rPr>
        <sz val="12"/>
        <rFont val="Segoe UI"/>
        <family val="2"/>
      </rPr>
      <t xml:space="preserve">The COVID-19 Behavioral Health policy change estimates the cost of establishing interim rates for certain Behavioral Health Medi-Cal programs due to impacts resulting from the Coronavirus disease 2019 (COVID-19) pandemic. Only the Drug Medi-Cal impact is shown in the table; FY 2024-25 assumes no costs for Drug Medi-Cal. </t>
    </r>
  </si>
  <si>
    <r>
      <rPr>
        <vertAlign val="superscript"/>
        <sz val="12"/>
        <rFont val="Segoe UI"/>
        <family val="2"/>
      </rPr>
      <t xml:space="preserve">4 </t>
    </r>
    <r>
      <rPr>
        <sz val="12"/>
        <rFont val="Segoe UI"/>
        <family val="2"/>
      </rPr>
      <t>The State-Only Claiming Adjustments - Retro. Adj. policy change is for retrospective federal repayments for Drug Medi-Cal claims that were made for individuals without satisfactory immigration status and these amounts were added to the November 
   2023 Estimate. Only the Drug Medi-Cal impact is shown in the table.</t>
    </r>
  </si>
  <si>
    <r>
      <rPr>
        <vertAlign val="superscript"/>
        <sz val="12"/>
        <rFont val="Segoe UI"/>
        <family val="2"/>
      </rPr>
      <t xml:space="preserve">5 </t>
    </r>
    <r>
      <rPr>
        <sz val="12"/>
        <rFont val="Segoe UI"/>
        <family val="2"/>
      </rPr>
      <t>The Qualifying Community-Based Mobile Crisis Services policy change estimates the cost for counties to provide qualifying community-based mobile crisis intervention services to Medi-Cal members in need of Medi-Cal behavioral health services. Only the Drug Medi-Cal impact is shown in the table.</t>
    </r>
  </si>
  <si>
    <r>
      <rPr>
        <vertAlign val="superscript"/>
        <sz val="12"/>
        <rFont val="Segoe UI"/>
        <family val="2"/>
      </rPr>
      <t>6</t>
    </r>
    <r>
      <rPr>
        <sz val="12"/>
        <rFont val="Segoe UI"/>
        <family val="2"/>
      </rPr>
      <t xml:space="preserve"> The Peer Support Specialist Services policy change estimates the costs for adding peer support specialist services as a covered benefit in the Behavioral Health Medi-Cal Programs. Only the Drug Medi-Cal impact is shown in the table.</t>
    </r>
  </si>
  <si>
    <r>
      <rPr>
        <vertAlign val="superscript"/>
        <sz val="12"/>
        <rFont val="Segoe UI"/>
        <family val="2"/>
      </rPr>
      <t xml:space="preserve">7 </t>
    </r>
    <r>
      <rPr>
        <sz val="12"/>
        <rFont val="Segoe UI"/>
        <family val="2"/>
      </rPr>
      <t>The County Compliance with Interoperability Final Rule policy change estimates the costs for funding counties to implement changes to stay in compliance with the federal data exchange standards and regulations of the Interoperability Final Rule. Only the Drug Medi-Cal impact is shown in the table.</t>
    </r>
  </si>
  <si>
    <r>
      <rPr>
        <vertAlign val="superscript"/>
        <sz val="12"/>
        <rFont val="Segoe UI"/>
        <family val="2"/>
      </rPr>
      <t xml:space="preserve">8 </t>
    </r>
    <r>
      <rPr>
        <sz val="12"/>
        <rFont val="Segoe UI"/>
        <family val="2"/>
      </rPr>
      <t>The HCBS SP - Contingency Management Admin policy change estimates the administrative costs of adding Contingency Management as an optional evidence-based Medi-Cal benefit under the Drug Medi-Cal Organized Delivery Systems (DMC-ODS) Waiver Program; The non-federal share is funded from the HBCS American Rescue Plan Fund, Item 4260-101-8507. This item is included under SF in this chart.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</si>
</sst>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4" x14ac:knownFonts="1">
    <font>
      <sz val="11"/>
      <color theme="1"/>
      <name val="Calibri"/>
      <family val="2"/>
      <scheme val="minor"/>
    </font>
    <font>
      <sz val="11"/>
      <color theme="1"/>
      <name val="Calibri"/>
      <family val="2"/>
      <scheme val="minor"/>
    </font>
    <font>
      <sz val="12"/>
      <name val="Arial"/>
      <family val="2"/>
    </font>
    <font>
      <b/>
      <sz val="12"/>
      <name val="Segoe UI"/>
      <family val="2"/>
    </font>
    <font>
      <sz val="12"/>
      <name val="Segoe UI"/>
      <family val="2"/>
    </font>
    <font>
      <b/>
      <u/>
      <sz val="12"/>
      <name val="Segoe UI"/>
      <family val="2"/>
    </font>
    <font>
      <b/>
      <vertAlign val="superscript"/>
      <sz val="12"/>
      <name val="Segoe UI"/>
      <family val="2"/>
    </font>
    <font>
      <strike/>
      <sz val="12"/>
      <name val="Segoe UI"/>
      <family val="2"/>
    </font>
    <font>
      <b/>
      <strike/>
      <sz val="12"/>
      <name val="Segoe UI"/>
      <family val="2"/>
    </font>
    <font>
      <u/>
      <sz val="11"/>
      <color theme="10"/>
      <name val="Calibri"/>
      <family val="2"/>
      <scheme val="minor"/>
    </font>
    <font>
      <sz val="8"/>
      <name val="Calibri"/>
      <family val="2"/>
      <scheme val="minor"/>
    </font>
    <font>
      <vertAlign val="superscript"/>
      <sz val="12"/>
      <name val="Segoe UI"/>
      <family val="2"/>
    </font>
    <font>
      <u/>
      <sz val="12"/>
      <color theme="10"/>
      <name val="Segoe UI"/>
      <family val="2"/>
    </font>
    <font>
      <b/>
      <sz val="14"/>
      <name val="Segoe UI"/>
      <family val="2"/>
    </font>
  </fonts>
  <fills count="2">
    <fill>
      <patternFill patternType="none"/>
    </fill>
    <fill>
      <patternFill patternType="gray125"/>
    </fill>
  </fills>
  <borders count="37">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auto="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medium">
        <color indexed="64"/>
      </bottom>
      <diagonal/>
    </border>
    <border>
      <left style="thin">
        <color indexed="64"/>
      </left>
      <right/>
      <top style="thin">
        <color theme="4" tint="0.39997558519241921"/>
      </top>
      <bottom/>
      <diagonal/>
    </border>
    <border>
      <left/>
      <right/>
      <top style="thin">
        <color theme="4" tint="0.39997558519241921"/>
      </top>
      <bottom/>
      <diagonal/>
    </border>
    <border>
      <left/>
      <right style="thin">
        <color auto="1"/>
      </right>
      <top style="thin">
        <color theme="4" tint="0.39997558519241921"/>
      </top>
      <bottom/>
      <diagonal/>
    </border>
    <border>
      <left/>
      <right style="thin">
        <color indexed="64"/>
      </right>
      <top style="thin">
        <color theme="4" tint="0.39997558519241921"/>
      </top>
      <bottom style="medium">
        <color indexed="64"/>
      </bottom>
      <diagonal/>
    </border>
  </borders>
  <cellStyleXfs count="7">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9" fillId="0" borderId="0" applyNumberFormat="0" applyFill="0" applyBorder="0" applyAlignment="0" applyProtection="0"/>
  </cellStyleXfs>
  <cellXfs count="175">
    <xf numFmtId="0" fontId="0" fillId="0" borderId="0" xfId="0"/>
    <xf numFmtId="0" fontId="3" fillId="0" borderId="0" xfId="1" applyFont="1" applyFill="1" applyAlignment="1" applyProtection="1">
      <alignment horizontal="centerContinuous"/>
      <protection locked="0"/>
    </xf>
    <xf numFmtId="0" fontId="4" fillId="0" borderId="0" xfId="1" applyFont="1" applyFill="1" applyProtection="1">
      <protection locked="0" hidden="1"/>
    </xf>
    <xf numFmtId="0" fontId="4" fillId="0" borderId="0" xfId="1" applyFont="1" applyFill="1" applyAlignment="1" applyProtection="1">
      <alignment horizontal="left"/>
      <protection locked="0"/>
    </xf>
    <xf numFmtId="0" fontId="4" fillId="0" borderId="0" xfId="1" applyFont="1" applyFill="1" applyAlignment="1" applyProtection="1">
      <alignment horizontal="centerContinuous"/>
      <protection locked="0"/>
    </xf>
    <xf numFmtId="5" fontId="4" fillId="0" borderId="0" xfId="2" applyNumberFormat="1" applyFont="1" applyFill="1" applyAlignment="1" applyProtection="1">
      <alignment horizontal="centerContinuous"/>
      <protection locked="0"/>
    </xf>
    <xf numFmtId="5" fontId="4" fillId="0" borderId="0" xfId="1" applyNumberFormat="1" applyFont="1" applyFill="1" applyAlignment="1" applyProtection="1">
      <alignment horizontal="centerContinuous"/>
      <protection locked="0"/>
    </xf>
    <xf numFmtId="164" fontId="4" fillId="0" borderId="0" xfId="2" applyNumberFormat="1" applyFont="1" applyFill="1" applyAlignment="1" applyProtection="1">
      <alignment horizontal="centerContinuous"/>
      <protection locked="0"/>
    </xf>
    <xf numFmtId="0" fontId="3" fillId="0" borderId="10" xfId="1" applyFont="1" applyFill="1" applyBorder="1" applyAlignment="1" applyProtection="1">
      <alignment horizontal="centerContinuous"/>
      <protection locked="0"/>
    </xf>
    <xf numFmtId="0" fontId="3" fillId="0" borderId="9" xfId="1" applyFont="1" applyFill="1" applyBorder="1" applyAlignment="1" applyProtection="1">
      <alignment horizontal="centerContinuous"/>
      <protection locked="0"/>
    </xf>
    <xf numFmtId="0" fontId="3" fillId="0" borderId="8" xfId="1" applyFont="1" applyFill="1" applyBorder="1" applyAlignment="1" applyProtection="1">
      <alignment horizontal="centerContinuous"/>
      <protection locked="0"/>
    </xf>
    <xf numFmtId="0" fontId="5" fillId="0" borderId="4" xfId="1" applyFont="1" applyFill="1" applyBorder="1" applyAlignment="1" applyProtection="1">
      <alignment horizontal="left"/>
      <protection locked="0"/>
    </xf>
    <xf numFmtId="0" fontId="5" fillId="0" borderId="0" xfId="1" applyFont="1" applyFill="1" applyBorder="1" applyAlignment="1" applyProtection="1">
      <alignment horizontal="left"/>
      <protection locked="0"/>
    </xf>
    <xf numFmtId="0" fontId="3" fillId="0" borderId="0" xfId="1" applyFont="1" applyFill="1" applyBorder="1" applyAlignment="1" applyProtection="1">
      <alignment horizontal="left"/>
      <protection locked="0"/>
    </xf>
    <xf numFmtId="0" fontId="3" fillId="0" borderId="7" xfId="1" applyFont="1" applyFill="1" applyBorder="1" applyAlignment="1" applyProtection="1">
      <alignment horizontal="centerContinuous"/>
      <protection locked="0"/>
    </xf>
    <xf numFmtId="0" fontId="3" fillId="0" borderId="6" xfId="1" applyFont="1" applyFill="1" applyBorder="1" applyAlignment="1" applyProtection="1">
      <alignment horizontal="centerContinuous"/>
      <protection locked="0"/>
    </xf>
    <xf numFmtId="0" fontId="3" fillId="0" borderId="5" xfId="1" applyFont="1" applyFill="1" applyBorder="1" applyAlignment="1" applyProtection="1">
      <alignment horizontal="centerContinuous"/>
      <protection locked="0"/>
    </xf>
    <xf numFmtId="5" fontId="3" fillId="0" borderId="7" xfId="1" applyNumberFormat="1" applyFont="1" applyFill="1" applyBorder="1" applyAlignment="1" applyProtection="1">
      <alignment horizontal="centerContinuous"/>
      <protection locked="0"/>
    </xf>
    <xf numFmtId="5" fontId="3" fillId="0" borderId="6" xfId="1" applyNumberFormat="1" applyFont="1" applyFill="1" applyBorder="1" applyAlignment="1" applyProtection="1">
      <alignment horizontal="centerContinuous"/>
      <protection locked="0"/>
    </xf>
    <xf numFmtId="5" fontId="3" fillId="0" borderId="5" xfId="1" applyNumberFormat="1" applyFont="1" applyFill="1" applyBorder="1" applyAlignment="1" applyProtection="1">
      <alignment horizontal="centerContinuous"/>
      <protection locked="0"/>
    </xf>
    <xf numFmtId="0" fontId="3" fillId="0" borderId="0" xfId="1" applyFont="1" applyFill="1" applyProtection="1">
      <protection locked="0" hidden="1"/>
    </xf>
    <xf numFmtId="0" fontId="3" fillId="0" borderId="33" xfId="1" applyNumberFormat="1" applyFont="1" applyFill="1" applyBorder="1" applyAlignment="1" applyProtection="1">
      <alignment horizontal="center"/>
      <protection locked="0"/>
    </xf>
    <xf numFmtId="0" fontId="3" fillId="0" borderId="34" xfId="1" applyNumberFormat="1" applyFont="1" applyFill="1" applyBorder="1" applyAlignment="1" applyProtection="1">
      <alignment horizontal="center"/>
      <protection locked="0"/>
    </xf>
    <xf numFmtId="0" fontId="3" fillId="0" borderId="34" xfId="1" applyNumberFormat="1" applyFont="1" applyFill="1" applyBorder="1" applyAlignment="1" applyProtection="1">
      <protection locked="0"/>
    </xf>
    <xf numFmtId="5" fontId="3" fillId="0" borderId="32" xfId="1" applyNumberFormat="1" applyFont="1" applyFill="1" applyBorder="1" applyAlignment="1" applyProtection="1">
      <alignment horizontal="center"/>
      <protection locked="0"/>
    </xf>
    <xf numFmtId="5" fontId="3" fillId="0" borderId="21" xfId="1" applyNumberFormat="1" applyFont="1" applyFill="1" applyBorder="1" applyAlignment="1" applyProtection="1">
      <alignment horizontal="center"/>
      <protection locked="0"/>
    </xf>
    <xf numFmtId="5" fontId="3" fillId="0" borderId="34" xfId="1" applyNumberFormat="1" applyFont="1" applyFill="1" applyBorder="1" applyAlignment="1" applyProtection="1">
      <alignment horizontal="center"/>
      <protection locked="0"/>
    </xf>
    <xf numFmtId="5" fontId="3" fillId="0" borderId="21" xfId="1" applyNumberFormat="1" applyFont="1" applyFill="1" applyBorder="1" applyAlignment="1" applyProtection="1">
      <alignment horizontal="center" wrapText="1"/>
      <protection locked="0"/>
    </xf>
    <xf numFmtId="0" fontId="3" fillId="0" borderId="21" xfId="1" applyNumberFormat="1" applyFont="1" applyFill="1" applyBorder="1" applyAlignment="1" applyProtection="1">
      <alignment horizontal="center"/>
      <protection locked="0"/>
    </xf>
    <xf numFmtId="5" fontId="3" fillId="0" borderId="34" xfId="1" applyNumberFormat="1" applyFont="1" applyFill="1" applyBorder="1" applyAlignment="1" applyProtection="1">
      <alignment horizontal="center" wrapText="1"/>
      <protection locked="0"/>
    </xf>
    <xf numFmtId="5" fontId="3" fillId="0" borderId="33" xfId="1" applyNumberFormat="1" applyFont="1" applyFill="1" applyBorder="1" applyAlignment="1" applyProtection="1">
      <alignment horizontal="center"/>
      <protection locked="0"/>
    </xf>
    <xf numFmtId="164" fontId="3" fillId="0" borderId="35" xfId="2" applyNumberFormat="1" applyFont="1" applyFill="1" applyBorder="1" applyAlignment="1" applyProtection="1">
      <alignment horizontal="center"/>
      <protection locked="0"/>
    </xf>
    <xf numFmtId="0" fontId="4" fillId="0" borderId="11" xfId="1" applyNumberFormat="1" applyFont="1" applyFill="1" applyBorder="1" applyAlignment="1" applyProtection="1">
      <alignment horizontal="left"/>
      <protection locked="0"/>
    </xf>
    <xf numFmtId="0" fontId="3" fillId="0" borderId="12" xfId="1" applyFont="1" applyFill="1" applyBorder="1" applyProtection="1">
      <protection locked="0"/>
    </xf>
    <xf numFmtId="5" fontId="3" fillId="0" borderId="11" xfId="1" applyNumberFormat="1" applyFont="1" applyFill="1" applyBorder="1" applyAlignment="1" applyProtection="1">
      <protection locked="0"/>
    </xf>
    <xf numFmtId="5" fontId="3" fillId="0" borderId="12" xfId="1" applyNumberFormat="1" applyFont="1" applyFill="1" applyBorder="1" applyAlignment="1" applyProtection="1">
      <protection locked="0"/>
    </xf>
    <xf numFmtId="164" fontId="3" fillId="0" borderId="13" xfId="5" applyNumberFormat="1" applyFont="1" applyFill="1" applyBorder="1" applyAlignment="1" applyProtection="1">
      <alignment horizontal="right" indent="1"/>
      <protection locked="0"/>
    </xf>
    <xf numFmtId="164" fontId="3" fillId="0" borderId="28" xfId="5" applyNumberFormat="1" applyFont="1" applyFill="1" applyBorder="1" applyAlignment="1" applyProtection="1">
      <alignment horizontal="right" indent="1"/>
      <protection locked="0"/>
    </xf>
    <xf numFmtId="0" fontId="4" fillId="0" borderId="33" xfId="1" applyNumberFormat="1" applyFont="1" applyFill="1" applyBorder="1" applyAlignment="1" applyProtection="1">
      <alignment horizontal="left"/>
      <protection locked="0"/>
    </xf>
    <xf numFmtId="0" fontId="4" fillId="0" borderId="34" xfId="1" applyFont="1" applyFill="1" applyBorder="1" applyAlignment="1" applyProtection="1">
      <alignment horizontal="left"/>
      <protection locked="0"/>
    </xf>
    <xf numFmtId="0" fontId="4" fillId="0" borderId="34" xfId="1" applyFont="1" applyFill="1" applyBorder="1" applyProtection="1">
      <protection locked="0"/>
    </xf>
    <xf numFmtId="5" fontId="4" fillId="0" borderId="4" xfId="1" applyNumberFormat="1" applyFont="1" applyFill="1" applyBorder="1" applyAlignment="1" applyProtection="1">
      <protection locked="0"/>
    </xf>
    <xf numFmtId="5" fontId="4" fillId="0" borderId="0" xfId="1" applyNumberFormat="1" applyFont="1" applyFill="1" applyProtection="1">
      <protection locked="0"/>
    </xf>
    <xf numFmtId="164" fontId="4" fillId="0" borderId="0" xfId="5" applyNumberFormat="1" applyFont="1" applyFill="1" applyBorder="1" applyAlignment="1" applyProtection="1">
      <protection locked="0"/>
    </xf>
    <xf numFmtId="5" fontId="4" fillId="0" borderId="0" xfId="1" applyNumberFormat="1" applyFont="1" applyFill="1" applyBorder="1" applyAlignment="1" applyProtection="1">
      <protection locked="0"/>
    </xf>
    <xf numFmtId="164" fontId="4" fillId="0" borderId="3" xfId="5" applyNumberFormat="1" applyFont="1" applyFill="1" applyBorder="1" applyAlignment="1" applyProtection="1">
      <alignment horizontal="right" indent="1"/>
      <protection locked="0"/>
    </xf>
    <xf numFmtId="164" fontId="4" fillId="0" borderId="27" xfId="5" applyNumberFormat="1" applyFont="1" applyFill="1" applyBorder="1" applyAlignment="1" applyProtection="1">
      <alignment horizontal="right" indent="1"/>
      <protection locked="0"/>
    </xf>
    <xf numFmtId="5" fontId="4" fillId="0" borderId="14" xfId="1" applyNumberFormat="1" applyFont="1" applyFill="1" applyBorder="1" applyAlignment="1" applyProtection="1">
      <protection locked="0"/>
    </xf>
    <xf numFmtId="5" fontId="4" fillId="0" borderId="15" xfId="1" applyNumberFormat="1" applyFont="1" applyFill="1" applyBorder="1" applyProtection="1">
      <protection locked="0"/>
    </xf>
    <xf numFmtId="164" fontId="4" fillId="0" borderId="15" xfId="5" applyNumberFormat="1" applyFont="1" applyFill="1" applyBorder="1" applyAlignment="1" applyProtection="1">
      <protection locked="0"/>
    </xf>
    <xf numFmtId="5" fontId="4" fillId="0" borderId="15" xfId="1" applyNumberFormat="1" applyFont="1" applyFill="1" applyBorder="1" applyAlignment="1" applyProtection="1">
      <protection locked="0"/>
    </xf>
    <xf numFmtId="164" fontId="4" fillId="0" borderId="16" xfId="5" applyNumberFormat="1" applyFont="1" applyFill="1" applyBorder="1" applyAlignment="1" applyProtection="1">
      <alignment horizontal="right" indent="1"/>
      <protection locked="0"/>
    </xf>
    <xf numFmtId="0" fontId="3" fillId="0" borderId="12" xfId="1" applyFont="1" applyFill="1" applyBorder="1" applyAlignment="1" applyProtection="1">
      <alignment horizontal="left"/>
      <protection locked="0"/>
    </xf>
    <xf numFmtId="5" fontId="3" fillId="0" borderId="4"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164" fontId="3" fillId="0" borderId="3" xfId="5" applyNumberFormat="1" applyFont="1" applyFill="1" applyBorder="1" applyAlignment="1" applyProtection="1">
      <protection locked="0"/>
    </xf>
    <xf numFmtId="164" fontId="3" fillId="0" borderId="3" xfId="5" applyNumberFormat="1" applyFont="1" applyFill="1" applyBorder="1" applyAlignment="1" applyProtection="1">
      <alignment horizontal="right" indent="1"/>
      <protection locked="0"/>
    </xf>
    <xf numFmtId="164" fontId="4" fillId="0" borderId="3" xfId="5" applyNumberFormat="1" applyFont="1" applyFill="1" applyBorder="1" applyAlignment="1" applyProtection="1">
      <protection locked="0"/>
    </xf>
    <xf numFmtId="164" fontId="4" fillId="0" borderId="16" xfId="5" applyNumberFormat="1" applyFont="1" applyFill="1" applyBorder="1" applyAlignment="1" applyProtection="1">
      <protection locked="0"/>
    </xf>
    <xf numFmtId="164" fontId="4" fillId="0" borderId="25" xfId="5" applyNumberFormat="1" applyFont="1" applyFill="1" applyBorder="1" applyAlignment="1" applyProtection="1">
      <alignment horizontal="right" indent="1"/>
      <protection locked="0"/>
    </xf>
    <xf numFmtId="0" fontId="4" fillId="0" borderId="12" xfId="1" applyFont="1" applyFill="1" applyBorder="1" applyProtection="1">
      <protection locked="0"/>
    </xf>
    <xf numFmtId="5" fontId="3" fillId="0" borderId="17" xfId="1" applyNumberFormat="1" applyFont="1" applyFill="1" applyBorder="1" applyAlignment="1" applyProtection="1">
      <protection locked="0"/>
    </xf>
    <xf numFmtId="5" fontId="3" fillId="0" borderId="18" xfId="1" applyNumberFormat="1" applyFont="1" applyFill="1" applyBorder="1" applyProtection="1">
      <protection locked="0"/>
    </xf>
    <xf numFmtId="164" fontId="3" fillId="0" borderId="19" xfId="5" applyNumberFormat="1" applyFont="1" applyFill="1" applyBorder="1" applyAlignment="1" applyProtection="1">
      <protection locked="0"/>
    </xf>
    <xf numFmtId="5" fontId="3" fillId="0" borderId="18" xfId="1" applyNumberFormat="1" applyFont="1" applyFill="1" applyBorder="1" applyAlignment="1" applyProtection="1">
      <protection locked="0"/>
    </xf>
    <xf numFmtId="164" fontId="3" fillId="0" borderId="19" xfId="5" applyNumberFormat="1" applyFont="1" applyFill="1" applyBorder="1" applyAlignment="1" applyProtection="1">
      <alignment horizontal="right" indent="1"/>
      <protection locked="0"/>
    </xf>
    <xf numFmtId="164" fontId="3" fillId="0" borderId="24" xfId="5" applyNumberFormat="1" applyFont="1" applyFill="1" applyBorder="1" applyAlignment="1" applyProtection="1">
      <alignment horizontal="right" indent="1"/>
      <protection locked="0"/>
    </xf>
    <xf numFmtId="164" fontId="3" fillId="0" borderId="12" xfId="5" applyNumberFormat="1" applyFont="1" applyFill="1" applyBorder="1" applyAlignment="1" applyProtection="1">
      <alignment horizontal="right" indent="1"/>
      <protection locked="0"/>
    </xf>
    <xf numFmtId="0" fontId="4" fillId="0" borderId="0" xfId="1" applyFont="1" applyFill="1" applyBorder="1" applyProtection="1">
      <protection locked="0" hidden="1"/>
    </xf>
    <xf numFmtId="164" fontId="3" fillId="0" borderId="27" xfId="5" applyNumberFormat="1" applyFont="1" applyFill="1" applyBorder="1" applyAlignment="1" applyProtection="1">
      <alignment horizontal="right" indent="1"/>
      <protection locked="0"/>
    </xf>
    <xf numFmtId="164" fontId="3" fillId="0" borderId="25" xfId="5" applyNumberFormat="1" applyFont="1" applyFill="1" applyBorder="1" applyAlignment="1" applyProtection="1">
      <alignment horizontal="right" indent="1"/>
      <protection locked="0"/>
    </xf>
    <xf numFmtId="5" fontId="3" fillId="0" borderId="15" xfId="1" applyNumberFormat="1" applyFont="1" applyFill="1" applyBorder="1" applyProtection="1">
      <protection locked="0"/>
    </xf>
    <xf numFmtId="164" fontId="3" fillId="0" borderId="16" xfId="5" applyNumberFormat="1" applyFont="1" applyFill="1" applyBorder="1" applyAlignment="1" applyProtection="1">
      <protection locked="0"/>
    </xf>
    <xf numFmtId="0" fontId="4" fillId="0" borderId="11" xfId="1" applyNumberFormat="1" applyFont="1" applyFill="1" applyBorder="1" applyAlignment="1" applyProtection="1">
      <alignment horizontal="left" vertical="center"/>
      <protection locked="0"/>
    </xf>
    <xf numFmtId="0" fontId="3" fillId="0" borderId="12" xfId="1" applyFont="1" applyFill="1" applyBorder="1" applyAlignment="1" applyProtection="1">
      <alignment vertical="center"/>
      <protection locked="0"/>
    </xf>
    <xf numFmtId="0" fontId="4" fillId="0" borderId="12" xfId="1" applyFont="1" applyFill="1" applyBorder="1" applyAlignment="1" applyProtection="1">
      <alignment vertical="center"/>
      <protection locked="0"/>
    </xf>
    <xf numFmtId="0" fontId="4" fillId="0" borderId="11" xfId="1" applyNumberFormat="1" applyFont="1" applyFill="1" applyBorder="1" applyAlignment="1" applyProtection="1">
      <alignment horizontal="left" vertical="center" wrapText="1"/>
      <protection locked="0"/>
    </xf>
    <xf numFmtId="0" fontId="4" fillId="0" borderId="0" xfId="1" applyFont="1" applyFill="1" applyAlignment="1" applyProtection="1">
      <alignment vertical="center"/>
      <protection locked="0" hidden="1"/>
    </xf>
    <xf numFmtId="165" fontId="3" fillId="0" borderId="11" xfId="1" applyNumberFormat="1" applyFont="1" applyFill="1" applyBorder="1" applyAlignment="1" applyProtection="1">
      <alignment horizontal="left"/>
      <protection locked="0"/>
    </xf>
    <xf numFmtId="165" fontId="3" fillId="0" borderId="12" xfId="1" applyNumberFormat="1" applyFont="1" applyFill="1" applyBorder="1" applyAlignment="1" applyProtection="1">
      <protection locked="0"/>
    </xf>
    <xf numFmtId="5" fontId="3" fillId="0" borderId="17" xfId="1" applyNumberFormat="1" applyFont="1" applyFill="1" applyBorder="1" applyProtection="1">
      <protection locked="0"/>
    </xf>
    <xf numFmtId="164" fontId="3" fillId="0" borderId="17" xfId="5" applyNumberFormat="1" applyFont="1" applyFill="1" applyBorder="1" applyAlignment="1" applyProtection="1">
      <protection locked="0"/>
    </xf>
    <xf numFmtId="164" fontId="3" fillId="0" borderId="24" xfId="5" applyNumberFormat="1" applyFont="1" applyFill="1" applyBorder="1" applyAlignment="1" applyProtection="1">
      <protection locked="0"/>
    </xf>
    <xf numFmtId="165" fontId="3" fillId="0" borderId="0" xfId="1" applyNumberFormat="1" applyFont="1" applyFill="1" applyBorder="1" applyProtection="1">
      <protection locked="0" hidden="1"/>
    </xf>
    <xf numFmtId="165" fontId="3" fillId="0" borderId="12" xfId="1" applyNumberFormat="1" applyFont="1" applyFill="1" applyBorder="1" applyAlignment="1" applyProtection="1">
      <alignment horizontal="left" indent="3"/>
      <protection locked="0"/>
    </xf>
    <xf numFmtId="5" fontId="4" fillId="0" borderId="22" xfId="4" applyNumberFormat="1" applyFont="1" applyFill="1" applyBorder="1" applyAlignment="1" applyProtection="1">
      <protection locked="0"/>
    </xf>
    <xf numFmtId="164" fontId="4" fillId="0" borderId="22" xfId="5" applyNumberFormat="1" applyFont="1" applyFill="1" applyBorder="1" applyAlignment="1" applyProtection="1">
      <protection locked="0"/>
    </xf>
    <xf numFmtId="5" fontId="4" fillId="0" borderId="4" xfId="4" applyNumberFormat="1" applyFont="1" applyFill="1" applyBorder="1" applyAlignment="1" applyProtection="1">
      <protection locked="0"/>
    </xf>
    <xf numFmtId="5" fontId="4" fillId="0" borderId="0" xfId="4" applyNumberFormat="1" applyFont="1" applyFill="1" applyBorder="1" applyAlignment="1" applyProtection="1">
      <protection locked="0"/>
    </xf>
    <xf numFmtId="164" fontId="4" fillId="0" borderId="27" xfId="5" applyNumberFormat="1" applyFont="1" applyFill="1" applyBorder="1" applyAlignment="1" applyProtection="1">
      <protection locked="0"/>
    </xf>
    <xf numFmtId="0" fontId="4" fillId="0" borderId="34" xfId="1" applyNumberFormat="1" applyFont="1" applyFill="1" applyBorder="1" applyAlignment="1" applyProtection="1">
      <protection locked="0"/>
    </xf>
    <xf numFmtId="165" fontId="3" fillId="0" borderId="34" xfId="1" applyNumberFormat="1" applyFont="1" applyFill="1" applyBorder="1" applyAlignment="1" applyProtection="1">
      <alignment horizontal="left" indent="3"/>
      <protection locked="0"/>
    </xf>
    <xf numFmtId="5" fontId="4" fillId="0" borderId="23" xfId="4" applyNumberFormat="1" applyFont="1" applyFill="1" applyBorder="1" applyAlignment="1" applyProtection="1">
      <protection locked="0"/>
    </xf>
    <xf numFmtId="164" fontId="4" fillId="0" borderId="23" xfId="5" applyNumberFormat="1" applyFont="1" applyFill="1" applyBorder="1" applyAlignment="1" applyProtection="1">
      <protection locked="0"/>
    </xf>
    <xf numFmtId="0" fontId="4" fillId="0" borderId="32" xfId="1" applyNumberFormat="1" applyFont="1" applyFill="1" applyBorder="1" applyAlignment="1" applyProtection="1">
      <alignment horizontal="left"/>
      <protection locked="0"/>
    </xf>
    <xf numFmtId="0" fontId="4" fillId="0" borderId="21" xfId="1" applyNumberFormat="1" applyFont="1" applyFill="1" applyBorder="1" applyAlignment="1" applyProtection="1">
      <protection locked="0"/>
    </xf>
    <xf numFmtId="0" fontId="3" fillId="0" borderId="21" xfId="1" applyNumberFormat="1" applyFont="1" applyFill="1" applyBorder="1" applyAlignment="1" applyProtection="1">
      <alignment horizontal="left" indent="3"/>
      <protection locked="0"/>
    </xf>
    <xf numFmtId="5" fontId="4" fillId="0" borderId="14" xfId="1" applyNumberFormat="1" applyFont="1" applyFill="1" applyBorder="1" applyProtection="1">
      <protection locked="0"/>
    </xf>
    <xf numFmtId="164" fontId="4" fillId="0" borderId="14" xfId="5" applyNumberFormat="1" applyFont="1" applyFill="1" applyBorder="1" applyAlignment="1" applyProtection="1">
      <protection locked="0"/>
    </xf>
    <xf numFmtId="5" fontId="4" fillId="0" borderId="14" xfId="4" applyNumberFormat="1" applyFont="1" applyFill="1" applyBorder="1" applyAlignment="1" applyProtection="1">
      <protection locked="0"/>
    </xf>
    <xf numFmtId="5" fontId="4" fillId="0" borderId="15" xfId="4" applyNumberFormat="1" applyFont="1" applyFill="1" applyBorder="1" applyAlignment="1" applyProtection="1">
      <protection locked="0"/>
    </xf>
    <xf numFmtId="164" fontId="4" fillId="0" borderId="25" xfId="5" applyNumberFormat="1" applyFont="1" applyFill="1" applyBorder="1" applyAlignment="1" applyProtection="1">
      <protection locked="0"/>
    </xf>
    <xf numFmtId="0" fontId="7" fillId="0" borderId="0" xfId="1" applyFont="1" applyFill="1" applyProtection="1">
      <protection locked="0"/>
    </xf>
    <xf numFmtId="0" fontId="8" fillId="0" borderId="0" xfId="1" applyFont="1" applyFill="1" applyAlignment="1" applyProtection="1">
      <protection locked="0"/>
    </xf>
    <xf numFmtId="49" fontId="7" fillId="0" borderId="0" xfId="1" applyNumberFormat="1" applyFont="1" applyFill="1" applyAlignment="1" applyProtection="1">
      <alignment horizontal="left"/>
      <protection locked="0"/>
    </xf>
    <xf numFmtId="5" fontId="7" fillId="0" borderId="0" xfId="1" applyNumberFormat="1" applyFont="1" applyFill="1" applyAlignment="1" applyProtection="1">
      <protection locked="0"/>
    </xf>
    <xf numFmtId="5" fontId="7" fillId="0" borderId="0" xfId="1" applyNumberFormat="1" applyFont="1" applyFill="1" applyAlignment="1" applyProtection="1">
      <alignment horizontal="left"/>
      <protection locked="0"/>
    </xf>
    <xf numFmtId="0" fontId="7" fillId="0" borderId="0" xfId="1" applyFont="1" applyFill="1" applyProtection="1">
      <protection locked="0" hidden="1"/>
    </xf>
    <xf numFmtId="0" fontId="4" fillId="0" borderId="0" xfId="1" applyFont="1" applyFill="1" applyProtection="1">
      <protection locked="0"/>
    </xf>
    <xf numFmtId="164" fontId="7" fillId="0" borderId="0" xfId="2" applyNumberFormat="1" applyFont="1" applyFill="1" applyAlignment="1" applyProtection="1">
      <protection locked="0"/>
    </xf>
    <xf numFmtId="0" fontId="4" fillId="0" borderId="0" xfId="1" applyFont="1" applyFill="1" applyProtection="1">
      <protection hidden="1"/>
    </xf>
    <xf numFmtId="5" fontId="4" fillId="0" borderId="0" xfId="1" applyNumberFormat="1" applyFont="1" applyFill="1" applyAlignment="1" applyProtection="1">
      <protection locked="0"/>
    </xf>
    <xf numFmtId="164" fontId="4" fillId="0" borderId="0" xfId="2" applyNumberFormat="1" applyFont="1" applyFill="1" applyAlignment="1" applyProtection="1">
      <protection locked="0"/>
    </xf>
    <xf numFmtId="5" fontId="4" fillId="0" borderId="0" xfId="2" applyNumberFormat="1" applyFont="1" applyFill="1" applyAlignment="1" applyProtection="1">
      <protection locked="0"/>
    </xf>
    <xf numFmtId="164" fontId="4" fillId="0" borderId="0" xfId="2" applyNumberFormat="1" applyFont="1" applyFill="1" applyProtection="1">
      <protection locked="0"/>
    </xf>
    <xf numFmtId="0" fontId="5" fillId="0" borderId="26" xfId="1" applyFont="1" applyFill="1" applyBorder="1" applyAlignment="1" applyProtection="1">
      <protection locked="0"/>
    </xf>
    <xf numFmtId="0" fontId="5" fillId="0" borderId="12" xfId="1" applyFont="1" applyFill="1" applyBorder="1" applyAlignment="1" applyProtection="1">
      <protection locked="0"/>
    </xf>
    <xf numFmtId="0" fontId="5" fillId="0" borderId="13" xfId="1" applyFont="1" applyFill="1" applyBorder="1" applyAlignment="1" applyProtection="1">
      <protection locked="0"/>
    </xf>
    <xf numFmtId="5" fontId="3" fillId="0" borderId="11" xfId="1" applyNumberFormat="1" applyFont="1" applyFill="1" applyBorder="1" applyAlignment="1" applyProtection="1">
      <alignment horizontal="centerContinuous"/>
      <protection locked="0"/>
    </xf>
    <xf numFmtId="5" fontId="3" fillId="0" borderId="12" xfId="1" applyNumberFormat="1" applyFont="1" applyFill="1" applyBorder="1" applyAlignment="1" applyProtection="1">
      <alignment horizontal="centerContinuous"/>
      <protection locked="0"/>
    </xf>
    <xf numFmtId="5" fontId="3" fillId="0" borderId="28" xfId="1" applyNumberFormat="1" applyFont="1" applyFill="1" applyBorder="1" applyAlignment="1" applyProtection="1">
      <alignment horizontal="centerContinuous"/>
      <protection locked="0"/>
    </xf>
    <xf numFmtId="0" fontId="3" fillId="0" borderId="29" xfId="1" applyFont="1" applyFill="1" applyBorder="1" applyAlignment="1" applyProtection="1">
      <alignment horizontal="center"/>
      <protection locked="0"/>
    </xf>
    <xf numFmtId="0" fontId="3" fillId="0" borderId="1" xfId="1" applyFont="1" applyFill="1" applyBorder="1" applyAlignment="1" applyProtection="1">
      <alignment horizontal="center"/>
      <protection locked="0"/>
    </xf>
    <xf numFmtId="0" fontId="3" fillId="0" borderId="1" xfId="1" applyFont="1" applyFill="1" applyBorder="1" applyProtection="1">
      <protection locked="0"/>
    </xf>
    <xf numFmtId="0" fontId="3" fillId="0" borderId="36" xfId="1" applyNumberFormat="1" applyFont="1" applyFill="1" applyBorder="1" applyAlignment="1" applyProtection="1">
      <alignment horizontal="center"/>
      <protection locked="0"/>
    </xf>
    <xf numFmtId="5" fontId="3" fillId="0" borderId="20" xfId="1" applyNumberFormat="1" applyFont="1" applyFill="1" applyBorder="1" applyAlignment="1" applyProtection="1">
      <alignment horizontal="center"/>
      <protection locked="0"/>
    </xf>
    <xf numFmtId="5" fontId="3" fillId="0" borderId="20" xfId="1" applyNumberFormat="1" applyFont="1" applyFill="1" applyBorder="1" applyAlignment="1" applyProtection="1">
      <alignment horizontal="center" wrapText="1"/>
      <protection locked="0"/>
    </xf>
    <xf numFmtId="0" fontId="3" fillId="0" borderId="31" xfId="1" applyNumberFormat="1" applyFont="1" applyFill="1" applyBorder="1" applyAlignment="1" applyProtection="1">
      <alignment horizontal="center"/>
      <protection locked="0"/>
    </xf>
    <xf numFmtId="5" fontId="3" fillId="0" borderId="2" xfId="1" applyNumberFormat="1" applyFont="1" applyFill="1" applyBorder="1" applyAlignment="1" applyProtection="1">
      <alignment horizontal="center"/>
      <protection locked="0"/>
    </xf>
    <xf numFmtId="5" fontId="3" fillId="0" borderId="1" xfId="1" applyNumberFormat="1" applyFont="1" applyFill="1" applyBorder="1" applyAlignment="1" applyProtection="1">
      <alignment horizontal="center"/>
      <protection locked="0"/>
    </xf>
    <xf numFmtId="5" fontId="3" fillId="0" borderId="1" xfId="1" applyNumberFormat="1" applyFont="1" applyFill="1" applyBorder="1" applyAlignment="1" applyProtection="1">
      <alignment horizontal="center" wrapText="1"/>
      <protection locked="0"/>
    </xf>
    <xf numFmtId="164" fontId="3" fillId="0" borderId="30" xfId="2" applyNumberFormat="1" applyFont="1" applyFill="1" applyBorder="1" applyAlignment="1" applyProtection="1">
      <alignment horizontal="center"/>
      <protection locked="0"/>
    </xf>
    <xf numFmtId="5" fontId="3" fillId="0" borderId="11" xfId="1" applyNumberFormat="1" applyFont="1" applyFill="1" applyBorder="1" applyProtection="1">
      <protection locked="0"/>
    </xf>
    <xf numFmtId="5" fontId="3" fillId="0" borderId="12" xfId="1" applyNumberFormat="1" applyFont="1" applyFill="1" applyBorder="1" applyProtection="1">
      <protection locked="0"/>
    </xf>
    <xf numFmtId="5" fontId="4" fillId="0" borderId="4" xfId="1" applyNumberFormat="1" applyFont="1" applyFill="1" applyBorder="1" applyProtection="1">
      <protection locked="0"/>
    </xf>
    <xf numFmtId="5" fontId="3" fillId="0" borderId="4" xfId="1" applyNumberFormat="1" applyFont="1" applyFill="1" applyBorder="1" applyProtection="1">
      <protection locked="0"/>
    </xf>
    <xf numFmtId="5" fontId="3" fillId="0" borderId="0" xfId="1" applyNumberFormat="1" applyFont="1" applyFill="1" applyProtection="1">
      <protection locked="0"/>
    </xf>
    <xf numFmtId="0" fontId="4" fillId="0" borderId="7" xfId="1" applyFont="1" applyFill="1" applyBorder="1" applyAlignment="1" applyProtection="1">
      <alignment horizontal="left"/>
      <protection locked="0"/>
    </xf>
    <xf numFmtId="0" fontId="4" fillId="0" borderId="6" xfId="1" applyFont="1" applyFill="1" applyBorder="1" applyProtection="1">
      <protection locked="0"/>
    </xf>
    <xf numFmtId="0" fontId="4" fillId="0" borderId="6" xfId="1" applyFont="1" applyFill="1" applyBorder="1" applyAlignment="1" applyProtection="1">
      <alignment horizontal="left"/>
      <protection locked="0"/>
    </xf>
    <xf numFmtId="5" fontId="4" fillId="0" borderId="6" xfId="1" applyNumberFormat="1" applyFont="1" applyFill="1" applyBorder="1" applyAlignment="1" applyProtection="1">
      <protection locked="0"/>
    </xf>
    <xf numFmtId="164" fontId="4" fillId="0" borderId="5" xfId="2" applyNumberFormat="1" applyFont="1" applyFill="1" applyBorder="1" applyProtection="1">
      <protection locked="0"/>
    </xf>
    <xf numFmtId="0" fontId="3" fillId="0" borderId="11" xfId="1" applyFont="1" applyFill="1" applyBorder="1" applyAlignment="1" applyProtection="1">
      <alignment horizontal="centerContinuous"/>
      <protection locked="0"/>
    </xf>
    <xf numFmtId="0" fontId="3" fillId="0" borderId="12" xfId="1" applyFont="1" applyFill="1" applyBorder="1" applyAlignment="1" applyProtection="1">
      <alignment horizontal="centerContinuous"/>
      <protection locked="0"/>
    </xf>
    <xf numFmtId="0" fontId="3" fillId="0" borderId="13" xfId="1" applyFont="1" applyFill="1" applyBorder="1" applyAlignment="1" applyProtection="1">
      <alignment horizontal="centerContinuous"/>
      <protection locked="0"/>
    </xf>
    <xf numFmtId="0" fontId="3" fillId="0" borderId="29" xfId="1" applyFont="1" applyFill="1" applyBorder="1" applyAlignment="1" applyProtection="1">
      <alignment horizontal="left"/>
      <protection locked="0"/>
    </xf>
    <xf numFmtId="0" fontId="3" fillId="0" borderId="15" xfId="1" applyFont="1" applyFill="1" applyBorder="1" applyAlignment="1" applyProtection="1">
      <alignment horizontal="right"/>
      <protection locked="0"/>
    </xf>
    <xf numFmtId="0" fontId="3" fillId="0" borderId="16" xfId="1" applyFont="1" applyFill="1" applyBorder="1" applyProtection="1">
      <protection locked="0"/>
    </xf>
    <xf numFmtId="5" fontId="3" fillId="0" borderId="14" xfId="1" applyNumberFormat="1" applyFont="1" applyFill="1" applyBorder="1" applyAlignment="1" applyProtection="1">
      <alignment horizontal="center"/>
      <protection locked="0"/>
    </xf>
    <xf numFmtId="5" fontId="3" fillId="0" borderId="15" xfId="1" applyNumberFormat="1" applyFont="1" applyFill="1" applyBorder="1" applyAlignment="1" applyProtection="1">
      <alignment horizontal="center"/>
      <protection locked="0"/>
    </xf>
    <xf numFmtId="5" fontId="3" fillId="0" borderId="15" xfId="1" applyNumberFormat="1" applyFont="1" applyFill="1" applyBorder="1" applyAlignment="1" applyProtection="1">
      <alignment horizontal="center" wrapText="1"/>
      <protection locked="0"/>
    </xf>
    <xf numFmtId="0" fontId="3" fillId="0" borderId="16" xfId="1" applyFont="1" applyFill="1" applyBorder="1" applyAlignment="1" applyProtection="1">
      <alignment horizontal="center"/>
      <protection locked="0"/>
    </xf>
    <xf numFmtId="0" fontId="3" fillId="0" borderId="15" xfId="1" applyFont="1" applyFill="1" applyBorder="1" applyAlignment="1" applyProtection="1">
      <alignment horizontal="center"/>
      <protection locked="0"/>
    </xf>
    <xf numFmtId="164" fontId="3" fillId="0" borderId="25" xfId="2" applyNumberFormat="1" applyFont="1" applyFill="1" applyBorder="1" applyAlignment="1" applyProtection="1">
      <alignment horizontal="center"/>
      <protection locked="0"/>
    </xf>
    <xf numFmtId="5" fontId="3" fillId="0" borderId="15" xfId="1" applyNumberFormat="1" applyFont="1" applyFill="1" applyBorder="1" applyAlignment="1" applyProtection="1">
      <protection locked="0"/>
    </xf>
    <xf numFmtId="5" fontId="4" fillId="0" borderId="0" xfId="1" applyNumberFormat="1" applyFont="1" applyFill="1" applyAlignment="1" applyProtection="1">
      <protection hidden="1"/>
    </xf>
    <xf numFmtId="164" fontId="4" fillId="0" borderId="0" xfId="2" applyNumberFormat="1" applyFont="1" applyFill="1" applyProtection="1">
      <protection hidden="1"/>
    </xf>
    <xf numFmtId="0" fontId="4" fillId="0" borderId="0" xfId="1" applyFont="1" applyFill="1" applyAlignment="1" applyProtection="1">
      <alignment horizontal="left"/>
      <protection hidden="1"/>
    </xf>
    <xf numFmtId="5" fontId="4" fillId="0" borderId="0" xfId="1" applyNumberFormat="1" applyFont="1" applyFill="1" applyProtection="1">
      <protection locked="0" hidden="1"/>
    </xf>
    <xf numFmtId="5" fontId="4" fillId="0" borderId="0" xfId="1" applyNumberFormat="1" applyFont="1" applyFill="1" applyAlignment="1" applyProtection="1">
      <protection locked="0" hidden="1"/>
    </xf>
    <xf numFmtId="164" fontId="4" fillId="0" borderId="0" xfId="2" applyNumberFormat="1" applyFont="1" applyFill="1" applyProtection="1">
      <protection locked="0" hidden="1"/>
    </xf>
    <xf numFmtId="0" fontId="3" fillId="0" borderId="0" xfId="1" applyFont="1" applyFill="1" applyAlignment="1" applyProtection="1">
      <alignment horizontal="left"/>
      <protection locked="0"/>
    </xf>
    <xf numFmtId="0" fontId="4" fillId="0" borderId="0" xfId="1" applyFont="1" applyFill="1" applyAlignment="1" applyProtection="1">
      <alignment horizontal="left" wrapText="1"/>
      <protection locked="0"/>
    </xf>
    <xf numFmtId="0" fontId="3" fillId="0" borderId="0" xfId="1" applyFont="1" applyFill="1" applyAlignment="1" applyProtection="1">
      <alignment horizontal="left" indent="3"/>
      <protection locked="0"/>
    </xf>
    <xf numFmtId="0" fontId="4" fillId="0" borderId="0" xfId="1" applyFont="1" applyFill="1" applyBorder="1" applyProtection="1">
      <protection locked="0"/>
    </xf>
    <xf numFmtId="0" fontId="3" fillId="0" borderId="0" xfId="1" applyFont="1" applyFill="1" applyBorder="1" applyAlignment="1" applyProtection="1">
      <alignment horizontal="left" indent="3"/>
      <protection locked="0"/>
    </xf>
    <xf numFmtId="0" fontId="4" fillId="0" borderId="0" xfId="5" applyNumberFormat="1" applyFont="1" applyFill="1" applyBorder="1" applyAlignment="1" applyProtection="1">
      <protection locked="0"/>
    </xf>
    <xf numFmtId="49" fontId="4" fillId="0" borderId="0" xfId="1" applyNumberFormat="1" applyFont="1" applyFill="1" applyAlignment="1" applyProtection="1">
      <protection locked="0"/>
    </xf>
    <xf numFmtId="0" fontId="11" fillId="0" borderId="0" xfId="1" applyFont="1" applyFill="1" applyAlignment="1" applyProtection="1">
      <alignment horizontal="right"/>
      <protection locked="0"/>
    </xf>
    <xf numFmtId="165" fontId="4" fillId="0" borderId="0" xfId="1" applyNumberFormat="1" applyFont="1" applyFill="1" applyAlignment="1" applyProtection="1">
      <alignment horizontal="left"/>
      <protection locked="0"/>
    </xf>
    <xf numFmtId="5" fontId="12" fillId="0" borderId="34" xfId="6" applyNumberFormat="1" applyFont="1" applyFill="1" applyBorder="1" applyAlignment="1" applyProtection="1">
      <alignment horizontal="center"/>
      <protection locked="0"/>
    </xf>
    <xf numFmtId="0" fontId="12" fillId="0" borderId="12" xfId="6" applyFont="1" applyFill="1" applyBorder="1" applyProtection="1">
      <protection locked="0"/>
    </xf>
    <xf numFmtId="0" fontId="12" fillId="0" borderId="12" xfId="6" applyFont="1" applyFill="1" applyBorder="1" applyAlignment="1" applyProtection="1">
      <alignment horizontal="left"/>
      <protection locked="0"/>
    </xf>
    <xf numFmtId="0" fontId="12" fillId="0" borderId="12" xfId="6" applyFont="1" applyFill="1" applyBorder="1" applyAlignment="1" applyProtection="1">
      <alignment vertical="center"/>
      <protection locked="0"/>
    </xf>
    <xf numFmtId="0" fontId="13" fillId="0" borderId="0" xfId="1" applyFont="1" applyFill="1" applyAlignment="1" applyProtection="1">
      <alignment horizontal="centerContinuous"/>
      <protection locked="0"/>
    </xf>
  </cellXfs>
  <cellStyles count="7">
    <cellStyle name="Comma" xfId="5" builtinId="3"/>
    <cellStyle name="Comma 17 7 2" xfId="2" xr:uid="{00000000-0005-0000-0000-000001000000}"/>
    <cellStyle name="Comma 2" xfId="3" xr:uid="{00000000-0005-0000-0000-000002000000}"/>
    <cellStyle name="Currency 10 7 2" xfId="4" xr:uid="{00000000-0005-0000-0000-000003000000}"/>
    <cellStyle name="Hyperlink" xfId="6" builtinId="8"/>
    <cellStyle name="Normal" xfId="0" builtinId="0"/>
    <cellStyle name="Normal 16 7 2" xfId="1" xr:uid="{00000000-0005-0000-0000-000005000000}"/>
  </cellStyles>
  <dxfs count="0"/>
  <tableStyles count="0" defaultTableStyle="TableStyleMedium2" defaultPivotStyle="PivotStyleLight16"/>
  <colors>
    <mruColors>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customXml" Target="../customXml/item1.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4.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ustomXml" Target="../customXml/item2.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00D3F2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398036FD\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Defined Input Options"/>
      <sheetName val="HS"/>
      <sheetName val="HS Copy LAW"/>
      <sheetName val="HS (2)"/>
      <sheetName val="hiddenSheet"/>
      <sheetName val="Sum with Factors"/>
      <sheetName val="Dropdown_Ctrls"/>
      <sheetName val="Options"/>
      <sheetName val="RDO_Non-Expansion_PH COAs"/>
      <sheetName val="B - Medi-Cal Income Statement"/>
      <sheetName val="Rating Regions by HP"/>
      <sheetName val="Admin Expense Projections"/>
      <sheetName val="YTD  (2)"/>
      <sheetName val="Graph Builder"/>
      <sheetName val="HIDE"/>
      <sheetName val="Hospital_"/>
      <sheetName val="Medical_"/>
      <sheetName val="2009_Oct_Guidance_SEC_Format"/>
      <sheetName val="Q3_Forecast_Scenarios_Aud_Com"/>
      <sheetName val="&lt;Overview_&amp;_Legend&gt;"/>
      <sheetName val="Schedule_1-E_A"/>
      <sheetName val="Jul_PPD"/>
      <sheetName val="Plan_Cost_Centers-_Final__"/>
      <sheetName val="Exhibit_II"/>
      <sheetName val="Appendix_A-Region"/>
      <sheetName val="June_17"/>
      <sheetName val="#19A-R2,_3_Mos_w_0_(Acute)"/>
      <sheetName val="HS_Copy_LAW"/>
      <sheetName val="HS_(2)"/>
      <sheetName val="Sum_with_Factors"/>
      <sheetName val="Defined_Input_Options"/>
      <sheetName val="RDO_Non-Expansion_PH_COAs"/>
      <sheetName val="B_-_Medi-Cal_Income_Statement"/>
      <sheetName val="Rating_Regions_by_HP"/>
      <sheetName val="Admin_Expense_Projections"/>
      <sheetName val="cos"/>
      <sheetName val="Rx rebate"/>
      <sheetName val="rx"/>
      <sheetName val="cap2"/>
      <sheetName val="PIP"/>
      <sheetName val="VHP Maternity &amp; BHT Cost AG"/>
      <sheetName val="KP VHP KICK"/>
      <sheetName val="Hyde cap for VHP KP"/>
      <sheetName val="KP VHP CY18 recast"/>
      <sheetName val="VHP and KP capitation"/>
      <sheetName val="CBAS MSSP"/>
      <sheetName val="CHME Raw Data (2)"/>
      <sheetName val="NMT Raw"/>
      <sheetName val="VSP mms Raw data"/>
      <sheetName val="MM w AG"/>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cell r="AB98"/>
          <cell r="AC98"/>
          <cell r="AD98"/>
          <cell r="AE98"/>
          <cell r="AF98"/>
          <cell r="AG98"/>
          <cell r="AH98"/>
          <cell r="AI98"/>
          <cell r="AJ98"/>
          <cell r="AK98"/>
          <cell r="AL98"/>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cell r="BB98"/>
          <cell r="BC98"/>
          <cell r="BD98"/>
          <cell r="BE98"/>
          <cell r="BF98"/>
          <cell r="BG98"/>
          <cell r="BH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cell r="AB99"/>
          <cell r="AC99"/>
          <cell r="AD99"/>
          <cell r="AE99"/>
          <cell r="AF99"/>
          <cell r="AG99"/>
          <cell r="AH99"/>
          <cell r="AI99"/>
          <cell r="AJ99"/>
          <cell r="AK99"/>
          <cell r="AL99"/>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cell r="AZ99"/>
          <cell r="BA99"/>
          <cell r="BB99"/>
          <cell r="BC99"/>
          <cell r="BD99"/>
          <cell r="BE99"/>
          <cell r="BF99"/>
          <cell r="BG99"/>
          <cell r="BH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cell r="EV99"/>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cell r="AB100"/>
          <cell r="AC100"/>
          <cell r="AD100"/>
          <cell r="AE100"/>
          <cell r="AF100"/>
          <cell r="AG100"/>
          <cell r="AH100"/>
          <cell r="AI100"/>
          <cell r="AJ100"/>
          <cell r="AK100"/>
          <cell r="AL100"/>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cell r="AZ100"/>
          <cell r="BA100"/>
          <cell r="BB100"/>
          <cell r="BC100"/>
          <cell r="BD100"/>
          <cell r="BE100"/>
          <cell r="BF100"/>
          <cell r="BG100"/>
          <cell r="BH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cell r="EV100"/>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v>0</v>
          </cell>
          <cell r="AZ110">
            <v>0</v>
          </cell>
          <cell r="BA110">
            <v>0</v>
          </cell>
          <cell r="BB110">
            <v>187.5</v>
          </cell>
          <cell r="BC110">
            <v>375</v>
          </cell>
          <cell r="BD110">
            <v>562.5</v>
          </cell>
          <cell r="BE110">
            <v>500</v>
          </cell>
          <cell r="BF110">
            <v>500</v>
          </cell>
          <cell r="BG110">
            <v>500</v>
          </cell>
          <cell r="BH110">
            <v>500</v>
          </cell>
          <cell r="BK110">
            <v>500</v>
          </cell>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cell r="EV110"/>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v>0</v>
          </cell>
          <cell r="AZ111">
            <v>0</v>
          </cell>
          <cell r="BA111">
            <v>0</v>
          </cell>
          <cell r="BB111">
            <v>187.5</v>
          </cell>
          <cell r="BC111">
            <v>375</v>
          </cell>
          <cell r="BD111">
            <v>562.5</v>
          </cell>
          <cell r="BE111">
            <v>500</v>
          </cell>
          <cell r="BF111">
            <v>500</v>
          </cell>
          <cell r="BG111">
            <v>500</v>
          </cell>
          <cell r="BH111">
            <v>500</v>
          </cell>
          <cell r="BK111">
            <v>500</v>
          </cell>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cell r="EV111"/>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v>225</v>
          </cell>
          <cell r="BH112">
            <v>450</v>
          </cell>
          <cell r="BK112">
            <v>900</v>
          </cell>
          <cell r="BL112">
            <v>900</v>
          </cell>
          <cell r="BM112">
            <v>900</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cell r="EV112"/>
        </row>
        <row r="114">
          <cell r="T114" t="str">
            <v>BUDGET FORECAST</v>
          </cell>
          <cell r="W114">
            <v>153000</v>
          </cell>
          <cell r="X114">
            <v>40800</v>
          </cell>
          <cell r="AA114"/>
          <cell r="AB114"/>
          <cell r="AC114"/>
          <cell r="AD114"/>
          <cell r="AE114"/>
          <cell r="AF114"/>
          <cell r="AG114"/>
          <cell r="AH114"/>
          <cell r="AI114"/>
          <cell r="AJ114"/>
          <cell r="AK114"/>
          <cell r="AL114"/>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cell r="AC115"/>
          <cell r="AD115"/>
          <cell r="AE115"/>
          <cell r="AF115"/>
          <cell r="AG115"/>
          <cell r="AH115"/>
          <cell r="AI115"/>
          <cell r="AJ115"/>
          <cell r="AK115"/>
          <cell r="AL115"/>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cell r="BB115"/>
          <cell r="BC115"/>
          <cell r="BD115"/>
          <cell r="BE115"/>
          <cell r="BF115"/>
          <cell r="BG115"/>
          <cell r="BH115"/>
          <cell r="BI115"/>
          <cell r="BJ115"/>
          <cell r="BK115"/>
          <cell r="BL115"/>
          <cell r="BM115"/>
        </row>
        <row r="116">
          <cell r="V116" t="str">
            <v>PRE PROD</v>
          </cell>
          <cell r="W116">
            <v>30</v>
          </cell>
          <cell r="X116">
            <v>180000</v>
          </cell>
          <cell r="AA116">
            <v>180000</v>
          </cell>
          <cell r="AB116"/>
          <cell r="AC116"/>
          <cell r="AD116"/>
          <cell r="AE116"/>
          <cell r="AF116"/>
          <cell r="AG116"/>
          <cell r="AH116"/>
          <cell r="AI116"/>
          <cell r="AJ116"/>
          <cell r="AK116"/>
          <cell r="AL116"/>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row>
        <row r="117">
          <cell r="V117" t="str">
            <v>BACKGROUNDS</v>
          </cell>
          <cell r="W117">
            <v>12</v>
          </cell>
          <cell r="X117">
            <v>60000</v>
          </cell>
          <cell r="AA117">
            <v>59999.974293795312</v>
          </cell>
          <cell r="AB117"/>
          <cell r="AC117"/>
          <cell r="AD117"/>
          <cell r="AE117"/>
          <cell r="AF117"/>
          <cell r="AG117"/>
          <cell r="AH117"/>
          <cell r="AI117"/>
          <cell r="AJ117"/>
          <cell r="AK117"/>
          <cell r="AL117"/>
          <cell r="AM117"/>
          <cell r="AN117"/>
          <cell r="AO117"/>
          <cell r="AP117"/>
          <cell r="AQ117"/>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cell r="BJ117">
            <v>75000</v>
          </cell>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row>
        <row r="118">
          <cell r="V118" t="str">
            <v>PRODUCTION</v>
          </cell>
          <cell r="W118">
            <v>150</v>
          </cell>
          <cell r="X118">
            <v>950000</v>
          </cell>
          <cell r="AA118">
            <v>950000.03</v>
          </cell>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cell r="BJ118">
            <v>155714.29</v>
          </cell>
          <cell r="BK118">
            <v>130000</v>
          </cell>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row>
        <row r="119">
          <cell r="V119" t="str">
            <v>INK &amp; PAINT</v>
          </cell>
          <cell r="W119">
            <v>8</v>
          </cell>
          <cell r="X119">
            <v>32400</v>
          </cell>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v>1800</v>
          </cell>
          <cell r="BG119">
            <v>3600</v>
          </cell>
          <cell r="BH119">
            <v>5400</v>
          </cell>
          <cell r="BI119"/>
          <cell r="BJ119">
            <v>7200</v>
          </cell>
          <cell r="BK119">
            <v>7200</v>
          </cell>
          <cell r="BL119">
            <v>7200</v>
          </cell>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row>
        <row r="120">
          <cell r="V120" t="str">
            <v>INK &amp; PAINT</v>
          </cell>
          <cell r="W120">
            <v>8</v>
          </cell>
          <cell r="X120">
            <v>72000</v>
          </cell>
          <cell r="AA120">
            <v>72000</v>
          </cell>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v>8000</v>
          </cell>
          <cell r="BH120">
            <v>10000</v>
          </cell>
          <cell r="BI120"/>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row>
        <row r="124">
          <cell r="S124" t="str">
            <v>COST TO DATE</v>
          </cell>
          <cell r="T124" t="str">
            <v>ACTUAL COST TO DATE</v>
          </cell>
          <cell r="V124" t="str">
            <v>DIRECT TO DATE</v>
          </cell>
          <cell r="W124" t="str">
            <v>BUDGET</v>
          </cell>
          <cell r="AC124" t="str">
            <v>ADJ</v>
          </cell>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row>
        <row r="137">
          <cell r="V137" t="str">
            <v>PROJECTED RTM</v>
          </cell>
          <cell r="X137">
            <v>35907</v>
          </cell>
          <cell r="Y137">
            <v>119</v>
          </cell>
          <cell r="Z137">
            <v>39.666666666666671</v>
          </cell>
          <cell r="AA137"/>
          <cell r="AB137"/>
          <cell r="AC137"/>
          <cell r="AD137"/>
          <cell r="AE137"/>
          <cell r="AF137"/>
          <cell r="AG137"/>
          <cell r="AH137"/>
          <cell r="AI137"/>
          <cell r="AJ137"/>
          <cell r="AK137"/>
          <cell r="AL137"/>
          <cell r="AM137"/>
          <cell r="AN137"/>
          <cell r="AO137"/>
          <cell r="AP137"/>
          <cell r="AQ137"/>
          <cell r="AR137"/>
          <cell r="AS137"/>
          <cell r="BA137"/>
          <cell r="BB137"/>
          <cell r="BC137"/>
          <cell r="BD137"/>
          <cell r="BE137"/>
          <cell r="BF137"/>
          <cell r="BG137"/>
          <cell r="BH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cell r="EV142"/>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cell r="EV143"/>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cell r="EV153"/>
        </row>
        <row r="154">
          <cell r="S154" t="str">
            <v>COST TO DATE</v>
          </cell>
          <cell r="V154" t="str">
            <v>DIRECT TO DATE</v>
          </cell>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cell r="EV154"/>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v>428.57142857142856</v>
          </cell>
          <cell r="AZ165">
            <v>428.57142857142856</v>
          </cell>
          <cell r="BA165">
            <v>428.57142857142856</v>
          </cell>
          <cell r="BB165">
            <v>428.57142857142856</v>
          </cell>
          <cell r="BC165">
            <v>428.57142857142856</v>
          </cell>
          <cell r="BD165"/>
          <cell r="BE165"/>
          <cell r="BF165"/>
          <cell r="BG165"/>
          <cell r="BH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row>
        <row r="166">
          <cell r="V166" t="str">
            <v>PROJECTED RTM</v>
          </cell>
          <cell r="Y166" t="e">
            <v>#REF!</v>
          </cell>
          <cell r="Z166" t="e">
            <v>#REF!</v>
          </cell>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BD166"/>
          <cell r="BE166"/>
          <cell r="BF166"/>
          <cell r="BG166"/>
          <cell r="BH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v>35730</v>
          </cell>
          <cell r="BA170">
            <v>35737</v>
          </cell>
          <cell r="BB170">
            <v>35744</v>
          </cell>
          <cell r="BC170">
            <v>35751</v>
          </cell>
          <cell r="BD170">
            <v>35758</v>
          </cell>
          <cell r="BE170">
            <v>35765</v>
          </cell>
          <cell r="BF170">
            <v>35772</v>
          </cell>
          <cell r="BG170">
            <v>35779</v>
          </cell>
          <cell r="BH170">
            <v>35786</v>
          </cell>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v>35730</v>
          </cell>
          <cell r="BA171">
            <v>35737</v>
          </cell>
          <cell r="BB171">
            <v>35744</v>
          </cell>
          <cell r="BC171">
            <v>35751</v>
          </cell>
          <cell r="BD171">
            <v>35758</v>
          </cell>
          <cell r="BE171">
            <v>35765</v>
          </cell>
          <cell r="BF171">
            <v>35772</v>
          </cell>
          <cell r="BG171">
            <v>35779</v>
          </cell>
          <cell r="BH171">
            <v>35786</v>
          </cell>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v>100</v>
          </cell>
          <cell r="BA172">
            <v>200</v>
          </cell>
          <cell r="BB172">
            <v>300</v>
          </cell>
          <cell r="BC172">
            <v>400</v>
          </cell>
          <cell r="BD172">
            <v>400</v>
          </cell>
          <cell r="BE172">
            <v>400</v>
          </cell>
          <cell r="BF172">
            <v>400</v>
          </cell>
          <cell r="BG172">
            <v>400</v>
          </cell>
          <cell r="BH172">
            <v>400</v>
          </cell>
          <cell r="BI172"/>
          <cell r="BJ172"/>
          <cell r="BK172"/>
          <cell r="BL172"/>
          <cell r="BM172"/>
          <cell r="BN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cell r="EV182"/>
          <cell r="EW182"/>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cell r="EV183"/>
          <cell r="EW183"/>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v>225</v>
          </cell>
          <cell r="BO184">
            <v>450</v>
          </cell>
          <cell r="BP184">
            <v>450</v>
          </cell>
          <cell r="BQ184">
            <v>675</v>
          </cell>
          <cell r="BR184">
            <v>450</v>
          </cell>
          <cell r="BS184">
            <v>675</v>
          </cell>
          <cell r="BT184">
            <v>900</v>
          </cell>
          <cell r="BU184">
            <v>900</v>
          </cell>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cell r="EV184"/>
          <cell r="EW184"/>
        </row>
        <row r="186">
          <cell r="T186" t="str">
            <v>BUDGET FORECAST</v>
          </cell>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v>35730</v>
          </cell>
          <cell r="BA186">
            <v>35737</v>
          </cell>
          <cell r="BB186">
            <v>35744</v>
          </cell>
          <cell r="BC186">
            <v>35751</v>
          </cell>
          <cell r="BD186">
            <v>35758</v>
          </cell>
          <cell r="BE186">
            <v>35765</v>
          </cell>
          <cell r="BF186">
            <v>35772</v>
          </cell>
          <cell r="BG186">
            <v>35779</v>
          </cell>
          <cell r="BH186">
            <v>35786</v>
          </cell>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cell r="EV186"/>
          <cell r="EW186"/>
          <cell r="EX186"/>
          <cell r="EY186"/>
          <cell r="EZ186"/>
          <cell r="FA186"/>
          <cell r="FB186"/>
          <cell r="FC186"/>
          <cell r="FD186"/>
          <cell r="FE186"/>
          <cell r="FF186"/>
          <cell r="FG186"/>
          <cell r="FH186"/>
          <cell r="FI186"/>
        </row>
        <row r="187">
          <cell r="T187" t="str">
            <v>BUDGET FORECAST</v>
          </cell>
          <cell r="V187" t="str">
            <v>PRE PROD</v>
          </cell>
          <cell r="W187">
            <v>30</v>
          </cell>
          <cell r="X187">
            <v>90000</v>
          </cell>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v>3000</v>
          </cell>
          <cell r="BA187">
            <v>6000</v>
          </cell>
          <cell r="BB187">
            <v>9000</v>
          </cell>
          <cell r="BC187">
            <v>12000</v>
          </cell>
          <cell r="BD187">
            <v>12000</v>
          </cell>
          <cell r="BE187">
            <v>12000</v>
          </cell>
          <cell r="BF187">
            <v>12000</v>
          </cell>
          <cell r="BG187">
            <v>12000</v>
          </cell>
          <cell r="BH187">
            <v>12000</v>
          </cell>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cell r="EV187"/>
          <cell r="EW187"/>
          <cell r="EX187"/>
          <cell r="EY187"/>
          <cell r="EZ187"/>
          <cell r="FA187"/>
          <cell r="FB187"/>
          <cell r="FC187"/>
          <cell r="FD187"/>
          <cell r="FE187"/>
          <cell r="FF187"/>
          <cell r="FG187"/>
          <cell r="FH187"/>
          <cell r="FI187"/>
        </row>
        <row r="188">
          <cell r="V188" t="str">
            <v>PRE PROD</v>
          </cell>
          <cell r="W188">
            <v>30</v>
          </cell>
          <cell r="X188">
            <v>97000</v>
          </cell>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v>3000</v>
          </cell>
          <cell r="BA188">
            <v>6000</v>
          </cell>
          <cell r="BB188">
            <v>9000</v>
          </cell>
          <cell r="BC188">
            <v>12000</v>
          </cell>
          <cell r="BD188">
            <v>12000</v>
          </cell>
          <cell r="BE188">
            <v>12000</v>
          </cell>
          <cell r="BF188">
            <v>13000</v>
          </cell>
          <cell r="BG188">
            <v>18000</v>
          </cell>
          <cell r="BH188">
            <v>12000</v>
          </cell>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cell r="EV188"/>
          <cell r="EW188"/>
          <cell r="EX188"/>
          <cell r="EY188"/>
          <cell r="EZ188"/>
          <cell r="FA188"/>
          <cell r="FB188"/>
          <cell r="FC188"/>
          <cell r="FD188"/>
          <cell r="FE188"/>
          <cell r="FF188"/>
          <cell r="FG188"/>
          <cell r="FH188"/>
          <cell r="FI188"/>
        </row>
        <row r="189">
          <cell r="V189" t="str">
            <v>PRODUCTION</v>
          </cell>
          <cell r="W189">
            <v>150</v>
          </cell>
          <cell r="X189">
            <v>438750</v>
          </cell>
          <cell r="AA189">
            <v>0</v>
          </cell>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v>0</v>
          </cell>
          <cell r="BI189">
            <v>0</v>
          </cell>
          <cell r="BJ189">
            <v>0</v>
          </cell>
          <cell r="BK189">
            <v>0</v>
          </cell>
          <cell r="BL189">
            <v>56250</v>
          </cell>
          <cell r="BM189">
            <v>63750</v>
          </cell>
          <cell r="BN189">
            <v>63750</v>
          </cell>
          <cell r="BO189">
            <v>63750</v>
          </cell>
          <cell r="BP189">
            <v>63750</v>
          </cell>
          <cell r="BQ189">
            <v>63750</v>
          </cell>
          <cell r="BR189">
            <v>63750</v>
          </cell>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cell r="EV189"/>
          <cell r="EW189"/>
          <cell r="EX189"/>
          <cell r="EY189"/>
          <cell r="EZ189"/>
          <cell r="FA189"/>
          <cell r="FB189"/>
          <cell r="FC189"/>
          <cell r="FD189"/>
          <cell r="FE189"/>
          <cell r="FF189"/>
          <cell r="FG189"/>
          <cell r="FH189"/>
          <cell r="FI189"/>
        </row>
        <row r="190">
          <cell r="V190" t="str">
            <v>PRODUCTION</v>
          </cell>
          <cell r="W190">
            <v>150</v>
          </cell>
          <cell r="X190">
            <v>531400</v>
          </cell>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cell r="EV190"/>
          <cell r="EW190"/>
          <cell r="EX190"/>
          <cell r="EY190"/>
          <cell r="EZ190"/>
          <cell r="FA190"/>
          <cell r="FB190"/>
          <cell r="FC190"/>
          <cell r="FD190"/>
          <cell r="FE190"/>
          <cell r="FF190"/>
          <cell r="FG190"/>
          <cell r="FH190"/>
          <cell r="FI190"/>
        </row>
        <row r="191">
          <cell r="V191" t="str">
            <v>INK &amp; PAINT</v>
          </cell>
          <cell r="W191">
            <v>8</v>
          </cell>
          <cell r="X191">
            <v>34200</v>
          </cell>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v>1800</v>
          </cell>
          <cell r="BO191">
            <v>3600</v>
          </cell>
          <cell r="BP191">
            <v>5400</v>
          </cell>
          <cell r="BQ191">
            <v>3600</v>
          </cell>
          <cell r="BR191">
            <v>5400</v>
          </cell>
          <cell r="BS191">
            <v>7200</v>
          </cell>
          <cell r="BT191">
            <v>7200</v>
          </cell>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cell r="EV191"/>
          <cell r="EW191"/>
          <cell r="EX191"/>
          <cell r="EY191"/>
          <cell r="EZ191"/>
          <cell r="FA191"/>
          <cell r="FB191"/>
          <cell r="FC191"/>
          <cell r="FD191"/>
          <cell r="FE191"/>
          <cell r="FF191"/>
          <cell r="FG191"/>
          <cell r="FH191"/>
          <cell r="FI191"/>
        </row>
        <row r="192">
          <cell r="V192" t="str">
            <v>INK &amp; PAINT</v>
          </cell>
          <cell r="W192">
            <v>8</v>
          </cell>
          <cell r="X192">
            <v>39600</v>
          </cell>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v>1800</v>
          </cell>
          <cell r="BO192">
            <v>3600</v>
          </cell>
          <cell r="BP192">
            <v>5400</v>
          </cell>
          <cell r="BQ192">
            <v>7200</v>
          </cell>
          <cell r="BR192">
            <v>7200</v>
          </cell>
          <cell r="BS192">
            <v>7200</v>
          </cell>
          <cell r="BT192">
            <v>7200</v>
          </cell>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cell r="EV192"/>
          <cell r="EW192"/>
          <cell r="EX192"/>
          <cell r="EY192"/>
          <cell r="EZ192"/>
          <cell r="FA192"/>
          <cell r="FB192"/>
          <cell r="FC192"/>
          <cell r="FD192"/>
          <cell r="FE192"/>
          <cell r="FF192"/>
          <cell r="FG192"/>
          <cell r="FH192"/>
          <cell r="FI192"/>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J196"/>
          <cell r="BK196"/>
          <cell r="BT196">
            <v>35870</v>
          </cell>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cell r="EV196"/>
        </row>
        <row r="197">
          <cell r="S197" t="str">
            <v>COST TO DATE</v>
          </cell>
          <cell r="T197" t="str">
            <v>ACTUAL COST TO DATE</v>
          </cell>
          <cell r="V197" t="str">
            <v>DIRECT TO DATE</v>
          </cell>
          <cell r="W197" t="str">
            <v>BUDGET</v>
          </cell>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J197"/>
          <cell r="BK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v>35898</v>
          </cell>
          <cell r="BY211">
            <v>35905</v>
          </cell>
          <cell r="BZ211">
            <v>35912</v>
          </cell>
          <cell r="CA211">
            <v>35919</v>
          </cell>
          <cell r="CB211">
            <v>35926</v>
          </cell>
          <cell r="CC211">
            <v>35933</v>
          </cell>
          <cell r="CD211">
            <v>35940</v>
          </cell>
          <cell r="CE211">
            <v>35947</v>
          </cell>
          <cell r="CF211">
            <v>35954</v>
          </cell>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v>35898</v>
          </cell>
          <cell r="BY212">
            <v>35905</v>
          </cell>
          <cell r="BZ212">
            <v>35912</v>
          </cell>
          <cell r="CA212">
            <v>35919</v>
          </cell>
          <cell r="CB212">
            <v>35926</v>
          </cell>
          <cell r="CC212">
            <v>35933</v>
          </cell>
          <cell r="CD212">
            <v>35940</v>
          </cell>
          <cell r="CE212">
            <v>35947</v>
          </cell>
          <cell r="CF212">
            <v>35954</v>
          </cell>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cell r="EV212"/>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v>125</v>
          </cell>
          <cell r="BY213">
            <v>250</v>
          </cell>
          <cell r="BZ213">
            <v>375</v>
          </cell>
          <cell r="CA213">
            <v>500</v>
          </cell>
          <cell r="CB213">
            <v>500</v>
          </cell>
          <cell r="CC213">
            <v>500</v>
          </cell>
          <cell r="CD213">
            <v>500</v>
          </cell>
          <cell r="CE213">
            <v>500</v>
          </cell>
          <cell r="CF213">
            <v>500</v>
          </cell>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cell r="EV213"/>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v>0</v>
          </cell>
          <cell r="CC214">
            <v>0</v>
          </cell>
          <cell r="CD214">
            <v>0</v>
          </cell>
          <cell r="CE214">
            <v>125</v>
          </cell>
          <cell r="CF214">
            <v>250</v>
          </cell>
          <cell r="CG214">
            <v>375</v>
          </cell>
          <cell r="CH214">
            <v>500</v>
          </cell>
          <cell r="CI214">
            <v>500</v>
          </cell>
          <cell r="CJ214">
            <v>500</v>
          </cell>
          <cell r="CK214">
            <v>500</v>
          </cell>
          <cell r="CL214">
            <v>500</v>
          </cell>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cell r="EV214"/>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v>125</v>
          </cell>
          <cell r="CH215">
            <v>250</v>
          </cell>
          <cell r="CI215">
            <v>375</v>
          </cell>
          <cell r="CJ215">
            <v>500</v>
          </cell>
          <cell r="CK215">
            <v>500</v>
          </cell>
          <cell r="CL215">
            <v>500</v>
          </cell>
          <cell r="CM215">
            <v>500</v>
          </cell>
          <cell r="CN215">
            <v>500</v>
          </cell>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cell r="EV215"/>
        </row>
        <row r="217">
          <cell r="T217" t="str">
            <v>BUDGET FORECAST</v>
          </cell>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v>35898</v>
          </cell>
          <cell r="BY217">
            <v>35905</v>
          </cell>
          <cell r="BZ217">
            <v>35912</v>
          </cell>
          <cell r="CA217">
            <v>35919</v>
          </cell>
          <cell r="CB217">
            <v>35926</v>
          </cell>
          <cell r="CC217">
            <v>35933</v>
          </cell>
          <cell r="CD217">
            <v>35940</v>
          </cell>
          <cell r="CE217">
            <v>35947</v>
          </cell>
          <cell r="CF217">
            <v>35954</v>
          </cell>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cell r="EV217"/>
          <cell r="EW217"/>
          <cell r="EX217"/>
          <cell r="EY217"/>
          <cell r="EZ217"/>
          <cell r="FA217"/>
          <cell r="FB217"/>
          <cell r="FC217"/>
          <cell r="FD217"/>
          <cell r="FE217"/>
          <cell r="FF217"/>
          <cell r="FG217"/>
          <cell r="FH217"/>
          <cell r="FI217"/>
        </row>
        <row r="218">
          <cell r="T218" t="str">
            <v>BUDGET FORECAST</v>
          </cell>
          <cell r="V218" t="str">
            <v>PRE PROD</v>
          </cell>
          <cell r="W218">
            <v>30</v>
          </cell>
          <cell r="X218">
            <v>112500</v>
          </cell>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v>35898</v>
          </cell>
          <cell r="BY218">
            <v>35905</v>
          </cell>
          <cell r="BZ218">
            <v>35912</v>
          </cell>
          <cell r="CA218">
            <v>35919</v>
          </cell>
          <cell r="CB218">
            <v>35926</v>
          </cell>
          <cell r="CC218">
            <v>35933</v>
          </cell>
          <cell r="CD218">
            <v>35940</v>
          </cell>
          <cell r="CE218">
            <v>35947</v>
          </cell>
          <cell r="CF218">
            <v>35954</v>
          </cell>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row>
        <row r="219">
          <cell r="V219" t="str">
            <v>PRE PROD</v>
          </cell>
          <cell r="W219">
            <v>30</v>
          </cell>
          <cell r="X219">
            <v>112500</v>
          </cell>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v>3750</v>
          </cell>
          <cell r="BY219">
            <v>7500</v>
          </cell>
          <cell r="BZ219">
            <v>11250</v>
          </cell>
          <cell r="CA219">
            <v>15000</v>
          </cell>
          <cell r="CB219">
            <v>15000</v>
          </cell>
          <cell r="CC219">
            <v>15000</v>
          </cell>
          <cell r="CD219">
            <v>15000</v>
          </cell>
          <cell r="CE219">
            <v>15000</v>
          </cell>
          <cell r="CF219">
            <v>15000</v>
          </cell>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cell r="EV219"/>
          <cell r="EW219"/>
          <cell r="EX219"/>
          <cell r="EY219"/>
          <cell r="EZ219"/>
          <cell r="FA219"/>
          <cell r="FB219"/>
          <cell r="FC219"/>
          <cell r="FD219"/>
          <cell r="FE219"/>
          <cell r="FF219"/>
          <cell r="FG219"/>
          <cell r="FH219"/>
          <cell r="FI219"/>
        </row>
        <row r="220">
          <cell r="V220" t="str">
            <v>PRODUCTION</v>
          </cell>
          <cell r="W220">
            <v>150</v>
          </cell>
          <cell r="X220">
            <v>487500</v>
          </cell>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cell r="EV220"/>
          <cell r="EW220"/>
          <cell r="EX220"/>
          <cell r="EY220"/>
          <cell r="EZ220"/>
          <cell r="FA220"/>
          <cell r="FB220"/>
          <cell r="FC220"/>
          <cell r="FD220"/>
          <cell r="FE220"/>
          <cell r="FF220"/>
          <cell r="FG220"/>
          <cell r="FH220"/>
          <cell r="FI220"/>
        </row>
        <row r="221">
          <cell r="V221" t="str">
            <v>PRODUCTION</v>
          </cell>
          <cell r="W221">
            <v>150</v>
          </cell>
          <cell r="X221">
            <v>487500</v>
          </cell>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v>0</v>
          </cell>
          <cell r="CC221">
            <v>0</v>
          </cell>
          <cell r="CD221">
            <v>0</v>
          </cell>
          <cell r="CE221">
            <v>18750</v>
          </cell>
          <cell r="CF221">
            <v>37500</v>
          </cell>
          <cell r="CG221">
            <v>56250</v>
          </cell>
          <cell r="CH221">
            <v>75000</v>
          </cell>
          <cell r="CI221">
            <v>75000</v>
          </cell>
          <cell r="CJ221">
            <v>75000</v>
          </cell>
          <cell r="CK221">
            <v>75000</v>
          </cell>
          <cell r="CL221">
            <v>75000</v>
          </cell>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cell r="EV221"/>
          <cell r="EW221"/>
          <cell r="EX221"/>
          <cell r="EY221"/>
          <cell r="EZ221"/>
          <cell r="FA221"/>
          <cell r="FB221"/>
          <cell r="FC221"/>
          <cell r="FD221"/>
          <cell r="FE221"/>
          <cell r="FF221"/>
          <cell r="FG221"/>
          <cell r="FH221"/>
          <cell r="FI221"/>
        </row>
        <row r="222">
          <cell r="V222" t="str">
            <v>INK &amp; PAINT</v>
          </cell>
          <cell r="W222">
            <v>8</v>
          </cell>
          <cell r="X222">
            <v>26000</v>
          </cell>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v>35961</v>
          </cell>
          <cell r="CH222">
            <v>35968</v>
          </cell>
          <cell r="CI222">
            <v>35975</v>
          </cell>
          <cell r="CJ222">
            <v>35982</v>
          </cell>
          <cell r="CK222">
            <v>35989</v>
          </cell>
          <cell r="CL222">
            <v>35996</v>
          </cell>
          <cell r="CM222">
            <v>36003</v>
          </cell>
          <cell r="CN222">
            <v>36010</v>
          </cell>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cell r="EV222"/>
          <cell r="EW222"/>
          <cell r="EX222"/>
          <cell r="EY222"/>
          <cell r="EZ222"/>
          <cell r="FA222"/>
          <cell r="FB222"/>
          <cell r="FC222"/>
          <cell r="FD222"/>
          <cell r="FE222"/>
          <cell r="FF222"/>
          <cell r="FG222"/>
          <cell r="FH222"/>
          <cell r="FI222"/>
        </row>
        <row r="223">
          <cell r="V223" t="str">
            <v>INK &amp; PAINT</v>
          </cell>
          <cell r="W223">
            <v>8</v>
          </cell>
          <cell r="X223">
            <v>26000</v>
          </cell>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v>1000</v>
          </cell>
          <cell r="CH223">
            <v>2000</v>
          </cell>
          <cell r="CI223">
            <v>3000</v>
          </cell>
          <cell r="CJ223">
            <v>4000</v>
          </cell>
          <cell r="CK223">
            <v>4000</v>
          </cell>
          <cell r="CL223">
            <v>4000</v>
          </cell>
          <cell r="CM223">
            <v>4000</v>
          </cell>
          <cell r="CN223">
            <v>4000</v>
          </cell>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cell r="EV223"/>
          <cell r="EW223"/>
          <cell r="EX223"/>
          <cell r="EY223"/>
          <cell r="EZ223"/>
          <cell r="FA223"/>
          <cell r="FB223"/>
          <cell r="FC223"/>
          <cell r="FD223"/>
          <cell r="FE223"/>
          <cell r="FF223"/>
          <cell r="FG223"/>
          <cell r="FH223"/>
          <cell r="FI223"/>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cell r="EV228"/>
        </row>
        <row r="229">
          <cell r="V229" t="str">
            <v>PROJECTED STREET</v>
          </cell>
          <cell r="X229">
            <v>36122.220141999998</v>
          </cell>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row>
        <row r="238">
          <cell r="T238" t="str">
            <v>BUDGET FORECAST</v>
          </cell>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row>
        <row r="239">
          <cell r="T239" t="str">
            <v>BUDGET FORECAST</v>
          </cell>
          <cell r="V239" t="str">
            <v>PRE PROD</v>
          </cell>
          <cell r="W239">
            <v>30</v>
          </cell>
          <cell r="X239">
            <v>217500</v>
          </cell>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row>
        <row r="240">
          <cell r="V240" t="str">
            <v>PRE PROD</v>
          </cell>
          <cell r="W240">
            <v>30</v>
          </cell>
          <cell r="X240">
            <v>217500</v>
          </cell>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cell r="EJ240"/>
          <cell r="EK240"/>
          <cell r="EL240"/>
          <cell r="EM240"/>
          <cell r="EN240"/>
          <cell r="EO240"/>
          <cell r="EP240"/>
          <cell r="EQ240"/>
          <cell r="ER240"/>
          <cell r="ES240"/>
          <cell r="ET240"/>
          <cell r="EU240"/>
          <cell r="EV240"/>
          <cell r="EW240"/>
          <cell r="EX240"/>
          <cell r="EY240"/>
          <cell r="EZ240"/>
          <cell r="FA240"/>
          <cell r="FB240"/>
          <cell r="FC240"/>
          <cell r="FD240"/>
          <cell r="FE240"/>
          <cell r="FF240"/>
          <cell r="FG240"/>
          <cell r="FH240"/>
          <cell r="FI240"/>
        </row>
        <row r="241">
          <cell r="V241" t="str">
            <v>PRODUCTION</v>
          </cell>
          <cell r="W241">
            <v>150</v>
          </cell>
          <cell r="X241">
            <v>1087500</v>
          </cell>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cell r="EJ241"/>
          <cell r="EK241"/>
          <cell r="EL241"/>
          <cell r="EM241"/>
          <cell r="EN241"/>
          <cell r="EO241"/>
          <cell r="EP241"/>
          <cell r="EQ241"/>
          <cell r="ER241"/>
          <cell r="ES241"/>
          <cell r="ET241"/>
          <cell r="EU241"/>
          <cell r="EV241"/>
          <cell r="EW241"/>
          <cell r="EX241"/>
          <cell r="EY241"/>
          <cell r="EZ241"/>
          <cell r="FA241"/>
          <cell r="FB241"/>
          <cell r="FC241"/>
          <cell r="FD241"/>
          <cell r="FE241"/>
          <cell r="FF241"/>
          <cell r="FG241"/>
          <cell r="FH241"/>
          <cell r="FI241"/>
        </row>
        <row r="242">
          <cell r="V242" t="str">
            <v>PRODUCTION</v>
          </cell>
          <cell r="W242">
            <v>150</v>
          </cell>
          <cell r="X242">
            <v>1087500</v>
          </cell>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row>
        <row r="243">
          <cell r="V243" t="str">
            <v>INK &amp; PAINT</v>
          </cell>
          <cell r="W243">
            <v>8</v>
          </cell>
          <cell r="X243">
            <v>58000</v>
          </cell>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row>
        <row r="244">
          <cell r="V244" t="str">
            <v>INK &amp; PAINT</v>
          </cell>
          <cell r="W244">
            <v>8</v>
          </cell>
          <cell r="X244">
            <v>58000</v>
          </cell>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row>
        <row r="250">
          <cell r="V250" t="str">
            <v>PROJECTED STREET</v>
          </cell>
          <cell r="X250">
            <v>36184</v>
          </cell>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cell r="EV255"/>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cell r="EJ256"/>
          <cell r="EK256"/>
          <cell r="EL256"/>
          <cell r="EM256"/>
          <cell r="EN256"/>
          <cell r="EO256"/>
          <cell r="EP256"/>
          <cell r="EQ256"/>
          <cell r="ER256"/>
          <cell r="ES256"/>
          <cell r="ET256"/>
          <cell r="EU256"/>
          <cell r="EV256"/>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v>125</v>
          </cell>
          <cell r="CS257">
            <v>250</v>
          </cell>
          <cell r="CT257">
            <v>375</v>
          </cell>
          <cell r="CU257">
            <v>500</v>
          </cell>
          <cell r="CV257">
            <v>500</v>
          </cell>
          <cell r="CW257">
            <v>500</v>
          </cell>
          <cell r="CX257">
            <v>500</v>
          </cell>
          <cell r="CY257">
            <v>500</v>
          </cell>
          <cell r="CZ257">
            <v>500</v>
          </cell>
          <cell r="DA257">
            <v>500</v>
          </cell>
          <cell r="DB257">
            <v>500</v>
          </cell>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cell r="EJ257"/>
          <cell r="EK257"/>
          <cell r="EL257"/>
          <cell r="EM257"/>
          <cell r="EN257"/>
          <cell r="EO257"/>
          <cell r="EP257"/>
          <cell r="EQ257"/>
          <cell r="ER257"/>
          <cell r="ES257"/>
          <cell r="ET257"/>
          <cell r="EU257"/>
          <cell r="EV257"/>
        </row>
        <row r="259">
          <cell r="T259" t="str">
            <v>BUDGET FORECAST</v>
          </cell>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cell r="EJ259"/>
          <cell r="EK259"/>
          <cell r="EL259"/>
          <cell r="EM259"/>
          <cell r="EN259"/>
          <cell r="EO259"/>
          <cell r="EP259"/>
          <cell r="EQ259"/>
          <cell r="ER259"/>
          <cell r="ES259"/>
          <cell r="ET259"/>
          <cell r="EU259"/>
          <cell r="EV259"/>
          <cell r="EW259"/>
          <cell r="EX259"/>
          <cell r="EY259"/>
          <cell r="EZ259"/>
          <cell r="FA259"/>
          <cell r="FB259"/>
          <cell r="FC259"/>
          <cell r="FD259"/>
          <cell r="FE259"/>
          <cell r="FF259"/>
          <cell r="FG259"/>
          <cell r="FH259"/>
          <cell r="FI259"/>
        </row>
        <row r="260">
          <cell r="T260" t="str">
            <v>BUDGET FORECAST</v>
          </cell>
          <cell r="V260" t="str">
            <v>PRE PROD</v>
          </cell>
          <cell r="W260">
            <v>30</v>
          </cell>
          <cell r="X260">
            <v>157500</v>
          </cell>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cell r="EJ260"/>
          <cell r="EK260"/>
          <cell r="EL260"/>
          <cell r="EM260"/>
          <cell r="EN260"/>
          <cell r="EO260"/>
          <cell r="EP260"/>
          <cell r="EQ260"/>
          <cell r="ER260"/>
          <cell r="ES260"/>
          <cell r="ET260"/>
          <cell r="EU260"/>
          <cell r="EV260"/>
          <cell r="EW260"/>
          <cell r="EX260"/>
          <cell r="EY260"/>
          <cell r="EZ260"/>
          <cell r="FA260"/>
          <cell r="FB260"/>
          <cell r="FC260"/>
          <cell r="FD260"/>
          <cell r="FE260"/>
          <cell r="FF260"/>
          <cell r="FG260"/>
          <cell r="FH260"/>
          <cell r="FI260"/>
        </row>
        <row r="261">
          <cell r="V261" t="str">
            <v>PRE PROD</v>
          </cell>
          <cell r="W261">
            <v>30</v>
          </cell>
          <cell r="X261">
            <v>157500</v>
          </cell>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cell r="EJ261"/>
          <cell r="EK261"/>
          <cell r="EL261"/>
          <cell r="EM261"/>
          <cell r="EN261"/>
          <cell r="EO261"/>
          <cell r="EP261"/>
          <cell r="EQ261"/>
          <cell r="ER261"/>
          <cell r="ES261"/>
          <cell r="ET261"/>
          <cell r="EU261"/>
          <cell r="EV261"/>
          <cell r="EW261"/>
          <cell r="EX261"/>
          <cell r="EY261"/>
          <cell r="EZ261"/>
          <cell r="FA261"/>
          <cell r="FB261"/>
          <cell r="FC261"/>
          <cell r="FD261"/>
          <cell r="FE261"/>
          <cell r="FF261"/>
          <cell r="FG261"/>
          <cell r="FH261"/>
          <cell r="FI261"/>
        </row>
        <row r="262">
          <cell r="V262" t="str">
            <v>PRODUCTION</v>
          </cell>
          <cell r="W262">
            <v>150</v>
          </cell>
          <cell r="X262">
            <v>712500</v>
          </cell>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cell r="EJ262"/>
          <cell r="EK262"/>
          <cell r="EL262"/>
          <cell r="EM262"/>
          <cell r="EN262"/>
          <cell r="EO262"/>
          <cell r="EP262"/>
          <cell r="EQ262"/>
          <cell r="ER262"/>
          <cell r="ES262"/>
          <cell r="ET262"/>
          <cell r="EU262"/>
          <cell r="EV262"/>
          <cell r="EW262"/>
          <cell r="EX262"/>
          <cell r="EY262"/>
          <cell r="EZ262"/>
          <cell r="FA262"/>
          <cell r="FB262"/>
          <cell r="FC262"/>
          <cell r="FD262"/>
          <cell r="FE262"/>
          <cell r="FF262"/>
          <cell r="FG262"/>
          <cell r="FH262"/>
          <cell r="FI262"/>
        </row>
        <row r="263">
          <cell r="V263" t="str">
            <v>PRODUCTION</v>
          </cell>
          <cell r="W263">
            <v>150</v>
          </cell>
          <cell r="X263">
            <v>712500</v>
          </cell>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cell r="EJ263"/>
          <cell r="EK263"/>
          <cell r="EL263"/>
          <cell r="EM263"/>
          <cell r="EN263"/>
          <cell r="EO263"/>
          <cell r="EP263"/>
          <cell r="EQ263"/>
          <cell r="ER263"/>
          <cell r="ES263"/>
          <cell r="ET263"/>
          <cell r="EU263"/>
          <cell r="EV263"/>
          <cell r="EW263"/>
          <cell r="EX263"/>
          <cell r="EY263"/>
          <cell r="EZ263"/>
          <cell r="FA263"/>
          <cell r="FB263"/>
          <cell r="FC263"/>
          <cell r="FD263"/>
          <cell r="FE263"/>
          <cell r="FF263"/>
          <cell r="FG263"/>
          <cell r="FH263"/>
          <cell r="FI263"/>
        </row>
        <row r="264">
          <cell r="V264" t="str">
            <v>INK &amp; PAINT</v>
          </cell>
          <cell r="W264">
            <v>8</v>
          </cell>
          <cell r="X264">
            <v>38000</v>
          </cell>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cell r="EJ264"/>
          <cell r="EK264"/>
          <cell r="EL264"/>
          <cell r="EM264"/>
          <cell r="EN264"/>
          <cell r="EO264"/>
          <cell r="EP264"/>
          <cell r="EQ264"/>
          <cell r="ER264"/>
          <cell r="ES264"/>
          <cell r="ET264"/>
          <cell r="EU264"/>
          <cell r="EV264"/>
          <cell r="EW264"/>
          <cell r="EX264"/>
          <cell r="EY264"/>
          <cell r="EZ264"/>
          <cell r="FA264"/>
          <cell r="FB264"/>
          <cell r="FC264"/>
          <cell r="FD264"/>
          <cell r="FE264"/>
          <cell r="FF264"/>
          <cell r="FG264"/>
          <cell r="FH264"/>
          <cell r="FI264"/>
        </row>
        <row r="265">
          <cell r="V265" t="str">
            <v>INK &amp; PAINT</v>
          </cell>
          <cell r="W265">
            <v>8</v>
          </cell>
          <cell r="X265">
            <v>38000</v>
          </cell>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v>1000</v>
          </cell>
          <cell r="CS265">
            <v>2000</v>
          </cell>
          <cell r="CT265">
            <v>3000</v>
          </cell>
          <cell r="CU265">
            <v>4000</v>
          </cell>
          <cell r="CV265">
            <v>4000</v>
          </cell>
          <cell r="CW265">
            <v>4000</v>
          </cell>
          <cell r="CX265">
            <v>4000</v>
          </cell>
          <cell r="CY265">
            <v>4000</v>
          </cell>
          <cell r="CZ265">
            <v>4000</v>
          </cell>
          <cell r="DA265">
            <v>4000</v>
          </cell>
          <cell r="DB265">
            <v>4000</v>
          </cell>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cell r="EJ265"/>
          <cell r="EK265"/>
          <cell r="EL265"/>
          <cell r="EM265"/>
          <cell r="EN265"/>
          <cell r="EO265"/>
          <cell r="EP265"/>
          <cell r="EQ265"/>
          <cell r="ER265"/>
          <cell r="ES265"/>
          <cell r="ET265"/>
          <cell r="EU265"/>
          <cell r="EV265"/>
          <cell r="EW265"/>
          <cell r="EX265"/>
          <cell r="EY265"/>
          <cell r="EZ265"/>
          <cell r="FA265"/>
          <cell r="FB265"/>
          <cell r="FC265"/>
          <cell r="FD265"/>
          <cell r="FE265"/>
          <cell r="FF265"/>
          <cell r="FG265"/>
          <cell r="FH265"/>
          <cell r="FI265"/>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cell r="EJ270"/>
          <cell r="EK270"/>
          <cell r="EL270"/>
          <cell r="EM270"/>
          <cell r="EN270"/>
          <cell r="EO270"/>
          <cell r="EP270"/>
          <cell r="EQ270"/>
          <cell r="ER270"/>
          <cell r="ES270"/>
          <cell r="ET270"/>
          <cell r="EU270"/>
          <cell r="EV270"/>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 sheetId="46"/>
      <sheetData sheetId="47"/>
      <sheetData sheetId="48"/>
      <sheetData sheetId="4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MISDSS Raw Data 19 and Greater"/>
      <sheetName val="Plan County"/>
      <sheetName val="Non COHS Aid Codes"/>
      <sheetName val="MISDSS_Raw_Data_19_and_Greater"/>
      <sheetName val="Plan_County"/>
      <sheetName val="Non_COHS_Aid_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 val="July17-Jun18_Increment"/>
      <sheetName val="COHS_LB_Rates"/>
      <sheetName val="COHS_UB_Rates"/>
      <sheetName val="TPM,GMC,RM_Rates"/>
      <sheetName val="MCO_Tax"/>
      <sheetName val="Base_IGT"/>
      <sheetName val="Prop_56"/>
      <sheetName val="ICFDD_-TPM,GMC,RM"/>
      <sheetName val="RR_Increments_--&gt;"/>
      <sheetName val="COHS_Rates"/>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 val="May_2017_Estimate"/>
      <sheetName val="Summary_Transition_(RC)"/>
      <sheetName val="BHT_DHCS_Transition_Schedule"/>
      <sheetName val="DHCS_Website_"/>
      <sheetName val="Based_on_CDC_Estimate"/>
      <sheetName val="P_T_MISDSS_F2"/>
      <sheetName val="P_T_MISDSS_F1"/>
      <sheetName val="MISDSS_Data"/>
      <sheetName val="921_CINs_Remove_from_List"/>
      <sheetName val="P_T_(2)"/>
      <sheetName val="Plan_Code_List"/>
      <sheetName val="Enrollment_with_Rates"/>
      <sheetName val="BHT_Kicks"/>
      <sheetName val="Nov_16_Managed_Care_(NEW)"/>
      <sheetName val="T_List_3-13-17"/>
      <sheetName val="RC_Master_List_(Unique)"/>
      <sheetName val="P_T_MISDSS_Correction"/>
      <sheetName val="Mercer_Rates&gt;&gt;&gt;&gt;"/>
      <sheetName val="SFY_14-15"/>
      <sheetName val="SFY_15-16_(OLD)"/>
      <sheetName val="SFY_16-17_(Do_not_use)"/>
      <sheetName val="SFY_15-16_(08-2016)"/>
      <sheetName val="SFY_16-17_Rate_Summ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 val="1_GAF_by_locality_(NO_ACA)"/>
      <sheetName val="2_GAF_Impacts_by_Locality"/>
      <sheetName val="3_GPCIs_10,_11,_12_(ACA)"/>
      <sheetName val="4_Base_Comparison_(Orig_2010)"/>
      <sheetName val="Orig_2010_Add_D_(No_1_0_Flr)"/>
      <sheetName val="Revised_2010_3102_PPA_"/>
      <sheetName val="2012_No_PE_Reduc"/>
      <sheetName val="2012_PE_Reduced"/>
      <sheetName val="2012_BN_OACT-No_PE_Red"/>
      <sheetName val="2012_BN_OACT-PE_Red"/>
      <sheetName val="2011_Transitional"/>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 val="Table_of_Contents"/>
      <sheetName val="Macro_Documentation"/>
      <sheetName val="Maternity_COS"/>
      <sheetName val="Maternity_COA"/>
      <sheetName val="Base_Deliveries"/>
      <sheetName val="Display_MMs"/>
      <sheetName val="Sum_-_Plan_Specific_Paste"/>
      <sheetName val="Sum_-_Cnty_RAR_Summary"/>
      <sheetName val="COHS_Previous_Rates"/>
      <sheetName val="Sum_-_Blended"/>
      <sheetName val="Sum_-_Add-on_Details_Paste"/>
      <sheetName val="Sum_-_Add-Ons_Paste"/>
      <sheetName val="ICFDD_Paste_"/>
      <sheetName val="Data_Calc_COS_Rollups"/>
      <sheetName val="Data_Calc_COA_Rollups"/>
      <sheetName val="KFH_SAC_MH_Add-on_Paste"/>
      <sheetName val="PC_Impacts"/>
      <sheetName val="Base_Data_Paste"/>
      <sheetName val="Data_Calc_COS_WCM"/>
      <sheetName val="Data_Calc_COA_WCM"/>
      <sheetName val="WCM_Paste"/>
      <sheetName val="P56_Pastes"/>
      <sheetName val="Other_Add-ons"/>
      <sheetName val="PEAch_Chart_Table"/>
      <sheetName val="Deliverable_Macro"/>
      <sheetName val="RDT_to_Base_Crosswalk"/>
      <sheetName val="Sum_-_Plan_Specific_-_12_M"/>
      <sheetName val="Sum_-_Plan_Specific_-_6_M"/>
      <sheetName val="Sum_-_County_Average_-_12_M"/>
      <sheetName val="Sum_-_Blended_Rate_-_12_M"/>
      <sheetName val="Sum_-_Add-On_Details"/>
      <sheetName val="Sum_-_Add-Ons"/>
      <sheetName val="Sum_-_Increments"/>
      <sheetName val="CRCS_Sheet"/>
      <sheetName val="County_CRCS_Sheet"/>
      <sheetName val="Two-Plan_CRCS"/>
      <sheetName val="COHS_CRCS"/>
      <sheetName val="GMC_(Regional)_CRCS"/>
      <sheetName val="GMC_(SAC_&amp;_SDI)_CRCS"/>
      <sheetName val="AET_UHC_CRCS"/>
      <sheetName val="All_Plans_CRCS"/>
      <sheetName val="Base_Data_Adjustments"/>
      <sheetName val="WCM_PC"/>
      <sheetName val="WCM_CRCS"/>
      <sheetName val="Sum_-_Blended_Rate_-_12_M_"/>
      <sheetName val="Acuity_Factors"/>
      <sheetName val="KFH_SAC_MH_Add-on"/>
      <sheetName val="2019-20_Non-340B"/>
      <sheetName val="2019-20_-_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row>
        <row r="96">
          <cell r="A96"/>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row>
        <row r="195">
          <cell r="A195" t="str">
            <v>CY</v>
          </cell>
          <cell r="D195" t="str">
            <v>CY</v>
          </cell>
          <cell r="E195" t="str">
            <v>(All)</v>
          </cell>
        </row>
        <row r="196">
          <cell r="A196" t="str">
            <v>PLAN_CD</v>
          </cell>
          <cell r="D196" t="str">
            <v>PLAN_CD</v>
          </cell>
          <cell r="E196" t="str">
            <v>(Multiple Items)</v>
          </cell>
          <cell r="G196" t="str">
            <v>3 Kaiser Counties (‘03’,‘09’,‘31’)</v>
          </cell>
        </row>
        <row r="197">
          <cell r="A197"/>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row>
        <row r="209">
          <cell r="A209"/>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 val="Reference Data"/>
      <sheetName val="Reference"/>
      <sheetName val="Labels and Footnotes"/>
      <sheetName val="#1A_-_Inpt_Lag1"/>
      <sheetName val="#1B_-_Physician_Lag1"/>
      <sheetName val="#1C_-_Rx_Lag1"/>
      <sheetName val="#1D_-_Other_Lag1"/>
      <sheetName val="#2A_-_Income_Stmt1"/>
      <sheetName val="#2B_-_Income_Stmt1"/>
      <sheetName val="#2C_-_Income_Stmt1"/>
      <sheetName val="#2D_-_Income_Stmt1"/>
      <sheetName val="#2E_-_Income_Stmt1"/>
      <sheetName val="#2F_-_Income_Stmt1"/>
      <sheetName val="#2G_-_Income_Stmt1"/>
      <sheetName val="#2H_-_Income_Stmt1"/>
      <sheetName val="#2I_-_Income_Stmt1"/>
      <sheetName val="#2J_-_Income_Stmt1"/>
      <sheetName val="#2K_-_Income_Stmt1"/>
      <sheetName val="#2L_-_Income_Stmt1"/>
      <sheetName val="#2M_-_Income_Stmt1"/>
      <sheetName val="#2N_-_Income_Stmt1"/>
      <sheetName val="#2O_-_Income_Stmt1"/>
      <sheetName val="#2P_-_Income_Stmt1"/>
      <sheetName val="#2Q_-_Income_Stmt1"/>
      <sheetName val="#2R_-_Income_Stmt1"/>
      <sheetName val="#2S_-_Income_Stmt1"/>
      <sheetName val="#3_-_Maternity_Counts1"/>
      <sheetName val="#1A_-_Inpt_Lag2"/>
      <sheetName val="#1B_-_Physician_Lag2"/>
      <sheetName val="#1C_-_Rx_Lag2"/>
      <sheetName val="#1D_-_Other_Lag2"/>
      <sheetName val="#2A_-_Income_Stmt2"/>
      <sheetName val="#2B_-_Income_Stmt2"/>
      <sheetName val="#2C_-_Income_Stmt2"/>
      <sheetName val="#2D_-_Income_Stmt2"/>
      <sheetName val="#2E_-_Income_Stmt2"/>
      <sheetName val="#2F_-_Income_Stmt2"/>
      <sheetName val="#2G_-_Income_Stmt2"/>
      <sheetName val="#2H_-_Income_Stmt2"/>
      <sheetName val="#2I_-_Income_Stmt2"/>
      <sheetName val="#2J_-_Income_Stmt2"/>
      <sheetName val="#2K_-_Income_Stmt2"/>
      <sheetName val="#2L_-_Income_Stmt2"/>
      <sheetName val="#2M_-_Income_Stmt2"/>
      <sheetName val="#2N_-_Income_Stmt2"/>
      <sheetName val="#2O_-_Income_Stmt2"/>
      <sheetName val="#2P_-_Income_Stmt2"/>
      <sheetName val="#2Q_-_Income_Stmt2"/>
      <sheetName val="#2R_-_Income_Stmt2"/>
      <sheetName val="#2S_-_Income_Stmt2"/>
      <sheetName val="#3_-_Maternity_Counts2"/>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 val="Title_XXI_(Nov_2016)"/>
      <sheetName val="Title_XXI_Summary_(May_2016)"/>
      <sheetName val="Less_than_19"/>
      <sheetName val="Greater_than_19"/>
      <sheetName val="Plan_County"/>
      <sheetName val="Non_COHS_Aid_Codes"/>
      <sheetName val="COHS_Aid_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 val="COHS_Nov2015"/>
      <sheetName val="Age_and_Part_A_sort_"/>
      <sheetName val="Report_1_(3)"/>
      <sheetName val="Report_1_(2)"/>
      <sheetName val="Report_1"/>
      <sheetName val="Aid_Code"/>
    </sheetNames>
    <sheetDataSet>
      <sheetData sheetId="0"/>
      <sheetData sheetId="1"/>
      <sheetData sheetId="2"/>
      <sheetData sheetId="3"/>
      <sheetData sheetId="4"/>
      <sheetData sheetId="5">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 val="Rural_Exp_Rate_Smry_W_SB78"/>
      <sheetName val="Rural_Exp_Rate_Smry_No_SB78"/>
      <sheetName val="Partnership_-_PC_Detail"/>
      <sheetName val="Rural_PCs_for_DHCS"/>
      <sheetName val="Dual_Redefined"/>
      <sheetName val="Final_Statewide_PMPMs"/>
      <sheetName val="Budget_Analysis"/>
      <sheetName val="Budget_Analysis_-_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4_Summary(no Taxes)"/>
      <sheetName val="13-14_Summary(with Taxes)"/>
      <sheetName val="MH|SB78 Impacts"/>
      <sheetName val="ACA1202|SB78 Impacts"/>
      <sheetName val="COHS lookup"/>
      <sheetName val="13-14_Summary(no_Taxes)"/>
      <sheetName val="13-14_Summary(with_Taxes)"/>
      <sheetName val="MH|SB78_Impacts"/>
      <sheetName val="ACA1202|SB78_Impacts"/>
      <sheetName val="COHS_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COHS lookup"/>
      <sheetName val="July-Dec_2014_(with_SB78)"/>
      <sheetName val="July-Dec_2014_(no_SB78)"/>
      <sheetName val="Jan-June_2015_(with_SB78)"/>
      <sheetName val="Jan-June_2015_(no_SB78)"/>
      <sheetName val="COHS_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 FY15-16 summary (no SB78)"/>
      <sheetName val="MH|SB78 Impacts"/>
      <sheetName val="Hep C"/>
      <sheetName val="COHS lookup"/>
      <sheetName val="COHS_FY15-16_summary_(no_SB78)"/>
      <sheetName val="MH|SB78_Impacts"/>
      <sheetName val="Hep_C"/>
      <sheetName val="COHS_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 lag 20011210"/>
      <sheetName val="data_clm"/>
      <sheetName val="lagcat5"/>
      <sheetName val="Medical"/>
      <sheetName val="Hospital"/>
      <sheetName val="lag"/>
      <sheetName val="data_mem"/>
      <sheetName val="NJ_lag_20011210"/>
      <sheetName val="NJ_lag_200112101"/>
      <sheetName val="NJ_lag_200112102"/>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 val="Hosp_ICB_4q"/>
      <sheetName val="Med_ICB_4q"/>
      <sheetName val="Hospital_CFs_"/>
      <sheetName val="Medical_CFs"/>
      <sheetName val="Hosp_ICB_4q1"/>
      <sheetName val="Med_ICB_4q1"/>
      <sheetName val="Hospital_CFs_1"/>
      <sheetName val="Medical_CFs1"/>
      <sheetName val="Hosp_ICB_4q2"/>
      <sheetName val="Med_ICB_4q2"/>
      <sheetName val="Hospital_CFs_2"/>
      <sheetName val="Medical_CF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 val="Two_Plan_Summary"/>
      <sheetName val="Program_Changes"/>
      <sheetName val="SB_94"/>
      <sheetName val="04m69_(2)"/>
    </sheetNames>
    <sheetDataSet>
      <sheetData sheetId="0">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 val="CoPay_Adj"/>
      <sheetName val="Base_Deliveries"/>
      <sheetName val="RAR_Data"/>
      <sheetName val="Previous_Rates"/>
      <sheetName val="Data_Calc-_COS"/>
      <sheetName val="Data_Calc-_COA"/>
      <sheetName val="Data_Calc_-_COS_(MAT)"/>
      <sheetName val="Data_Calc_-_COA_(MAT)"/>
      <sheetName val="Composite_Rate_Analysis"/>
      <sheetName val="GMC_(SD)_-_Plan_Specific"/>
      <sheetName val="GMC_(TOT)_-_Plan_Specific"/>
      <sheetName val="GMC(SD)_-_Cty_Avg_+_100%_RAR"/>
      <sheetName val="GMC(TOT)_-_Cty_Avg_+_100%_RAR"/>
      <sheetName val="GMC_(SD)_Sum_-Blending"/>
      <sheetName val="GMC_(TOT)_Sum_-Blending"/>
      <sheetName val="GMC_(SD)_Sum_-No_AB_1422(RND)"/>
      <sheetName val="GMC_(TOT)_Sum_-No_AB_1422(RND)"/>
      <sheetName val="GMC_(SD)_Sum_-AB_1422"/>
      <sheetName val="GMC_(TOT)_Sum_-AB_1422"/>
      <sheetName val="04-05_Rates_UP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cell r="K8">
            <v>15.25</v>
          </cell>
          <cell r="L8">
            <v>4424602.6745197903</v>
          </cell>
        </row>
        <row r="9">
          <cell r="A9" t="str">
            <v>MontereyACA OE</v>
          </cell>
          <cell r="B9" t="str">
            <v>Central California Alliance/Monterey</v>
          </cell>
          <cell r="C9" t="str">
            <v>ACA OE</v>
          </cell>
          <cell r="D9">
            <v>0</v>
          </cell>
          <cell r="E9"/>
          <cell r="F9"/>
          <cell r="G9"/>
          <cell r="H9"/>
          <cell r="I9"/>
          <cell r="J9"/>
          <cell r="K9"/>
          <cell r="L9"/>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cell r="K16">
            <v>24.630000000000003</v>
          </cell>
          <cell r="L16">
            <v>2835532.0600002389</v>
          </cell>
        </row>
        <row r="17">
          <cell r="A17" t="str">
            <v>Santa CruzACA OE</v>
          </cell>
          <cell r="B17" t="str">
            <v>Central California Alliance/Santa Cruz</v>
          </cell>
          <cell r="C17" t="str">
            <v>ACA OE</v>
          </cell>
          <cell r="D17">
            <v>0</v>
          </cell>
          <cell r="E17"/>
          <cell r="F17"/>
          <cell r="G17"/>
          <cell r="H17"/>
          <cell r="I17"/>
          <cell r="J17"/>
          <cell r="K17"/>
          <cell r="L17"/>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cell r="K24">
            <v>20.22</v>
          </cell>
          <cell r="L24">
            <v>4941502.5234774342</v>
          </cell>
        </row>
        <row r="25">
          <cell r="A25" t="str">
            <v>MercedACA OE</v>
          </cell>
          <cell r="B25" t="str">
            <v>Central California Alliance/Merced</v>
          </cell>
          <cell r="C25" t="str">
            <v>ACA OE</v>
          </cell>
          <cell r="D25">
            <v>0</v>
          </cell>
          <cell r="E25"/>
          <cell r="F25"/>
          <cell r="G25"/>
          <cell r="H25"/>
          <cell r="I25"/>
          <cell r="J25"/>
          <cell r="K25"/>
          <cell r="L25"/>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cell r="K32">
            <v>22.11</v>
          </cell>
          <cell r="L32">
            <v>4348040.5860724151</v>
          </cell>
        </row>
        <row r="33">
          <cell r="A33" t="str">
            <v>Santa BarbaraACA OE</v>
          </cell>
          <cell r="B33" t="str">
            <v>CenCal Health/Santa Barbara</v>
          </cell>
          <cell r="C33" t="str">
            <v>ACA OE</v>
          </cell>
          <cell r="D33">
            <v>0</v>
          </cell>
          <cell r="E33"/>
          <cell r="F33"/>
          <cell r="G33"/>
          <cell r="H33"/>
          <cell r="I33"/>
          <cell r="J33"/>
          <cell r="K33"/>
          <cell r="L33"/>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cell r="K40">
            <v>20.03</v>
          </cell>
          <cell r="L40">
            <v>1698506.4404398608</v>
          </cell>
        </row>
        <row r="41">
          <cell r="A41" t="str">
            <v>San Luis ObispoACA OE</v>
          </cell>
          <cell r="B41" t="str">
            <v>CenCal Health/San Luis Obispo</v>
          </cell>
          <cell r="C41" t="str">
            <v>ACA OE</v>
          </cell>
          <cell r="D41">
            <v>0</v>
          </cell>
          <cell r="E41"/>
          <cell r="F41"/>
          <cell r="G41"/>
          <cell r="H41"/>
          <cell r="I41"/>
          <cell r="J41"/>
          <cell r="K41"/>
          <cell r="L41"/>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cell r="K48">
            <v>16.060000000000002</v>
          </cell>
          <cell r="L48">
            <v>18511140.360117212</v>
          </cell>
        </row>
        <row r="49">
          <cell r="A49" t="str">
            <v>OrangeACA OE</v>
          </cell>
          <cell r="B49" t="str">
            <v>CalOptima/Orange</v>
          </cell>
          <cell r="C49" t="str">
            <v>ACA OE</v>
          </cell>
          <cell r="D49">
            <v>0</v>
          </cell>
          <cell r="E49"/>
          <cell r="F49"/>
          <cell r="G49"/>
          <cell r="H49"/>
          <cell r="I49"/>
          <cell r="J49"/>
          <cell r="K49"/>
          <cell r="L49"/>
        </row>
        <row r="50">
          <cell r="A50" t="str">
            <v>OrangeSPD</v>
          </cell>
          <cell r="B50" t="str">
            <v>CalOptima/Orange</v>
          </cell>
          <cell r="C50" t="str">
            <v>SPD</v>
          </cell>
          <cell r="D50">
            <v>481165.34966315958</v>
          </cell>
          <cell r="E50">
            <v>8.32</v>
          </cell>
          <cell r="F50">
            <v>23.91</v>
          </cell>
          <cell r="G50">
            <v>30.27</v>
          </cell>
          <cell r="H50">
            <v>62.5</v>
          </cell>
          <cell r="I50">
            <v>30072834.353947472</v>
          </cell>
          <cell r="J50"/>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cell r="K56">
            <v>23.25</v>
          </cell>
          <cell r="L56">
            <v>3764984.1884150379</v>
          </cell>
        </row>
        <row r="57">
          <cell r="A57" t="str">
            <v>San MateoACA OE</v>
          </cell>
          <cell r="B57" t="str">
            <v>HP of San Mateo</v>
          </cell>
          <cell r="C57" t="str">
            <v>ACA OE</v>
          </cell>
          <cell r="D57">
            <v>0</v>
          </cell>
          <cell r="E57"/>
          <cell r="F57"/>
          <cell r="G57"/>
          <cell r="H57"/>
          <cell r="I57"/>
          <cell r="J57"/>
          <cell r="K57"/>
          <cell r="L57"/>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cell r="K64">
            <v>20.3</v>
          </cell>
          <cell r="L64">
            <v>6298593.488029371</v>
          </cell>
        </row>
        <row r="65">
          <cell r="A65" t="str">
            <v>VenturaACA OE</v>
          </cell>
          <cell r="B65" t="str">
            <v>Gold Coast HP/Ventura</v>
          </cell>
          <cell r="C65" t="str">
            <v>ACA OE</v>
          </cell>
          <cell r="D65">
            <v>0</v>
          </cell>
          <cell r="E65"/>
          <cell r="F65"/>
          <cell r="G65"/>
          <cell r="H65"/>
          <cell r="I65"/>
          <cell r="J65"/>
          <cell r="K65"/>
          <cell r="L65"/>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cell r="K72">
            <v>23.84</v>
          </cell>
          <cell r="L72">
            <v>969660.34883928171</v>
          </cell>
        </row>
        <row r="73">
          <cell r="A73" t="str">
            <v>NapaACA OE</v>
          </cell>
          <cell r="B73" t="str">
            <v>Partnership HP of CA/Napa</v>
          </cell>
          <cell r="C73" t="str">
            <v>ACA OE</v>
          </cell>
          <cell r="D73">
            <v>0</v>
          </cell>
          <cell r="E73"/>
          <cell r="F73"/>
          <cell r="G73"/>
          <cell r="H73"/>
          <cell r="I73"/>
          <cell r="J73"/>
          <cell r="K73"/>
          <cell r="L73"/>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cell r="K80">
            <v>25.450000000000003</v>
          </cell>
          <cell r="L80">
            <v>4953052.5162430722</v>
          </cell>
        </row>
        <row r="81">
          <cell r="A81" t="str">
            <v>SolanoACA OE</v>
          </cell>
          <cell r="B81" t="str">
            <v>Partnership HP of CA/Solano</v>
          </cell>
          <cell r="C81" t="str">
            <v>ACA OE</v>
          </cell>
          <cell r="D81">
            <v>0</v>
          </cell>
          <cell r="E81"/>
          <cell r="F81"/>
          <cell r="G81"/>
          <cell r="H81"/>
          <cell r="I81"/>
          <cell r="J81"/>
          <cell r="K81"/>
          <cell r="L81"/>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cell r="K88">
            <v>22.33</v>
          </cell>
          <cell r="L88">
            <v>2124605.4756755265</v>
          </cell>
        </row>
        <row r="89">
          <cell r="A89" t="str">
            <v>YoloACA OE</v>
          </cell>
          <cell r="B89" t="str">
            <v>Partnership HP of CA/Yolo</v>
          </cell>
          <cell r="C89" t="str">
            <v>ACA OE</v>
          </cell>
          <cell r="D89">
            <v>0</v>
          </cell>
          <cell r="E89"/>
          <cell r="F89"/>
          <cell r="G89"/>
          <cell r="H89"/>
          <cell r="I89"/>
          <cell r="J89"/>
          <cell r="K89"/>
          <cell r="L89"/>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cell r="K96">
            <v>30.76</v>
          </cell>
          <cell r="L96">
            <v>5068913.6424844433</v>
          </cell>
        </row>
        <row r="97">
          <cell r="A97" t="str">
            <v>SonomaACA OE</v>
          </cell>
          <cell r="B97" t="str">
            <v>Partnership HP of CA/Sonoma</v>
          </cell>
          <cell r="C97" t="str">
            <v>ACA OE</v>
          </cell>
          <cell r="D97">
            <v>0</v>
          </cell>
          <cell r="E97"/>
          <cell r="F97"/>
          <cell r="G97"/>
          <cell r="H97"/>
          <cell r="I97"/>
          <cell r="J97"/>
          <cell r="K97"/>
          <cell r="L97"/>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cell r="K104">
            <v>30.25</v>
          </cell>
          <cell r="L104">
            <v>1591959.1931346729</v>
          </cell>
        </row>
        <row r="105">
          <cell r="A105" t="str">
            <v>MarinACA OE</v>
          </cell>
          <cell r="B105" t="str">
            <v>Partnership HP of CA/Marin</v>
          </cell>
          <cell r="C105" t="str">
            <v>ACA OE</v>
          </cell>
          <cell r="D105">
            <v>0</v>
          </cell>
          <cell r="E105"/>
          <cell r="F105"/>
          <cell r="G105"/>
          <cell r="H105"/>
          <cell r="I105"/>
          <cell r="J105"/>
          <cell r="K105"/>
          <cell r="L105"/>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cell r="K112">
            <v>28.14</v>
          </cell>
          <cell r="L112">
            <v>2068319.5495107255</v>
          </cell>
        </row>
        <row r="113">
          <cell r="A113" t="str">
            <v>MendocinoACA OE</v>
          </cell>
          <cell r="B113" t="str">
            <v>Partnership HP of CA/Mendocino</v>
          </cell>
          <cell r="C113" t="str">
            <v>ACA OE</v>
          </cell>
          <cell r="D113">
            <v>0</v>
          </cell>
          <cell r="E113"/>
          <cell r="F113"/>
          <cell r="G113"/>
          <cell r="H113"/>
          <cell r="I113"/>
          <cell r="J113"/>
          <cell r="K113"/>
          <cell r="L113"/>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cell r="K120">
            <v>30.61</v>
          </cell>
          <cell r="L120">
            <v>10283009.440687938</v>
          </cell>
        </row>
        <row r="121">
          <cell r="A121" t="str">
            <v>RuralACA OE</v>
          </cell>
          <cell r="B121" t="str">
            <v>Partnership HP of CA/COHS 8 Rural Expansion</v>
          </cell>
          <cell r="C121" t="str">
            <v>ACA OE</v>
          </cell>
          <cell r="D121">
            <v>0</v>
          </cell>
          <cell r="E121"/>
          <cell r="F121"/>
          <cell r="G121"/>
          <cell r="H121"/>
          <cell r="I121"/>
          <cell r="J121"/>
          <cell r="K121"/>
          <cell r="L121"/>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cell r="K128">
            <v>95.97</v>
          </cell>
          <cell r="L128">
            <v>14501.942672045892</v>
          </cell>
        </row>
        <row r="129">
          <cell r="A129" t="str">
            <v>San Mateo CCSACA OE</v>
          </cell>
          <cell r="B129" t="str">
            <v>HP of San Mateo (CCS)</v>
          </cell>
          <cell r="C129" t="str">
            <v>ACA OE</v>
          </cell>
          <cell r="D129">
            <v>0</v>
          </cell>
          <cell r="E129"/>
          <cell r="F129"/>
          <cell r="G129"/>
          <cell r="H129"/>
          <cell r="I129"/>
          <cell r="J129"/>
          <cell r="K129"/>
          <cell r="L129"/>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ARCClaims"/>
      <sheetName val="ELARCIDs"/>
      <sheetName val="ELARC"/>
      <sheetName val="Should have been on DDS list"/>
      <sheetName val="ELARC list but shouldn't have"/>
      <sheetName val="Sheet6"/>
      <sheetName val="Should_have_been_on_DDS_list"/>
      <sheetName val="ELARC_list_but_shouldn't_have"/>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 val="BHT_(STW)_No_Tax"/>
      <sheetName val="HEP_C_(STW)_No_Tax_-_Non-340B"/>
      <sheetName val="HEP_C_(STW)_No_Tax_-_340B"/>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 val="FNRC_list_updated_7-28-15"/>
      <sheetName val="DDS_filtrd_list_updated_8-20-15"/>
      <sheetName val="FNRC_data"/>
      <sheetName val="FNRC_has_but_DDS_doesn't"/>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pcs chg"/>
      <sheetName val="Hcpcs_chg"/>
    </sheetNames>
    <sheetDataSet>
      <sheetData sheetId="0">
        <row r="1">
          <cell r="F1" t="str">
            <v>2004 HCPCS UPDATE</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 val="Data_Export"/>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 val="Data"/>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 val="COA_COS_&amp;_HP_Naming"/>
      <sheetName val="Macro_Hide"/>
      <sheetName val="CY14_Updates"/>
      <sheetName val="COS_Grouping"/>
      <sheetName val="COS_Grouping_add'l_logic"/>
      <sheetName val="Prov_Type_Crosswalk"/>
      <sheetName val="Claim_Type_Crosswalk"/>
      <sheetName val="Bed_Rev_Codes"/>
      <sheetName val="Aid_Code_Mapping"/>
      <sheetName val="State_Funded_Services"/>
      <sheetName val="Delivery_Definition"/>
      <sheetName val="Dual_COA_Mapping"/>
      <sheetName val="Rx_Specialty_-_2014"/>
      <sheetName val="Data_Block"/>
      <sheetName val="Data_Block_-_Schedule_1"/>
      <sheetName val="Schedule_1-A"/>
      <sheetName val="Schedule_1-B"/>
      <sheetName val="Schedule_1-C"/>
      <sheetName val="Schedule_1-D"/>
      <sheetName val="Schedule_1-F"/>
      <sheetName val="Schedule_1-M"/>
      <sheetName val="Schedule_1-HEP"/>
      <sheetName val="Schedule_1-P"/>
      <sheetName val="Schedule_1-T"/>
      <sheetName val="Schedule_1-U"/>
      <sheetName val="Schedule_2"/>
      <sheetName val="Schedule_3"/>
      <sheetName val="Schedule_D_-_1"/>
      <sheetName val="Schedule_D_-_2"/>
      <sheetName val="Schedule_4"/>
      <sheetName val="Schedule_5"/>
      <sheetName val="Schedule_6a"/>
      <sheetName val="Schedule_6b"/>
      <sheetName val="Schedule_7"/>
      <sheetName val="Final_Review"/>
      <sheetName val="Schedule_8"/>
      <sheetName val="Final_Review_Ranges"/>
      <sheetName val="CY13_RDT_-_COA"/>
      <sheetName val="2014_Births"/>
      <sheetName val="1516_Rates_-_Birth_Rate"/>
      <sheetName val="2014_MMs"/>
      <sheetName val="Hep_C_Pmts"/>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 val="1_Table4_LaborUpdate_(2)"/>
      <sheetName val="2_nonlaborinfl_1629_(2)"/>
      <sheetName val="2012_Lic_Fees"/>
      <sheetName val="BBCPIUM_Apr_2012_(2)"/>
      <sheetName val="1_Table4_LaborUpdate"/>
      <sheetName val="2_nonlaborinfl_1629"/>
      <sheetName val="BBCPIUM_Apr_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Lag_Summary"/>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 val="#1A_-_Inpt_Lag1"/>
      <sheetName val="#1B_-_Physician_Lag1"/>
      <sheetName val="#1C_-_Rx_Lag1"/>
      <sheetName val="#1D_-_Other_Lag1"/>
      <sheetName val="Lag_Summary1"/>
      <sheetName val="#2A_-_Income_Stmt1"/>
      <sheetName val="#2B_-_Income_Stmt1"/>
      <sheetName val="#2C_-_Income_Stmt1"/>
      <sheetName val="#2D_-_Income_Stmt1"/>
      <sheetName val="#2E_-_Income_Stmt1"/>
      <sheetName val="#2F_-_Income_Stmt1"/>
      <sheetName val="#2G_-_Income_Stmt1"/>
      <sheetName val="#2H_-_Income_Stmt1"/>
      <sheetName val="#2I_-_Income_Stmt1"/>
      <sheetName val="#2J_-_Income_Stmt1"/>
      <sheetName val="#2K_-_Income_Stmt1"/>
      <sheetName val="#2L_-_Income_Stmt1"/>
      <sheetName val="#2M_-_Income_Stmt1"/>
      <sheetName val="#2N_-_Income_Stmt1"/>
      <sheetName val="#2O_-_Income_Stmt1"/>
      <sheetName val="#2P_-_Income_Stmt1"/>
      <sheetName val="#2Q_-_Income_Stmt1"/>
      <sheetName val="#2R_-_Income_Stmt1"/>
      <sheetName val="#2S_-_Income_Stmt1"/>
      <sheetName val="#3_-_Maternity_Counts1"/>
      <sheetName val="#1A_-_Inpt_Lag2"/>
      <sheetName val="#1B_-_Physician_Lag2"/>
      <sheetName val="#1C_-_Rx_Lag2"/>
      <sheetName val="#1D_-_Other_Lag2"/>
      <sheetName val="Lag_Summary2"/>
      <sheetName val="#2A_-_Income_Stmt2"/>
      <sheetName val="#2B_-_Income_Stmt2"/>
      <sheetName val="#2C_-_Income_Stmt2"/>
      <sheetName val="#2D_-_Income_Stmt2"/>
      <sheetName val="#2E_-_Income_Stmt2"/>
      <sheetName val="#2F_-_Income_Stmt2"/>
      <sheetName val="#2G_-_Income_Stmt2"/>
      <sheetName val="#2H_-_Income_Stmt2"/>
      <sheetName val="#2I_-_Income_Stmt2"/>
      <sheetName val="#2J_-_Income_Stmt2"/>
      <sheetName val="#2K_-_Income_Stmt2"/>
      <sheetName val="#2L_-_Income_Stmt2"/>
      <sheetName val="#2M_-_Income_Stmt2"/>
      <sheetName val="#2N_-_Income_Stmt2"/>
      <sheetName val="#2O_-_Income_Stmt2"/>
      <sheetName val="#2P_-_Income_Stmt2"/>
      <sheetName val="#2Q_-_Income_Stmt2"/>
      <sheetName val="#2R_-_Income_Stmt2"/>
      <sheetName val="#2S_-_Income_Stmt2"/>
      <sheetName val="#3_-_Maternity_Counts2"/>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Creator"/>
      <sheetName val="Text File"/>
      <sheetName val="Final MAC - Update List"/>
      <sheetName val="Final MAC - Complete List"/>
      <sheetName val="NC Mac"/>
      <sheetName val="Key"/>
      <sheetName val="File_Creator"/>
      <sheetName val="Text_File"/>
      <sheetName val="Final_MAC_-_Update_List"/>
      <sheetName val="Final_MAC_-_Complete_List"/>
      <sheetName val="NC_Mac"/>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 sheetId="6"/>
      <sheetData sheetId="7"/>
      <sheetData sheetId="8"/>
      <sheetData sheetId="9"/>
      <sheetData sheetId="1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 val="Lookup_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 val="Prop_56_Abortion"/>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F request"/>
      <sheetName val="Total"/>
      <sheetName val="Data"/>
      <sheetName val="Program_Changes"/>
      <sheetName val="Child"/>
      <sheetName val="COHS Eligibles"/>
      <sheetName val="DOF request (2)"/>
      <sheetName val="DOF_request"/>
      <sheetName val="COHS_Eligibles"/>
      <sheetName val="DOF_request_(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 sheetId="7"/>
      <sheetData sheetId="8"/>
      <sheetData sheetId="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 val="SFY_17-18_(no_MCO_Tax)"/>
      <sheetName val="SFY_17-18_(MCO_Tax)"/>
      <sheetName val="SFY_17-18_(MCO_Tax_&amp;_Add-ons)"/>
      <sheetName val="RX_PMPM"/>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 val="1_-_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 val="File_Creator"/>
      <sheetName val="Text_File"/>
      <sheetName val="Final_MAC_-_Update_List"/>
      <sheetName val="Final_MAC_-_Complete_List"/>
      <sheetName val="NC_Mac"/>
      <sheetName val="Diabetic_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 val="SFY15-16_Jul-Dec15,ClassicOE"/>
      <sheetName val="SFY15-16_Jul-Dec15,_HepC"/>
      <sheetName val="SFY15-16_Jul-Dec15,_MLTSS"/>
      <sheetName val="SFY15-16_Jan-Jun16,_ClassicOE"/>
      <sheetName val="SFY15-16_Jan-Jun16,_HepC"/>
      <sheetName val="SFY15-16_Jan-Jun16,_MLTSS"/>
      <sheetName val="support_docs_==&gt;&gt;"/>
      <sheetName val="Crosswalk,_Classic_rates"/>
      <sheetName val="Crosswalk,_ACA_OE_rates"/>
      <sheetName val="Crosswalk,_HepC"/>
      <sheetName val="Crosswalk,_MLTSS_Non-Dual_rates"/>
      <sheetName val="Classic,_base"/>
      <sheetName val="Classic_SB_239_Impact_(LB)"/>
      <sheetName val="Classic_SB_239_Impact_(UB)"/>
      <sheetName val="Classic_SFY15-16_(239,_208,_78)"/>
      <sheetName val="Classic_HIPF_5-2-17"/>
      <sheetName val="Classic_HIPF_All_Plan_Summary"/>
      <sheetName val="ACA_OE_SFY15-16,_Base_"/>
      <sheetName val="ACAOE_SFY15-16(AB85,SB239,SB78)"/>
      <sheetName val="ACA_OE_SB_239_(LB)_Impact"/>
      <sheetName val="ACA_OE_SB_239_(UB)_Impact"/>
      <sheetName val="ACAOE_HIPF_All_Plan_Sum"/>
      <sheetName val="ACA_OE_Maternity_Summary-base"/>
      <sheetName val="ACA_OE_Maternity_Summary-SB_78"/>
      <sheetName val="Hepatitis_C_Statewide"/>
      <sheetName val="MLTSS_-_SD"/>
      <sheetName val="MLTSS_-_SB_239_(LB)_"/>
      <sheetName val="MLTSS_-_SB_239_(UB)"/>
      <sheetName val="MLTSS_-_HIPF"/>
      <sheetName val="RR_29"/>
      <sheetName val="RR_68"/>
      <sheetName val="RR_79"/>
      <sheetName val="RR_131"/>
      <sheetName val="RR_167"/>
      <sheetName val="RR_130"/>
      <sheetName val="RR_150"/>
      <sheetName val="RR_170"/>
      <sheetName val="RR_190"/>
      <sheetName val="CRCS_sheets,CBAS_(_CLASSIC_)=&gt;&gt;"/>
      <sheetName val="HNC_SDI"/>
      <sheetName val="CFH_SDI"/>
      <sheetName val="KFH_SDI"/>
      <sheetName val="MOL_SDI"/>
      <sheetName val="CHG_SDI"/>
      <sheetName val="ABC_SAC_"/>
      <sheetName val="HNC_SAC"/>
      <sheetName val="KFH_SAC"/>
      <sheetName val="MOL_SAC"/>
      <sheetName val="CRCS_sheets,_CBAS_(_OE_)==&gt;"/>
      <sheetName val="ABC_SAC,_OE"/>
      <sheetName val="HNC_SAC,_OE"/>
      <sheetName val="MOL_SAC,_OE"/>
      <sheetName val="KFH_SAC,_OE"/>
      <sheetName val="CFH_SDI,_OE"/>
      <sheetName val="CHG_SDI,_OE"/>
      <sheetName val="HNC_SDI,_OE"/>
      <sheetName val="KFH_SDI,_OE"/>
      <sheetName val="MOL_SDI,_OE"/>
      <sheetName val="SFY_15-16_BHT_Rate_(SB78)"/>
      <sheetName val="pck33_increments"/>
      <sheetName val="pck33_increments_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 val="Summary_1314_No_CBAS"/>
      <sheetName val="Summary_1314_with_CBAS"/>
      <sheetName val="COHS_lookup"/>
      <sheetName val="Vaccine_Admin_1"/>
      <sheetName val="E&amp;M_1"/>
      <sheetName val="Total_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138"/>
  <sheetViews>
    <sheetView tabSelected="1" topLeftCell="A98" zoomScale="70" zoomScaleNormal="70" workbookViewId="0">
      <selection activeCell="A137" sqref="A137"/>
    </sheetView>
  </sheetViews>
  <sheetFormatPr defaultColWidth="0" defaultRowHeight="19.2" x14ac:dyDescent="0.45"/>
  <cols>
    <col min="1" max="1" width="14.44140625" style="157" customWidth="1"/>
    <col min="2" max="2" width="71.6640625" style="110" bestFit="1" customWidth="1"/>
    <col min="3" max="3" width="31.88671875" style="110" bestFit="1" customWidth="1"/>
    <col min="4" max="4" width="18" style="155" bestFit="1" customWidth="1"/>
    <col min="5" max="6" width="15.44140625" style="155" customWidth="1"/>
    <col min="7" max="8" width="16.5546875" style="155" customWidth="1"/>
    <col min="9" max="9" width="18.44140625" style="110" customWidth="1"/>
    <col min="10" max="10" width="18" style="155" bestFit="1" customWidth="1"/>
    <col min="11" max="12" width="16.5546875" style="155" customWidth="1"/>
    <col min="13" max="13" width="16.44140625" style="155" customWidth="1"/>
    <col min="14" max="14" width="15.44140625" style="155" customWidth="1"/>
    <col min="15" max="15" width="18.44140625" style="110" customWidth="1"/>
    <col min="16" max="16" width="17.5546875" style="155" customWidth="1"/>
    <col min="17" max="18" width="16.5546875" style="155" customWidth="1"/>
    <col min="19" max="20" width="16.44140625" style="155" customWidth="1"/>
    <col min="21" max="21" width="19.44140625" style="156" customWidth="1"/>
    <col min="22" max="23" width="9.44140625" style="110" hidden="1" customWidth="1"/>
    <col min="24" max="24" width="12.44140625" style="110" hidden="1" customWidth="1"/>
    <col min="25" max="16384" width="8.5546875" style="110" hidden="1"/>
  </cols>
  <sheetData>
    <row r="1" spans="1:21" s="2" customFormat="1" ht="20.399999999999999" x14ac:dyDescent="0.45">
      <c r="A1" s="174" t="s">
        <v>0</v>
      </c>
      <c r="B1" s="1"/>
      <c r="C1" s="1"/>
      <c r="D1" s="1"/>
      <c r="E1" s="1"/>
      <c r="F1" s="1"/>
      <c r="G1" s="1"/>
      <c r="H1" s="1"/>
      <c r="I1" s="1"/>
      <c r="J1" s="1"/>
      <c r="K1" s="1"/>
      <c r="L1" s="1"/>
      <c r="M1" s="1"/>
      <c r="N1" s="1"/>
      <c r="O1" s="1"/>
      <c r="P1" s="1"/>
      <c r="Q1" s="1"/>
      <c r="R1" s="1"/>
      <c r="S1" s="1"/>
      <c r="T1" s="1"/>
      <c r="U1" s="1"/>
    </row>
    <row r="2" spans="1:21" s="2" customFormat="1" ht="20.399999999999999" x14ac:dyDescent="0.45">
      <c r="A2" s="174" t="s">
        <v>1</v>
      </c>
      <c r="B2" s="1"/>
      <c r="C2" s="1"/>
      <c r="D2" s="1"/>
      <c r="E2" s="1"/>
      <c r="F2" s="1"/>
      <c r="G2" s="1"/>
      <c r="H2" s="1"/>
      <c r="I2" s="1"/>
      <c r="J2" s="1"/>
      <c r="K2" s="1"/>
      <c r="L2" s="1"/>
      <c r="M2" s="1"/>
      <c r="N2" s="1"/>
      <c r="O2" s="1"/>
      <c r="P2" s="1"/>
      <c r="Q2" s="1"/>
      <c r="R2" s="1"/>
      <c r="S2" s="1"/>
      <c r="T2" s="1"/>
      <c r="U2" s="1"/>
    </row>
    <row r="3" spans="1:21" s="2" customFormat="1" ht="20.399999999999999" x14ac:dyDescent="0.45">
      <c r="A3" s="174" t="s">
        <v>2</v>
      </c>
      <c r="B3" s="1"/>
      <c r="C3" s="1"/>
      <c r="D3" s="1"/>
      <c r="E3" s="1"/>
      <c r="F3" s="1"/>
      <c r="G3" s="1"/>
      <c r="H3" s="1"/>
      <c r="I3" s="1"/>
      <c r="J3" s="1"/>
      <c r="K3" s="1"/>
      <c r="L3" s="1"/>
      <c r="M3" s="1"/>
      <c r="N3" s="1"/>
      <c r="O3" s="1"/>
      <c r="P3" s="1"/>
      <c r="Q3" s="1"/>
      <c r="R3" s="1"/>
      <c r="S3" s="1"/>
      <c r="T3" s="1"/>
      <c r="U3" s="1"/>
    </row>
    <row r="4" spans="1:21" s="2" customFormat="1" ht="20.399999999999999" x14ac:dyDescent="0.45">
      <c r="A4" s="174" t="s">
        <v>3</v>
      </c>
      <c r="B4" s="1"/>
      <c r="C4" s="1"/>
      <c r="D4" s="1"/>
      <c r="E4" s="1"/>
      <c r="F4" s="1"/>
      <c r="G4" s="1"/>
      <c r="H4" s="1"/>
      <c r="I4" s="1"/>
      <c r="J4" s="1"/>
      <c r="K4" s="1"/>
      <c r="L4" s="1"/>
      <c r="M4" s="1"/>
      <c r="N4" s="1"/>
      <c r="O4" s="1"/>
      <c r="P4" s="1"/>
      <c r="Q4" s="1"/>
      <c r="R4" s="1"/>
      <c r="S4" s="1"/>
      <c r="T4" s="1"/>
      <c r="U4" s="1"/>
    </row>
    <row r="5" spans="1:21" s="2" customFormat="1" x14ac:dyDescent="0.45">
      <c r="A5" s="3" t="s">
        <v>4</v>
      </c>
      <c r="B5" s="4"/>
      <c r="C5" s="4"/>
      <c r="D5" s="5"/>
      <c r="E5" s="5"/>
      <c r="F5" s="5"/>
      <c r="G5" s="5"/>
      <c r="H5" s="6"/>
      <c r="I5" s="4"/>
      <c r="J5" s="6"/>
      <c r="K5" s="6"/>
      <c r="L5" s="6"/>
      <c r="M5" s="6"/>
      <c r="N5" s="6"/>
      <c r="O5" s="4"/>
      <c r="P5" s="6"/>
      <c r="Q5" s="6"/>
      <c r="R5" s="6"/>
      <c r="S5" s="6"/>
      <c r="T5" s="6"/>
      <c r="U5" s="7"/>
    </row>
    <row r="6" spans="1:21" s="2" customFormat="1" x14ac:dyDescent="0.45">
      <c r="A6" s="8" t="s">
        <v>35</v>
      </c>
      <c r="B6" s="9"/>
      <c r="C6" s="9"/>
      <c r="D6" s="9"/>
      <c r="E6" s="9"/>
      <c r="F6" s="9"/>
      <c r="G6" s="9"/>
      <c r="H6" s="9"/>
      <c r="I6" s="9"/>
      <c r="J6" s="9"/>
      <c r="K6" s="9"/>
      <c r="L6" s="9"/>
      <c r="M6" s="9"/>
      <c r="N6" s="9"/>
      <c r="O6" s="9"/>
      <c r="P6" s="9"/>
      <c r="Q6" s="9"/>
      <c r="R6" s="9"/>
      <c r="S6" s="9"/>
      <c r="T6" s="9"/>
      <c r="U6" s="10"/>
    </row>
    <row r="7" spans="1:21" s="20" customFormat="1" x14ac:dyDescent="0.45">
      <c r="A7" s="11" t="s">
        <v>36</v>
      </c>
      <c r="B7" s="12"/>
      <c r="C7" s="13"/>
      <c r="D7" s="14" t="s">
        <v>37</v>
      </c>
      <c r="E7" s="15"/>
      <c r="F7" s="15"/>
      <c r="G7" s="15"/>
      <c r="H7" s="15"/>
      <c r="I7" s="16"/>
      <c r="J7" s="14" t="s">
        <v>38</v>
      </c>
      <c r="K7" s="15"/>
      <c r="L7" s="15"/>
      <c r="M7" s="15"/>
      <c r="N7" s="15"/>
      <c r="O7" s="16"/>
      <c r="P7" s="17" t="s">
        <v>5</v>
      </c>
      <c r="Q7" s="18"/>
      <c r="R7" s="18"/>
      <c r="S7" s="18"/>
      <c r="T7" s="18"/>
      <c r="U7" s="19"/>
    </row>
    <row r="8" spans="1:21" s="20" customFormat="1" ht="19.8" thickBot="1" x14ac:dyDescent="0.5">
      <c r="A8" s="21" t="s">
        <v>6</v>
      </c>
      <c r="B8" s="22" t="s">
        <v>7</v>
      </c>
      <c r="C8" s="23" t="s">
        <v>8</v>
      </c>
      <c r="D8" s="24" t="s">
        <v>39</v>
      </c>
      <c r="E8" s="25" t="s">
        <v>40</v>
      </c>
      <c r="F8" s="170" t="str">
        <f>HYPERLINK("#A41","N23 SF 2,8")</f>
        <v>N23 SF 2,8</v>
      </c>
      <c r="G8" s="25" t="s">
        <v>41</v>
      </c>
      <c r="H8" s="27" t="s">
        <v>42</v>
      </c>
      <c r="I8" s="28" t="s">
        <v>43</v>
      </c>
      <c r="J8" s="24" t="s">
        <v>44</v>
      </c>
      <c r="K8" s="26" t="s">
        <v>45</v>
      </c>
      <c r="L8" s="170" t="str">
        <f>HYPERLINK("#A47","M24 SF 2,8")</f>
        <v>M24 SF 2,8</v>
      </c>
      <c r="M8" s="26" t="s">
        <v>46</v>
      </c>
      <c r="N8" s="29" t="s">
        <v>66</v>
      </c>
      <c r="O8" s="22" t="s">
        <v>47</v>
      </c>
      <c r="P8" s="30" t="s">
        <v>9</v>
      </c>
      <c r="Q8" s="26" t="s">
        <v>10</v>
      </c>
      <c r="R8" s="26" t="s">
        <v>11</v>
      </c>
      <c r="S8" s="26" t="s">
        <v>12</v>
      </c>
      <c r="T8" s="29" t="s">
        <v>13</v>
      </c>
      <c r="U8" s="31" t="s">
        <v>14</v>
      </c>
    </row>
    <row r="9" spans="1:21" s="2" customFormat="1" x14ac:dyDescent="0.45">
      <c r="A9" s="32" t="s">
        <v>52</v>
      </c>
      <c r="B9" s="171" t="str">
        <f>HYPERLINK("#A40","DRUG MEDI-CAL ORGANIZED DELIVERY SYSTEM WAIVER 1")</f>
        <v>DRUG MEDI-CAL ORGANIZED DELIVERY SYSTEM WAIVER 1</v>
      </c>
      <c r="C9" s="33"/>
      <c r="D9" s="34">
        <f t="shared" ref="D9:O9" si="0">SUM(D10:D13)</f>
        <v>934983</v>
      </c>
      <c r="E9" s="35">
        <f t="shared" si="0"/>
        <v>137902</v>
      </c>
      <c r="F9" s="35">
        <f t="shared" si="0"/>
        <v>55634</v>
      </c>
      <c r="G9" s="35">
        <f t="shared" si="0"/>
        <v>715223</v>
      </c>
      <c r="H9" s="35">
        <f t="shared" si="0"/>
        <v>26224</v>
      </c>
      <c r="I9" s="36">
        <f t="shared" si="0"/>
        <v>0</v>
      </c>
      <c r="J9" s="34">
        <f t="shared" si="0"/>
        <v>705637</v>
      </c>
      <c r="K9" s="35">
        <f t="shared" si="0"/>
        <v>95591</v>
      </c>
      <c r="L9" s="35">
        <f t="shared" si="0"/>
        <v>50577</v>
      </c>
      <c r="M9" s="35">
        <f t="shared" si="0"/>
        <v>538874</v>
      </c>
      <c r="N9" s="35">
        <f t="shared" si="0"/>
        <v>20595</v>
      </c>
      <c r="O9" s="36">
        <f t="shared" si="0"/>
        <v>0</v>
      </c>
      <c r="P9" s="34">
        <f t="shared" ref="P9:U19" si="1">J9-D9</f>
        <v>-229346</v>
      </c>
      <c r="Q9" s="35">
        <f t="shared" si="1"/>
        <v>-42311</v>
      </c>
      <c r="R9" s="35">
        <f t="shared" si="1"/>
        <v>-5057</v>
      </c>
      <c r="S9" s="35">
        <f t="shared" si="1"/>
        <v>-176349</v>
      </c>
      <c r="T9" s="35">
        <f t="shared" si="1"/>
        <v>-5629</v>
      </c>
      <c r="U9" s="37">
        <f t="shared" si="1"/>
        <v>0</v>
      </c>
    </row>
    <row r="10" spans="1:21" s="2" customFormat="1" x14ac:dyDescent="0.45">
      <c r="A10" s="38" t="s">
        <v>52</v>
      </c>
      <c r="B10" s="39" t="s">
        <v>15</v>
      </c>
      <c r="C10" s="40" t="s">
        <v>16</v>
      </c>
      <c r="D10" s="41">
        <f>SUM(E10:H10)</f>
        <v>319278</v>
      </c>
      <c r="E10" s="42">
        <v>87065</v>
      </c>
      <c r="F10" s="42">
        <v>47067</v>
      </c>
      <c r="G10" s="42">
        <v>163453</v>
      </c>
      <c r="H10" s="42">
        <v>21693</v>
      </c>
      <c r="I10" s="43">
        <v>0</v>
      </c>
      <c r="J10" s="41">
        <f t="shared" ref="J10:J13" si="2">SUM(K10:N10)</f>
        <v>243532</v>
      </c>
      <c r="K10" s="44">
        <v>56337</v>
      </c>
      <c r="L10" s="44">
        <v>44527</v>
      </c>
      <c r="M10" s="44">
        <f>121637+3125</f>
        <v>124762</v>
      </c>
      <c r="N10" s="44">
        <v>17906</v>
      </c>
      <c r="O10" s="45">
        <v>0</v>
      </c>
      <c r="P10" s="41">
        <f t="shared" si="1"/>
        <v>-75746</v>
      </c>
      <c r="Q10" s="44">
        <f t="shared" si="1"/>
        <v>-30728</v>
      </c>
      <c r="R10" s="44">
        <f t="shared" si="1"/>
        <v>-2540</v>
      </c>
      <c r="S10" s="44">
        <f t="shared" si="1"/>
        <v>-38691</v>
      </c>
      <c r="T10" s="44">
        <f t="shared" si="1"/>
        <v>-3787</v>
      </c>
      <c r="U10" s="46">
        <f t="shared" si="1"/>
        <v>0</v>
      </c>
    </row>
    <row r="11" spans="1:21" s="2" customFormat="1" x14ac:dyDescent="0.45">
      <c r="A11" s="38" t="s">
        <v>52</v>
      </c>
      <c r="B11" s="39" t="s">
        <v>17</v>
      </c>
      <c r="C11" s="40" t="s">
        <v>18</v>
      </c>
      <c r="D11" s="41">
        <f>SUM(E11:H11)</f>
        <v>607601</v>
      </c>
      <c r="E11" s="42">
        <v>50638</v>
      </c>
      <c r="F11" s="42">
        <v>6569</v>
      </c>
      <c r="G11" s="42">
        <v>546841</v>
      </c>
      <c r="H11" s="42">
        <v>3553</v>
      </c>
      <c r="I11" s="43">
        <v>0</v>
      </c>
      <c r="J11" s="41">
        <f t="shared" si="2"/>
        <v>456004</v>
      </c>
      <c r="K11" s="44">
        <v>39105</v>
      </c>
      <c r="L11" s="44">
        <v>4467</v>
      </c>
      <c r="M11" s="44">
        <v>410404</v>
      </c>
      <c r="N11" s="44">
        <v>2028</v>
      </c>
      <c r="O11" s="45">
        <v>0</v>
      </c>
      <c r="P11" s="41">
        <f t="shared" si="1"/>
        <v>-151597</v>
      </c>
      <c r="Q11" s="44">
        <f t="shared" si="1"/>
        <v>-11533</v>
      </c>
      <c r="R11" s="44">
        <f t="shared" si="1"/>
        <v>-2102</v>
      </c>
      <c r="S11" s="44">
        <f t="shared" si="1"/>
        <v>-136437</v>
      </c>
      <c r="T11" s="44">
        <f t="shared" si="1"/>
        <v>-1525</v>
      </c>
      <c r="U11" s="46">
        <f t="shared" si="1"/>
        <v>0</v>
      </c>
    </row>
    <row r="12" spans="1:21" s="2" customFormat="1" x14ac:dyDescent="0.45">
      <c r="A12" s="38" t="s">
        <v>52</v>
      </c>
      <c r="B12" s="39" t="s">
        <v>19</v>
      </c>
      <c r="C12" s="40" t="s">
        <v>16</v>
      </c>
      <c r="D12" s="41">
        <f>SUM(E12:H12)</f>
        <v>6115</v>
      </c>
      <c r="E12" s="42">
        <v>0</v>
      </c>
      <c r="F12" s="42">
        <v>1998</v>
      </c>
      <c r="G12" s="42">
        <v>3139</v>
      </c>
      <c r="H12" s="42">
        <v>978</v>
      </c>
      <c r="I12" s="43">
        <v>0</v>
      </c>
      <c r="J12" s="41">
        <f t="shared" si="2"/>
        <v>4608</v>
      </c>
      <c r="K12" s="44">
        <v>0</v>
      </c>
      <c r="L12" s="44">
        <v>1583</v>
      </c>
      <c r="M12" s="44">
        <f>2304+60</f>
        <v>2364</v>
      </c>
      <c r="N12" s="44">
        <v>661</v>
      </c>
      <c r="O12" s="45">
        <v>0</v>
      </c>
      <c r="P12" s="41">
        <f t="shared" si="1"/>
        <v>-1507</v>
      </c>
      <c r="Q12" s="44">
        <f t="shared" si="1"/>
        <v>0</v>
      </c>
      <c r="R12" s="44">
        <f t="shared" si="1"/>
        <v>-415</v>
      </c>
      <c r="S12" s="44">
        <f t="shared" si="1"/>
        <v>-775</v>
      </c>
      <c r="T12" s="44">
        <f t="shared" si="1"/>
        <v>-317</v>
      </c>
      <c r="U12" s="46">
        <f t="shared" si="1"/>
        <v>0</v>
      </c>
    </row>
    <row r="13" spans="1:21" s="2" customFormat="1" ht="19.8" thickBot="1" x14ac:dyDescent="0.5">
      <c r="A13" s="38" t="s">
        <v>52</v>
      </c>
      <c r="B13" s="39" t="s">
        <v>19</v>
      </c>
      <c r="C13" s="40" t="s">
        <v>20</v>
      </c>
      <c r="D13" s="47">
        <f>SUM(E13:H13)</f>
        <v>1989</v>
      </c>
      <c r="E13" s="48">
        <v>199</v>
      </c>
      <c r="F13" s="48">
        <v>0</v>
      </c>
      <c r="G13" s="48">
        <v>1790</v>
      </c>
      <c r="H13" s="48">
        <v>0</v>
      </c>
      <c r="I13" s="49">
        <v>0</v>
      </c>
      <c r="J13" s="47">
        <f t="shared" si="2"/>
        <v>1493</v>
      </c>
      <c r="K13" s="50">
        <v>149</v>
      </c>
      <c r="L13" s="50">
        <v>0</v>
      </c>
      <c r="M13" s="50">
        <v>1344</v>
      </c>
      <c r="N13" s="50">
        <v>0</v>
      </c>
      <c r="O13" s="51">
        <v>0</v>
      </c>
      <c r="P13" s="41">
        <f t="shared" si="1"/>
        <v>-496</v>
      </c>
      <c r="Q13" s="44">
        <f t="shared" si="1"/>
        <v>-50</v>
      </c>
      <c r="R13" s="44">
        <f t="shared" si="1"/>
        <v>0</v>
      </c>
      <c r="S13" s="44">
        <f t="shared" si="1"/>
        <v>-446</v>
      </c>
      <c r="T13" s="44">
        <f t="shared" si="1"/>
        <v>0</v>
      </c>
      <c r="U13" s="46">
        <f t="shared" si="1"/>
        <v>0</v>
      </c>
    </row>
    <row r="14" spans="1:21" s="2" customFormat="1" x14ac:dyDescent="0.45">
      <c r="A14" s="32" t="s">
        <v>53</v>
      </c>
      <c r="B14" s="52" t="s">
        <v>21</v>
      </c>
      <c r="C14" s="52"/>
      <c r="D14" s="53">
        <f t="shared" ref="D14:O14" si="3">SUM(D15:D18)</f>
        <v>12728</v>
      </c>
      <c r="E14" s="54">
        <f t="shared" si="3"/>
        <v>861</v>
      </c>
      <c r="F14" s="54">
        <f t="shared" si="3"/>
        <v>0</v>
      </c>
      <c r="G14" s="54">
        <f t="shared" si="3"/>
        <v>9390</v>
      </c>
      <c r="H14" s="54">
        <f t="shared" si="3"/>
        <v>2477</v>
      </c>
      <c r="I14" s="55">
        <f t="shared" si="3"/>
        <v>1262.4166666666665</v>
      </c>
      <c r="J14" s="53">
        <f t="shared" si="3"/>
        <v>12728</v>
      </c>
      <c r="K14" s="54">
        <f t="shared" si="3"/>
        <v>861</v>
      </c>
      <c r="L14" s="54">
        <f t="shared" si="3"/>
        <v>0</v>
      </c>
      <c r="M14" s="54">
        <f t="shared" si="3"/>
        <v>9390</v>
      </c>
      <c r="N14" s="54">
        <f t="shared" si="3"/>
        <v>2477</v>
      </c>
      <c r="O14" s="56">
        <f t="shared" si="3"/>
        <v>1262.4166666666665</v>
      </c>
      <c r="P14" s="34">
        <f t="shared" si="1"/>
        <v>0</v>
      </c>
      <c r="Q14" s="35">
        <f t="shared" si="1"/>
        <v>0</v>
      </c>
      <c r="R14" s="35">
        <f t="shared" si="1"/>
        <v>0</v>
      </c>
      <c r="S14" s="35">
        <f t="shared" si="1"/>
        <v>0</v>
      </c>
      <c r="T14" s="35">
        <f t="shared" si="1"/>
        <v>0</v>
      </c>
      <c r="U14" s="37">
        <f t="shared" si="1"/>
        <v>0</v>
      </c>
    </row>
    <row r="15" spans="1:21" s="2" customFormat="1" x14ac:dyDescent="0.45">
      <c r="A15" s="38" t="s">
        <v>53</v>
      </c>
      <c r="B15" s="40" t="s">
        <v>17</v>
      </c>
      <c r="C15" s="40" t="s">
        <v>16</v>
      </c>
      <c r="D15" s="41">
        <f>SUM(E15:H15)</f>
        <v>5071</v>
      </c>
      <c r="E15" s="42">
        <v>105</v>
      </c>
      <c r="F15" s="42">
        <v>0</v>
      </c>
      <c r="G15" s="42">
        <v>2539</v>
      </c>
      <c r="H15" s="42">
        <v>2427</v>
      </c>
      <c r="I15" s="57">
        <v>531.66666666666663</v>
      </c>
      <c r="J15" s="41">
        <f>SUM(K15:N15)</f>
        <v>5071</v>
      </c>
      <c r="K15" s="42">
        <v>105</v>
      </c>
      <c r="L15" s="42">
        <v>0</v>
      </c>
      <c r="M15" s="42">
        <v>2539</v>
      </c>
      <c r="N15" s="42">
        <v>2427</v>
      </c>
      <c r="O15" s="57">
        <v>531.66666666666663</v>
      </c>
      <c r="P15" s="41">
        <f>J15-D15</f>
        <v>0</v>
      </c>
      <c r="Q15" s="44">
        <f t="shared" si="1"/>
        <v>0</v>
      </c>
      <c r="R15" s="44">
        <f t="shared" si="1"/>
        <v>0</v>
      </c>
      <c r="S15" s="44">
        <f t="shared" si="1"/>
        <v>0</v>
      </c>
      <c r="T15" s="44">
        <f t="shared" si="1"/>
        <v>0</v>
      </c>
      <c r="U15" s="46">
        <f>O15-I15</f>
        <v>0</v>
      </c>
    </row>
    <row r="16" spans="1:21" s="2" customFormat="1" x14ac:dyDescent="0.45">
      <c r="A16" s="38" t="s">
        <v>53</v>
      </c>
      <c r="B16" s="40" t="s">
        <v>17</v>
      </c>
      <c r="C16" s="40" t="s">
        <v>18</v>
      </c>
      <c r="D16" s="41">
        <f>SUM(E16:H16)</f>
        <v>7547</v>
      </c>
      <c r="E16" s="42">
        <v>755</v>
      </c>
      <c r="F16" s="42">
        <v>0</v>
      </c>
      <c r="G16" s="42">
        <v>6792</v>
      </c>
      <c r="H16" s="42">
        <v>0</v>
      </c>
      <c r="I16" s="57">
        <v>729.58333333333326</v>
      </c>
      <c r="J16" s="41">
        <f>SUM(K16:N16)</f>
        <v>7547</v>
      </c>
      <c r="K16" s="42">
        <v>755</v>
      </c>
      <c r="L16" s="42">
        <v>0</v>
      </c>
      <c r="M16" s="42">
        <v>6792</v>
      </c>
      <c r="N16" s="42">
        <v>0</v>
      </c>
      <c r="O16" s="57">
        <v>729.58333333333326</v>
      </c>
      <c r="P16" s="41">
        <f t="shared" ref="P16:P19" si="4">J16-D16</f>
        <v>0</v>
      </c>
      <c r="Q16" s="44">
        <f t="shared" si="1"/>
        <v>0</v>
      </c>
      <c r="R16" s="44">
        <f t="shared" si="1"/>
        <v>0</v>
      </c>
      <c r="S16" s="44">
        <f t="shared" si="1"/>
        <v>0</v>
      </c>
      <c r="T16" s="44">
        <f t="shared" si="1"/>
        <v>0</v>
      </c>
      <c r="U16" s="46">
        <f t="shared" si="1"/>
        <v>0</v>
      </c>
    </row>
    <row r="17" spans="1:27" s="2" customFormat="1" x14ac:dyDescent="0.45">
      <c r="A17" s="38" t="s">
        <v>53</v>
      </c>
      <c r="B17" s="40" t="s">
        <v>19</v>
      </c>
      <c r="C17" s="40" t="s">
        <v>16</v>
      </c>
      <c r="D17" s="41">
        <f>SUM(E17:H17)</f>
        <v>100</v>
      </c>
      <c r="E17" s="42">
        <v>0</v>
      </c>
      <c r="F17" s="42">
        <v>0</v>
      </c>
      <c r="G17" s="42">
        <v>50</v>
      </c>
      <c r="H17" s="42">
        <v>50</v>
      </c>
      <c r="I17" s="57">
        <v>0.83333333333333337</v>
      </c>
      <c r="J17" s="41">
        <f>SUM(K17:N17)</f>
        <v>100</v>
      </c>
      <c r="K17" s="42">
        <v>0</v>
      </c>
      <c r="L17" s="42">
        <v>0</v>
      </c>
      <c r="M17" s="42">
        <v>50</v>
      </c>
      <c r="N17" s="42">
        <v>50</v>
      </c>
      <c r="O17" s="57">
        <v>0.83333333333333337</v>
      </c>
      <c r="P17" s="41">
        <f t="shared" si="4"/>
        <v>0</v>
      </c>
      <c r="Q17" s="44">
        <f t="shared" si="1"/>
        <v>0</v>
      </c>
      <c r="R17" s="44">
        <f t="shared" si="1"/>
        <v>0</v>
      </c>
      <c r="S17" s="44">
        <f t="shared" si="1"/>
        <v>0</v>
      </c>
      <c r="T17" s="44">
        <f t="shared" si="1"/>
        <v>0</v>
      </c>
      <c r="U17" s="46">
        <f t="shared" si="1"/>
        <v>0</v>
      </c>
    </row>
    <row r="18" spans="1:27" s="2" customFormat="1" ht="19.8" thickBot="1" x14ac:dyDescent="0.5">
      <c r="A18" s="38" t="s">
        <v>53</v>
      </c>
      <c r="B18" s="40" t="s">
        <v>19</v>
      </c>
      <c r="C18" s="40" t="s">
        <v>20</v>
      </c>
      <c r="D18" s="47">
        <f>SUM(E18:H18)</f>
        <v>10</v>
      </c>
      <c r="E18" s="48">
        <v>1</v>
      </c>
      <c r="F18" s="48">
        <v>0</v>
      </c>
      <c r="G18" s="48">
        <v>9</v>
      </c>
      <c r="H18" s="48">
        <v>0</v>
      </c>
      <c r="I18" s="58">
        <v>0.33333333333333331</v>
      </c>
      <c r="J18" s="47">
        <f>SUM(K18:N18)</f>
        <v>10</v>
      </c>
      <c r="K18" s="48">
        <v>1</v>
      </c>
      <c r="L18" s="48">
        <v>0</v>
      </c>
      <c r="M18" s="48">
        <v>9</v>
      </c>
      <c r="N18" s="48">
        <v>0</v>
      </c>
      <c r="O18" s="58">
        <v>0.33333333333333331</v>
      </c>
      <c r="P18" s="47">
        <f t="shared" si="4"/>
        <v>0</v>
      </c>
      <c r="Q18" s="50">
        <f t="shared" si="1"/>
        <v>0</v>
      </c>
      <c r="R18" s="50">
        <f t="shared" si="1"/>
        <v>0</v>
      </c>
      <c r="S18" s="50">
        <f t="shared" si="1"/>
        <v>0</v>
      </c>
      <c r="T18" s="50">
        <f t="shared" si="1"/>
        <v>0</v>
      </c>
      <c r="U18" s="59">
        <f t="shared" si="1"/>
        <v>0</v>
      </c>
    </row>
    <row r="19" spans="1:27" s="2" customFormat="1" ht="19.8" thickBot="1" x14ac:dyDescent="0.5">
      <c r="A19" s="32" t="s">
        <v>54</v>
      </c>
      <c r="B19" s="171" t="str">
        <f>HYPERLINK("#A41","HCBS SP - CONTINGENCY MANAGEMENT 2")</f>
        <v>HCBS SP - CONTINGENCY MANAGEMENT 2</v>
      </c>
      <c r="C19" s="60"/>
      <c r="D19" s="61">
        <f t="shared" ref="D19" si="5">SUM(E19:H19)</f>
        <v>21562</v>
      </c>
      <c r="E19" s="62">
        <v>0</v>
      </c>
      <c r="F19" s="62">
        <v>5015</v>
      </c>
      <c r="G19" s="62">
        <v>16547</v>
      </c>
      <c r="H19" s="62">
        <v>0</v>
      </c>
      <c r="I19" s="63">
        <v>0</v>
      </c>
      <c r="J19" s="61">
        <f t="shared" ref="J19" si="6">SUM(K19:N19)</f>
        <v>18739</v>
      </c>
      <c r="K19" s="64">
        <v>0</v>
      </c>
      <c r="L19" s="64">
        <v>4386</v>
      </c>
      <c r="M19" s="64">
        <f>14289+64</f>
        <v>14353</v>
      </c>
      <c r="N19" s="64">
        <v>0</v>
      </c>
      <c r="O19" s="65">
        <v>0</v>
      </c>
      <c r="P19" s="61">
        <f t="shared" si="4"/>
        <v>-2823</v>
      </c>
      <c r="Q19" s="64">
        <f t="shared" si="1"/>
        <v>0</v>
      </c>
      <c r="R19" s="64">
        <f t="shared" si="1"/>
        <v>-629</v>
      </c>
      <c r="S19" s="64">
        <f t="shared" si="1"/>
        <v>-2194</v>
      </c>
      <c r="T19" s="64">
        <f t="shared" si="1"/>
        <v>0</v>
      </c>
      <c r="U19" s="66">
        <f t="shared" si="1"/>
        <v>0</v>
      </c>
    </row>
    <row r="20" spans="1:27" s="2" customFormat="1" x14ac:dyDescent="0.45">
      <c r="A20" s="32" t="s">
        <v>55</v>
      </c>
      <c r="B20" s="52" t="s">
        <v>22</v>
      </c>
      <c r="C20" s="52"/>
      <c r="D20" s="34">
        <f>SUM(D21:D24)</f>
        <v>14999</v>
      </c>
      <c r="E20" s="35">
        <f t="shared" ref="E20:O20" si="7">SUM(E21:E24)</f>
        <v>942</v>
      </c>
      <c r="F20" s="35">
        <f t="shared" si="7"/>
        <v>3061</v>
      </c>
      <c r="G20" s="35">
        <f t="shared" si="7"/>
        <v>10996</v>
      </c>
      <c r="H20" s="35">
        <f t="shared" si="7"/>
        <v>0</v>
      </c>
      <c r="I20" s="67">
        <f t="shared" si="7"/>
        <v>0</v>
      </c>
      <c r="J20" s="34">
        <f t="shared" si="7"/>
        <v>14999</v>
      </c>
      <c r="K20" s="35">
        <f>SUM(K21:K24)</f>
        <v>942</v>
      </c>
      <c r="L20" s="35">
        <f>SUM(L21:L24)</f>
        <v>3061</v>
      </c>
      <c r="M20" s="35">
        <f t="shared" si="7"/>
        <v>10996</v>
      </c>
      <c r="N20" s="35">
        <f t="shared" si="7"/>
        <v>0</v>
      </c>
      <c r="O20" s="36">
        <f t="shared" si="7"/>
        <v>0</v>
      </c>
      <c r="P20" s="35">
        <f t="shared" ref="P20:P21" si="8">J20-D20</f>
        <v>0</v>
      </c>
      <c r="Q20" s="35">
        <f t="shared" ref="Q20:U24" si="9">K20-E20</f>
        <v>0</v>
      </c>
      <c r="R20" s="35">
        <f t="shared" si="9"/>
        <v>0</v>
      </c>
      <c r="S20" s="35">
        <f t="shared" si="9"/>
        <v>0</v>
      </c>
      <c r="T20" s="35">
        <f t="shared" si="9"/>
        <v>0</v>
      </c>
      <c r="U20" s="37">
        <f t="shared" si="9"/>
        <v>0</v>
      </c>
      <c r="V20" s="68"/>
    </row>
    <row r="21" spans="1:27" s="2" customFormat="1" x14ac:dyDescent="0.45">
      <c r="A21" s="38" t="s">
        <v>55</v>
      </c>
      <c r="B21" s="39" t="s">
        <v>17</v>
      </c>
      <c r="C21" s="39" t="s">
        <v>16</v>
      </c>
      <c r="D21" s="41">
        <f t="shared" ref="D21:D24" si="10">SUM(E21:H21)</f>
        <v>6366</v>
      </c>
      <c r="E21" s="42">
        <v>86</v>
      </c>
      <c r="F21" s="42">
        <v>3029</v>
      </c>
      <c r="G21" s="42">
        <v>3251</v>
      </c>
      <c r="H21" s="42">
        <v>0</v>
      </c>
      <c r="I21" s="57">
        <v>0</v>
      </c>
      <c r="J21" s="41">
        <f>SUM(K21:N21)</f>
        <v>6366</v>
      </c>
      <c r="K21" s="42">
        <v>86</v>
      </c>
      <c r="L21" s="42">
        <v>3029</v>
      </c>
      <c r="M21" s="42">
        <v>3251</v>
      </c>
      <c r="N21" s="42">
        <v>0</v>
      </c>
      <c r="O21" s="57">
        <v>0</v>
      </c>
      <c r="P21" s="44">
        <f t="shared" si="8"/>
        <v>0</v>
      </c>
      <c r="Q21" s="44">
        <f t="shared" si="9"/>
        <v>0</v>
      </c>
      <c r="R21" s="44">
        <f t="shared" si="9"/>
        <v>0</v>
      </c>
      <c r="S21" s="44">
        <f t="shared" si="9"/>
        <v>0</v>
      </c>
      <c r="T21" s="44">
        <f t="shared" si="9"/>
        <v>0</v>
      </c>
      <c r="U21" s="69">
        <f t="shared" si="9"/>
        <v>0</v>
      </c>
      <c r="V21" s="68"/>
    </row>
    <row r="22" spans="1:27" s="2" customFormat="1" x14ac:dyDescent="0.45">
      <c r="A22" s="38" t="s">
        <v>55</v>
      </c>
      <c r="B22" s="39" t="s">
        <v>17</v>
      </c>
      <c r="C22" s="39" t="s">
        <v>20</v>
      </c>
      <c r="D22" s="41">
        <f t="shared" si="10"/>
        <v>8564</v>
      </c>
      <c r="E22" s="42">
        <v>856</v>
      </c>
      <c r="F22" s="42">
        <v>0</v>
      </c>
      <c r="G22" s="42">
        <v>7708</v>
      </c>
      <c r="H22" s="42">
        <v>0</v>
      </c>
      <c r="I22" s="57">
        <v>0</v>
      </c>
      <c r="J22" s="41">
        <f>SUM(K22:N22)</f>
        <v>8564</v>
      </c>
      <c r="K22" s="42">
        <v>856</v>
      </c>
      <c r="L22" s="42">
        <v>0</v>
      </c>
      <c r="M22" s="42">
        <v>7708</v>
      </c>
      <c r="N22" s="42">
        <v>0</v>
      </c>
      <c r="O22" s="57">
        <v>0</v>
      </c>
      <c r="P22" s="44">
        <f>J22-D22</f>
        <v>0</v>
      </c>
      <c r="Q22" s="44">
        <f t="shared" si="9"/>
        <v>0</v>
      </c>
      <c r="R22" s="44">
        <f t="shared" si="9"/>
        <v>0</v>
      </c>
      <c r="S22" s="44">
        <f t="shared" si="9"/>
        <v>0</v>
      </c>
      <c r="T22" s="44">
        <f t="shared" si="9"/>
        <v>0</v>
      </c>
      <c r="U22" s="69">
        <f t="shared" si="9"/>
        <v>0</v>
      </c>
      <c r="V22" s="68"/>
    </row>
    <row r="23" spans="1:27" s="2" customFormat="1" x14ac:dyDescent="0.45">
      <c r="A23" s="38" t="s">
        <v>55</v>
      </c>
      <c r="B23" s="39" t="s">
        <v>19</v>
      </c>
      <c r="C23" s="39" t="s">
        <v>16</v>
      </c>
      <c r="D23" s="41">
        <f t="shared" si="10"/>
        <v>65</v>
      </c>
      <c r="E23" s="42">
        <v>0</v>
      </c>
      <c r="F23" s="42">
        <v>32</v>
      </c>
      <c r="G23" s="42">
        <v>33</v>
      </c>
      <c r="H23" s="42">
        <v>0</v>
      </c>
      <c r="I23" s="57">
        <v>0</v>
      </c>
      <c r="J23" s="41">
        <f>SUM(K23:N23)</f>
        <v>65</v>
      </c>
      <c r="K23" s="42">
        <v>0</v>
      </c>
      <c r="L23" s="42">
        <v>32</v>
      </c>
      <c r="M23" s="42">
        <v>33</v>
      </c>
      <c r="N23" s="42">
        <v>0</v>
      </c>
      <c r="O23" s="57">
        <v>0</v>
      </c>
      <c r="P23" s="44">
        <f>J23-D23</f>
        <v>0</v>
      </c>
      <c r="Q23" s="44">
        <f t="shared" si="9"/>
        <v>0</v>
      </c>
      <c r="R23" s="44">
        <f t="shared" si="9"/>
        <v>0</v>
      </c>
      <c r="S23" s="44">
        <f t="shared" si="9"/>
        <v>0</v>
      </c>
      <c r="T23" s="44">
        <f t="shared" si="9"/>
        <v>0</v>
      </c>
      <c r="U23" s="69">
        <f t="shared" si="9"/>
        <v>0</v>
      </c>
      <c r="V23" s="68"/>
    </row>
    <row r="24" spans="1:27" s="2" customFormat="1" ht="19.8" thickBot="1" x14ac:dyDescent="0.5">
      <c r="A24" s="38" t="s">
        <v>55</v>
      </c>
      <c r="B24" s="39" t="s">
        <v>19</v>
      </c>
      <c r="C24" s="39" t="s">
        <v>18</v>
      </c>
      <c r="D24" s="47">
        <f t="shared" si="10"/>
        <v>4</v>
      </c>
      <c r="E24" s="48">
        <v>0</v>
      </c>
      <c r="F24" s="48">
        <v>0</v>
      </c>
      <c r="G24" s="48">
        <v>4</v>
      </c>
      <c r="H24" s="48">
        <v>0</v>
      </c>
      <c r="I24" s="58">
        <v>0</v>
      </c>
      <c r="J24" s="47">
        <f>SUM(K24:N24)</f>
        <v>4</v>
      </c>
      <c r="K24" s="48">
        <v>0</v>
      </c>
      <c r="L24" s="48">
        <v>0</v>
      </c>
      <c r="M24" s="48">
        <v>4</v>
      </c>
      <c r="N24" s="48">
        <v>0</v>
      </c>
      <c r="O24" s="58">
        <v>0</v>
      </c>
      <c r="P24" s="47">
        <f>J24-D24</f>
        <v>0</v>
      </c>
      <c r="Q24" s="50">
        <f t="shared" si="9"/>
        <v>0</v>
      </c>
      <c r="R24" s="50">
        <f t="shared" si="9"/>
        <v>0</v>
      </c>
      <c r="S24" s="50">
        <f t="shared" si="9"/>
        <v>0</v>
      </c>
      <c r="T24" s="50">
        <f t="shared" si="9"/>
        <v>0</v>
      </c>
      <c r="U24" s="70">
        <f t="shared" si="9"/>
        <v>0</v>
      </c>
      <c r="V24" s="68"/>
    </row>
    <row r="25" spans="1:27" s="2" customFormat="1" ht="19.8" thickBot="1" x14ac:dyDescent="0.5">
      <c r="A25" s="32" t="s">
        <v>56</v>
      </c>
      <c r="B25" s="52" t="s">
        <v>23</v>
      </c>
      <c r="C25" s="52"/>
      <c r="D25" s="61">
        <f>SUM(E25:H25)</f>
        <v>-2524</v>
      </c>
      <c r="E25" s="62">
        <v>-320</v>
      </c>
      <c r="F25" s="62">
        <v>0</v>
      </c>
      <c r="G25" s="62">
        <v>-1407</v>
      </c>
      <c r="H25" s="62">
        <v>-797</v>
      </c>
      <c r="I25" s="63">
        <v>0</v>
      </c>
      <c r="J25" s="61">
        <f>SUM(K25:N25)</f>
        <v>-1501</v>
      </c>
      <c r="K25" s="64">
        <v>-63</v>
      </c>
      <c r="L25" s="64">
        <v>0</v>
      </c>
      <c r="M25" s="64">
        <f>-647</f>
        <v>-647</v>
      </c>
      <c r="N25" s="64">
        <v>-791</v>
      </c>
      <c r="O25" s="65">
        <v>0</v>
      </c>
      <c r="P25" s="61">
        <f>J25-D25</f>
        <v>1023</v>
      </c>
      <c r="Q25" s="64">
        <f>K25-E25</f>
        <v>257</v>
      </c>
      <c r="R25" s="64">
        <f>L25-F25</f>
        <v>0</v>
      </c>
      <c r="S25" s="64">
        <f>M25-G25</f>
        <v>760</v>
      </c>
      <c r="T25" s="64">
        <f>N25-H25</f>
        <v>6</v>
      </c>
      <c r="U25" s="66">
        <f>O25-I25</f>
        <v>0</v>
      </c>
      <c r="V25" s="68"/>
    </row>
    <row r="26" spans="1:27" s="2" customFormat="1" ht="19.8" thickBot="1" x14ac:dyDescent="0.5">
      <c r="A26" s="32" t="s">
        <v>57</v>
      </c>
      <c r="B26" s="172" t="str">
        <f>HYPERLINK("#A42","COVID-19 BEHAVIORAL HEALTH 3")</f>
        <v>COVID-19 BEHAVIORAL HEALTH 3</v>
      </c>
      <c r="C26" s="52"/>
      <c r="D26" s="61">
        <f t="shared" ref="D26" si="11">SUM(E26:H26)</f>
        <v>4139</v>
      </c>
      <c r="E26" s="71">
        <v>587</v>
      </c>
      <c r="F26" s="71">
        <v>0</v>
      </c>
      <c r="G26" s="71">
        <v>3150</v>
      </c>
      <c r="H26" s="71">
        <v>402</v>
      </c>
      <c r="I26" s="72">
        <v>0</v>
      </c>
      <c r="J26" s="61">
        <f t="shared" ref="J26" si="12">SUM(K26:N26)</f>
        <v>3253</v>
      </c>
      <c r="K26" s="64">
        <f>15+483</f>
        <v>498</v>
      </c>
      <c r="L26" s="64">
        <v>0</v>
      </c>
      <c r="M26" s="64">
        <v>2469</v>
      </c>
      <c r="N26" s="64">
        <v>286</v>
      </c>
      <c r="O26" s="65">
        <v>0</v>
      </c>
      <c r="P26" s="61">
        <f t="shared" ref="P26:U30" si="13">J26-D26</f>
        <v>-886</v>
      </c>
      <c r="Q26" s="64">
        <f t="shared" si="13"/>
        <v>-89</v>
      </c>
      <c r="R26" s="64">
        <f t="shared" si="13"/>
        <v>0</v>
      </c>
      <c r="S26" s="64">
        <f t="shared" si="13"/>
        <v>-681</v>
      </c>
      <c r="T26" s="64">
        <f t="shared" si="13"/>
        <v>-116</v>
      </c>
      <c r="U26" s="66">
        <f t="shared" si="13"/>
        <v>0</v>
      </c>
      <c r="V26" s="68"/>
    </row>
    <row r="27" spans="1:27" s="68" customFormat="1" ht="19.8" thickBot="1" x14ac:dyDescent="0.5">
      <c r="A27" s="73" t="s">
        <v>58</v>
      </c>
      <c r="B27" s="173" t="str">
        <f>HYPERLINK("#A43","STATE ONLY CLAIMING ADJUSTMENT - RETRO ADJ. 4")</f>
        <v>STATE ONLY CLAIMING ADJUSTMENT - RETRO ADJ. 4</v>
      </c>
      <c r="C27" s="75"/>
      <c r="D27" s="61">
        <f>SUM(E27:H27)</f>
        <v>0</v>
      </c>
      <c r="E27" s="71">
        <v>559</v>
      </c>
      <c r="F27" s="71">
        <v>0</v>
      </c>
      <c r="G27" s="71">
        <v>-559</v>
      </c>
      <c r="H27" s="71">
        <v>0</v>
      </c>
      <c r="I27" s="72">
        <v>0</v>
      </c>
      <c r="J27" s="61">
        <f>SUM(K27:N27)</f>
        <v>0</v>
      </c>
      <c r="K27" s="64">
        <v>559</v>
      </c>
      <c r="L27" s="64">
        <v>0</v>
      </c>
      <c r="M27" s="64">
        <v>-559</v>
      </c>
      <c r="N27" s="64">
        <v>0</v>
      </c>
      <c r="O27" s="65">
        <v>0</v>
      </c>
      <c r="P27" s="61">
        <f t="shared" si="13"/>
        <v>0</v>
      </c>
      <c r="Q27" s="64">
        <f t="shared" si="13"/>
        <v>0</v>
      </c>
      <c r="R27" s="64">
        <f t="shared" si="13"/>
        <v>0</v>
      </c>
      <c r="S27" s="64">
        <f t="shared" si="13"/>
        <v>0</v>
      </c>
      <c r="T27" s="64">
        <f t="shared" si="13"/>
        <v>0</v>
      </c>
      <c r="U27" s="66">
        <f t="shared" si="13"/>
        <v>0</v>
      </c>
      <c r="W27" s="2"/>
      <c r="X27" s="2"/>
      <c r="Y27" s="2"/>
      <c r="Z27" s="2"/>
      <c r="AA27" s="2"/>
    </row>
    <row r="28" spans="1:27" s="68" customFormat="1" ht="19.8" thickBot="1" x14ac:dyDescent="0.5">
      <c r="A28" s="73" t="s">
        <v>60</v>
      </c>
      <c r="B28" s="173" t="str">
        <f>HYPERLINK("#A44","QUALIFYING COMMUNITY-BASED MOBILE CRISIS SERVICES 5")</f>
        <v>QUALIFYING COMMUNITY-BASED MOBILE CRISIS SERVICES 5</v>
      </c>
      <c r="C28" s="60"/>
      <c r="D28" s="61">
        <f>SUM(E28:H28)</f>
        <v>15615</v>
      </c>
      <c r="E28" s="71">
        <v>2342</v>
      </c>
      <c r="F28" s="71">
        <v>0</v>
      </c>
      <c r="G28" s="71">
        <v>13273</v>
      </c>
      <c r="H28" s="71">
        <v>0</v>
      </c>
      <c r="I28" s="72">
        <v>0</v>
      </c>
      <c r="J28" s="61">
        <f>SUM(K28:N28)</f>
        <v>5754</v>
      </c>
      <c r="K28" s="64">
        <f>690+173</f>
        <v>863</v>
      </c>
      <c r="L28" s="64">
        <v>0</v>
      </c>
      <c r="M28" s="64">
        <f>3913+978</f>
        <v>4891</v>
      </c>
      <c r="N28" s="64">
        <v>0</v>
      </c>
      <c r="O28" s="65">
        <v>0</v>
      </c>
      <c r="P28" s="61">
        <f t="shared" si="13"/>
        <v>-9861</v>
      </c>
      <c r="Q28" s="64">
        <f t="shared" si="13"/>
        <v>-1479</v>
      </c>
      <c r="R28" s="64">
        <f t="shared" si="13"/>
        <v>0</v>
      </c>
      <c r="S28" s="64">
        <f t="shared" si="13"/>
        <v>-8382</v>
      </c>
      <c r="T28" s="64">
        <f t="shared" si="13"/>
        <v>0</v>
      </c>
      <c r="U28" s="66">
        <f t="shared" si="13"/>
        <v>0</v>
      </c>
      <c r="W28" s="2"/>
      <c r="X28" s="2"/>
      <c r="Y28" s="2"/>
      <c r="Z28" s="2"/>
      <c r="AA28" s="2"/>
    </row>
    <row r="29" spans="1:27" s="68" customFormat="1" ht="19.8" thickBot="1" x14ac:dyDescent="0.5">
      <c r="A29" s="73" t="s">
        <v>59</v>
      </c>
      <c r="B29" s="173" t="str">
        <f>HYPERLINK("#A45","PEER SUPPORT SPECIALIST SERVICES 6")</f>
        <v>PEER SUPPORT SPECIALIST SERVICES 6</v>
      </c>
      <c r="C29" s="60"/>
      <c r="D29" s="61">
        <f>SUM(E29:H29)</f>
        <v>13841</v>
      </c>
      <c r="E29" s="71">
        <v>0</v>
      </c>
      <c r="F29" s="71">
        <v>2512</v>
      </c>
      <c r="G29" s="71">
        <v>10548</v>
      </c>
      <c r="H29" s="71">
        <v>781</v>
      </c>
      <c r="I29" s="72">
        <v>0</v>
      </c>
      <c r="J29" s="61">
        <f>SUM(K29:N29)</f>
        <v>13843</v>
      </c>
      <c r="K29" s="64">
        <v>0</v>
      </c>
      <c r="L29" s="64">
        <f>503+2022</f>
        <v>2525</v>
      </c>
      <c r="M29" s="64">
        <f>1803+13+8668+49</f>
        <v>10533</v>
      </c>
      <c r="N29" s="64">
        <f>156+629</f>
        <v>785</v>
      </c>
      <c r="O29" s="65">
        <v>0</v>
      </c>
      <c r="P29" s="61">
        <f t="shared" ref="P29" si="14">J29-D29</f>
        <v>2</v>
      </c>
      <c r="Q29" s="64">
        <f t="shared" ref="Q29" si="15">K29-E29</f>
        <v>0</v>
      </c>
      <c r="R29" s="64">
        <f t="shared" ref="R29" si="16">L29-F29</f>
        <v>13</v>
      </c>
      <c r="S29" s="64">
        <f t="shared" ref="S29" si="17">M29-G29</f>
        <v>-15</v>
      </c>
      <c r="T29" s="64">
        <f t="shared" ref="T29" si="18">N29-H29</f>
        <v>4</v>
      </c>
      <c r="U29" s="66">
        <f t="shared" ref="U29" si="19">O29-I29</f>
        <v>0</v>
      </c>
      <c r="W29" s="2"/>
      <c r="X29" s="2"/>
      <c r="Y29" s="2"/>
      <c r="Z29" s="2"/>
      <c r="AA29" s="2"/>
    </row>
    <row r="30" spans="1:27" s="77" customFormat="1" ht="19.8" thickBot="1" x14ac:dyDescent="0.5">
      <c r="A30" s="76" t="s">
        <v>61</v>
      </c>
      <c r="B30" s="74" t="s">
        <v>24</v>
      </c>
      <c r="C30" s="74"/>
      <c r="D30" s="61">
        <f>SUM(E30:H30)</f>
        <v>93377</v>
      </c>
      <c r="E30" s="71">
        <v>0</v>
      </c>
      <c r="F30" s="71">
        <v>0</v>
      </c>
      <c r="G30" s="71">
        <v>51565</v>
      </c>
      <c r="H30" s="71">
        <v>41812</v>
      </c>
      <c r="I30" s="72">
        <v>0</v>
      </c>
      <c r="J30" s="61">
        <f>SUM(K30:N30)</f>
        <v>104065</v>
      </c>
      <c r="K30" s="64">
        <v>0</v>
      </c>
      <c r="L30" s="64">
        <v>0</v>
      </c>
      <c r="M30" s="64">
        <v>57408</v>
      </c>
      <c r="N30" s="64">
        <v>46657</v>
      </c>
      <c r="O30" s="65">
        <v>0</v>
      </c>
      <c r="P30" s="61">
        <f t="shared" si="13"/>
        <v>10688</v>
      </c>
      <c r="Q30" s="64">
        <f t="shared" si="13"/>
        <v>0</v>
      </c>
      <c r="R30" s="64">
        <f t="shared" si="13"/>
        <v>0</v>
      </c>
      <c r="S30" s="64">
        <f t="shared" si="13"/>
        <v>5843</v>
      </c>
      <c r="T30" s="64">
        <f t="shared" si="13"/>
        <v>4845</v>
      </c>
      <c r="U30" s="66">
        <f t="shared" si="13"/>
        <v>0</v>
      </c>
      <c r="W30" s="2"/>
      <c r="X30" s="2"/>
      <c r="Y30" s="2"/>
      <c r="Z30" s="2"/>
      <c r="AA30" s="2"/>
    </row>
    <row r="31" spans="1:27" s="77" customFormat="1" ht="19.8" thickBot="1" x14ac:dyDescent="0.5">
      <c r="A31" s="76" t="s">
        <v>64</v>
      </c>
      <c r="B31" s="173" t="str">
        <f>HYPERLINK("#A46","County COMPLIANCE WITH INTEROPERABILITY FINAL RULE 7)")</f>
        <v>County COMPLIANCE WITH INTEROPERABILITY FINAL RULE 7)</v>
      </c>
      <c r="C31" s="74"/>
      <c r="D31" s="61">
        <f>SUM(E31:H31)</f>
        <v>29149</v>
      </c>
      <c r="E31" s="71">
        <v>14575</v>
      </c>
      <c r="F31" s="71">
        <v>0</v>
      </c>
      <c r="G31" s="71">
        <v>7287</v>
      </c>
      <c r="H31" s="71">
        <v>7287</v>
      </c>
      <c r="I31" s="72">
        <v>0</v>
      </c>
      <c r="J31" s="61">
        <f>SUM(K31:N31)</f>
        <v>29149</v>
      </c>
      <c r="K31" s="64">
        <v>7287</v>
      </c>
      <c r="L31" s="64">
        <v>0</v>
      </c>
      <c r="M31" s="64">
        <v>14575</v>
      </c>
      <c r="N31" s="64">
        <v>7287</v>
      </c>
      <c r="O31" s="65">
        <v>0</v>
      </c>
      <c r="P31" s="61">
        <f t="shared" ref="P31" si="20">J31-D31</f>
        <v>0</v>
      </c>
      <c r="Q31" s="64">
        <f t="shared" ref="Q31" si="21">K31-E31</f>
        <v>-7288</v>
      </c>
      <c r="R31" s="64">
        <f t="shared" ref="R31" si="22">L31-F31</f>
        <v>0</v>
      </c>
      <c r="S31" s="64">
        <f t="shared" ref="S31" si="23">M31-G31</f>
        <v>7288</v>
      </c>
      <c r="T31" s="64">
        <f t="shared" ref="T31" si="24">N31-H31</f>
        <v>0</v>
      </c>
      <c r="U31" s="66">
        <f t="shared" ref="U31" si="25">O31-I31</f>
        <v>0</v>
      </c>
      <c r="W31" s="2"/>
      <c r="X31" s="2"/>
      <c r="Y31" s="2"/>
      <c r="Z31" s="2"/>
      <c r="AA31" s="2"/>
    </row>
    <row r="32" spans="1:27" s="77" customFormat="1" ht="19.8" thickBot="1" x14ac:dyDescent="0.5">
      <c r="A32" s="76" t="s">
        <v>62</v>
      </c>
      <c r="B32" s="74" t="s">
        <v>25</v>
      </c>
      <c r="C32" s="74"/>
      <c r="D32" s="61">
        <f t="shared" ref="D32" si="26">SUM(E32:H32)</f>
        <v>5876</v>
      </c>
      <c r="E32" s="62">
        <v>1469</v>
      </c>
      <c r="F32" s="62">
        <v>0</v>
      </c>
      <c r="G32" s="62">
        <v>2938</v>
      </c>
      <c r="H32" s="62">
        <v>1469</v>
      </c>
      <c r="I32" s="63">
        <v>0</v>
      </c>
      <c r="J32" s="61">
        <f t="shared" ref="J32" si="27">SUM(K32:N32)</f>
        <v>5876</v>
      </c>
      <c r="K32" s="64">
        <v>1469</v>
      </c>
      <c r="L32" s="64">
        <v>0</v>
      </c>
      <c r="M32" s="64">
        <v>2938</v>
      </c>
      <c r="N32" s="64">
        <v>1469</v>
      </c>
      <c r="O32" s="65">
        <v>0</v>
      </c>
      <c r="P32" s="61">
        <f t="shared" ref="P32:U32" si="28">J32-D32</f>
        <v>0</v>
      </c>
      <c r="Q32" s="64">
        <f t="shared" si="28"/>
        <v>0</v>
      </c>
      <c r="R32" s="64">
        <f t="shared" si="28"/>
        <v>0</v>
      </c>
      <c r="S32" s="64">
        <f t="shared" si="28"/>
        <v>0</v>
      </c>
      <c r="T32" s="64">
        <f t="shared" si="28"/>
        <v>0</v>
      </c>
      <c r="U32" s="66">
        <f t="shared" si="28"/>
        <v>0</v>
      </c>
      <c r="W32" s="2"/>
      <c r="X32" s="2"/>
      <c r="Y32" s="2"/>
      <c r="Z32" s="2"/>
      <c r="AA32" s="2"/>
    </row>
    <row r="33" spans="1:27" s="77" customFormat="1" ht="19.8" thickBot="1" x14ac:dyDescent="0.5">
      <c r="A33" s="76" t="s">
        <v>63</v>
      </c>
      <c r="B33" s="173" t="str">
        <f>HYPERLINK("#A47","HCBS SP - CONTINGENCY MANAGEMENT ADMIN 8")</f>
        <v>HCBS SP - CONTINGENCY MANAGEMENT ADMIN 8</v>
      </c>
      <c r="C33" s="74"/>
      <c r="D33" s="61">
        <f t="shared" ref="D33" si="29">SUM(E33:H33)</f>
        <v>3163</v>
      </c>
      <c r="E33" s="71">
        <v>0</v>
      </c>
      <c r="F33" s="71">
        <v>1186</v>
      </c>
      <c r="G33" s="71">
        <v>1582</v>
      </c>
      <c r="H33" s="71">
        <v>395</v>
      </c>
      <c r="I33" s="72">
        <v>0</v>
      </c>
      <c r="J33" s="61">
        <f t="shared" ref="J33" si="30">SUM(K33:N33)</f>
        <v>2750</v>
      </c>
      <c r="K33" s="64">
        <v>0</v>
      </c>
      <c r="L33" s="64">
        <v>1375</v>
      </c>
      <c r="M33" s="64">
        <v>1375</v>
      </c>
      <c r="N33" s="64">
        <v>0</v>
      </c>
      <c r="O33" s="65">
        <v>0</v>
      </c>
      <c r="P33" s="61">
        <f t="shared" ref="P33" si="31">J33-D33</f>
        <v>-413</v>
      </c>
      <c r="Q33" s="64">
        <f t="shared" ref="Q33" si="32">K33-E33</f>
        <v>0</v>
      </c>
      <c r="R33" s="64">
        <f t="shared" ref="R33" si="33">L33-F33</f>
        <v>189</v>
      </c>
      <c r="S33" s="64">
        <f t="shared" ref="S33" si="34">M33-G33</f>
        <v>-207</v>
      </c>
      <c r="T33" s="64">
        <f t="shared" ref="T33:T37" si="35">N33-H33</f>
        <v>-395</v>
      </c>
      <c r="U33" s="66">
        <f t="shared" ref="U33" si="36">O33-I33</f>
        <v>0</v>
      </c>
      <c r="W33" s="2"/>
      <c r="X33" s="2"/>
      <c r="Y33" s="2"/>
      <c r="Z33" s="2"/>
      <c r="AA33" s="2"/>
    </row>
    <row r="34" spans="1:27" s="83" customFormat="1" ht="19.8" thickBot="1" x14ac:dyDescent="0.5">
      <c r="A34" s="78"/>
      <c r="B34" s="79"/>
      <c r="C34" s="79" t="s">
        <v>26</v>
      </c>
      <c r="D34" s="80">
        <f t="shared" ref="D34:O34" si="37">D9+D14+D19+D20+D25+D26+D27+D29+D30+D31+D32+D28+D33</f>
        <v>1146908</v>
      </c>
      <c r="E34" s="80">
        <f t="shared" si="37"/>
        <v>158917</v>
      </c>
      <c r="F34" s="80">
        <f t="shared" si="37"/>
        <v>67408</v>
      </c>
      <c r="G34" s="80">
        <f t="shared" si="37"/>
        <v>840533</v>
      </c>
      <c r="H34" s="80">
        <f t="shared" si="37"/>
        <v>80050</v>
      </c>
      <c r="I34" s="81">
        <f t="shared" si="37"/>
        <v>1262.4166666666665</v>
      </c>
      <c r="J34" s="80">
        <f t="shared" si="37"/>
        <v>915292</v>
      </c>
      <c r="K34" s="80">
        <f t="shared" si="37"/>
        <v>108007</v>
      </c>
      <c r="L34" s="80">
        <f t="shared" si="37"/>
        <v>61924</v>
      </c>
      <c r="M34" s="80">
        <f t="shared" si="37"/>
        <v>666596</v>
      </c>
      <c r="N34" s="80">
        <f t="shared" si="37"/>
        <v>78765</v>
      </c>
      <c r="O34" s="81">
        <f t="shared" si="37"/>
        <v>1262.4166666666665</v>
      </c>
      <c r="P34" s="80">
        <f>J34-D34</f>
        <v>-231616</v>
      </c>
      <c r="Q34" s="62">
        <f>K34-E34</f>
        <v>-50910</v>
      </c>
      <c r="R34" s="62">
        <f>L34-F34</f>
        <v>-5484</v>
      </c>
      <c r="S34" s="62">
        <f>M34-G34</f>
        <v>-173937</v>
      </c>
      <c r="T34" s="62">
        <f t="shared" si="35"/>
        <v>-1285</v>
      </c>
      <c r="U34" s="82">
        <f>O34-I34</f>
        <v>0</v>
      </c>
      <c r="W34" s="2"/>
      <c r="X34" s="2"/>
      <c r="Y34" s="2"/>
      <c r="Z34" s="2"/>
      <c r="AA34" s="2"/>
    </row>
    <row r="35" spans="1:27" s="83" customFormat="1" x14ac:dyDescent="0.45">
      <c r="A35" s="78"/>
      <c r="B35" s="79"/>
      <c r="C35" s="84" t="s">
        <v>27</v>
      </c>
      <c r="D35" s="85">
        <f t="shared" ref="D35:O35" si="38">D10+D11+D15+D16+D21+D22</f>
        <v>954427</v>
      </c>
      <c r="E35" s="85">
        <f t="shared" si="38"/>
        <v>139505</v>
      </c>
      <c r="F35" s="85">
        <f t="shared" si="38"/>
        <v>56665</v>
      </c>
      <c r="G35" s="85">
        <f t="shared" si="38"/>
        <v>730584</v>
      </c>
      <c r="H35" s="85">
        <f t="shared" si="38"/>
        <v>27673</v>
      </c>
      <c r="I35" s="86">
        <f t="shared" si="38"/>
        <v>1261.25</v>
      </c>
      <c r="J35" s="85">
        <f t="shared" si="38"/>
        <v>727084</v>
      </c>
      <c r="K35" s="85">
        <f t="shared" si="38"/>
        <v>97244</v>
      </c>
      <c r="L35" s="85">
        <f t="shared" si="38"/>
        <v>52023</v>
      </c>
      <c r="M35" s="85">
        <f t="shared" si="38"/>
        <v>555456</v>
      </c>
      <c r="N35" s="85">
        <f t="shared" si="38"/>
        <v>22361</v>
      </c>
      <c r="O35" s="86">
        <f t="shared" si="38"/>
        <v>1261.25</v>
      </c>
      <c r="P35" s="87">
        <f>J35-D35</f>
        <v>-227343</v>
      </c>
      <c r="Q35" s="42">
        <f t="shared" ref="Q35:R35" si="39">K35-E35</f>
        <v>-42261</v>
      </c>
      <c r="R35" s="42">
        <f t="shared" si="39"/>
        <v>-4642</v>
      </c>
      <c r="S35" s="88">
        <f>M35-G35</f>
        <v>-175128</v>
      </c>
      <c r="T35" s="88">
        <f t="shared" si="35"/>
        <v>-5312</v>
      </c>
      <c r="U35" s="89">
        <f>O35-I35</f>
        <v>0</v>
      </c>
      <c r="W35" s="2"/>
      <c r="X35" s="2"/>
      <c r="Y35" s="2"/>
      <c r="Z35" s="2"/>
      <c r="AA35" s="2"/>
    </row>
    <row r="36" spans="1:27" s="68" customFormat="1" x14ac:dyDescent="0.45">
      <c r="A36" s="38"/>
      <c r="B36" s="90"/>
      <c r="C36" s="91" t="s">
        <v>28</v>
      </c>
      <c r="D36" s="92">
        <f t="shared" ref="D36:O36" si="40">D12+D13+D17+D18+D23+D24</f>
        <v>8283</v>
      </c>
      <c r="E36" s="92">
        <f t="shared" si="40"/>
        <v>200</v>
      </c>
      <c r="F36" s="92">
        <f t="shared" si="40"/>
        <v>2030</v>
      </c>
      <c r="G36" s="92">
        <f t="shared" si="40"/>
        <v>5025</v>
      </c>
      <c r="H36" s="92">
        <f t="shared" si="40"/>
        <v>1028</v>
      </c>
      <c r="I36" s="93">
        <f t="shared" si="40"/>
        <v>1.1666666666666667</v>
      </c>
      <c r="J36" s="92">
        <f t="shared" si="40"/>
        <v>6280</v>
      </c>
      <c r="K36" s="92">
        <f t="shared" si="40"/>
        <v>150</v>
      </c>
      <c r="L36" s="92">
        <f t="shared" si="40"/>
        <v>1615</v>
      </c>
      <c r="M36" s="92">
        <f t="shared" si="40"/>
        <v>3804</v>
      </c>
      <c r="N36" s="92">
        <f t="shared" si="40"/>
        <v>711</v>
      </c>
      <c r="O36" s="93">
        <f t="shared" si="40"/>
        <v>1.1666666666666667</v>
      </c>
      <c r="P36" s="87">
        <f>J36-D36</f>
        <v>-2003</v>
      </c>
      <c r="Q36" s="42">
        <f>K36-E36</f>
        <v>-50</v>
      </c>
      <c r="R36" s="42">
        <f>L36-F36</f>
        <v>-415</v>
      </c>
      <c r="S36" s="88">
        <f>M36-G36</f>
        <v>-1221</v>
      </c>
      <c r="T36" s="88">
        <f t="shared" si="35"/>
        <v>-317</v>
      </c>
      <c r="U36" s="89">
        <f>O36-I36</f>
        <v>0</v>
      </c>
      <c r="W36" s="2"/>
      <c r="X36" s="2"/>
      <c r="Y36" s="2"/>
      <c r="Z36" s="2"/>
      <c r="AA36" s="2"/>
    </row>
    <row r="37" spans="1:27" s="68" customFormat="1" ht="19.8" thickBot="1" x14ac:dyDescent="0.5">
      <c r="A37" s="94"/>
      <c r="B37" s="95"/>
      <c r="C37" s="96" t="s">
        <v>29</v>
      </c>
      <c r="D37" s="97">
        <f t="shared" ref="D37:O37" si="41">D19+D25+D26+D27+D29+D30+D31+D32+D28+D33</f>
        <v>184198</v>
      </c>
      <c r="E37" s="97">
        <f t="shared" si="41"/>
        <v>19212</v>
      </c>
      <c r="F37" s="97">
        <f t="shared" si="41"/>
        <v>8713</v>
      </c>
      <c r="G37" s="97">
        <f t="shared" si="41"/>
        <v>104924</v>
      </c>
      <c r="H37" s="97">
        <f t="shared" si="41"/>
        <v>51349</v>
      </c>
      <c r="I37" s="98">
        <f t="shared" si="41"/>
        <v>0</v>
      </c>
      <c r="J37" s="97">
        <f t="shared" si="41"/>
        <v>181928</v>
      </c>
      <c r="K37" s="97">
        <f t="shared" si="41"/>
        <v>10613</v>
      </c>
      <c r="L37" s="97">
        <f t="shared" si="41"/>
        <v>8286</v>
      </c>
      <c r="M37" s="97">
        <f t="shared" si="41"/>
        <v>107336</v>
      </c>
      <c r="N37" s="97">
        <f t="shared" si="41"/>
        <v>55693</v>
      </c>
      <c r="O37" s="98">
        <f t="shared" si="41"/>
        <v>0</v>
      </c>
      <c r="P37" s="99">
        <f>J37-D37</f>
        <v>-2270</v>
      </c>
      <c r="Q37" s="48">
        <f t="shared" ref="Q37:S37" si="42">K37-E37</f>
        <v>-8599</v>
      </c>
      <c r="R37" s="48">
        <f t="shared" si="42"/>
        <v>-427</v>
      </c>
      <c r="S37" s="100">
        <f t="shared" si="42"/>
        <v>2412</v>
      </c>
      <c r="T37" s="100">
        <f t="shared" si="35"/>
        <v>4344</v>
      </c>
      <c r="U37" s="101">
        <f>O37-I37</f>
        <v>0</v>
      </c>
      <c r="W37" s="2"/>
      <c r="X37" s="2"/>
      <c r="Y37" s="2"/>
      <c r="Z37" s="2"/>
      <c r="AA37" s="2"/>
    </row>
    <row r="38" spans="1:27" s="107" customFormat="1" x14ac:dyDescent="0.45">
      <c r="A38" s="161" t="s">
        <v>30</v>
      </c>
      <c r="B38" s="102"/>
      <c r="C38" s="103"/>
      <c r="D38" s="104"/>
      <c r="E38" s="104"/>
      <c r="F38" s="104"/>
      <c r="G38" s="105"/>
      <c r="H38" s="104"/>
      <c r="I38" s="104"/>
      <c r="J38" s="106"/>
      <c r="K38" s="106"/>
      <c r="L38" s="106"/>
      <c r="M38" s="106"/>
      <c r="N38" s="106"/>
      <c r="O38" s="106"/>
      <c r="P38" s="104"/>
      <c r="Q38" s="104"/>
      <c r="R38" s="104"/>
      <c r="S38" s="104"/>
      <c r="T38" s="104"/>
      <c r="U38" s="104"/>
      <c r="W38" s="2"/>
      <c r="X38" s="2"/>
      <c r="Y38" s="2"/>
      <c r="Z38" s="2"/>
      <c r="AA38" s="2"/>
    </row>
    <row r="39" spans="1:27" s="107" customFormat="1" x14ac:dyDescent="0.45">
      <c r="A39" s="108" t="s">
        <v>31</v>
      </c>
      <c r="B39" s="102"/>
      <c r="C39" s="103"/>
      <c r="D39" s="104"/>
      <c r="E39" s="104"/>
      <c r="F39" s="104"/>
      <c r="G39" s="105"/>
      <c r="H39" s="104"/>
      <c r="I39" s="104"/>
      <c r="J39" s="104"/>
      <c r="K39" s="104"/>
      <c r="L39" s="104"/>
      <c r="M39" s="104"/>
      <c r="N39" s="104"/>
      <c r="O39" s="104"/>
      <c r="P39" s="104"/>
      <c r="Q39" s="104"/>
      <c r="R39" s="104"/>
      <c r="S39" s="104"/>
      <c r="T39" s="104"/>
      <c r="U39" s="104"/>
    </row>
    <row r="40" spans="1:27" s="107" customFormat="1" ht="19.8" x14ac:dyDescent="0.45">
      <c r="A40" s="108" t="s">
        <v>68</v>
      </c>
      <c r="B40" s="108"/>
      <c r="C40" s="108"/>
      <c r="D40" s="42"/>
      <c r="E40" s="42"/>
      <c r="F40" s="42"/>
      <c r="G40" s="42"/>
      <c r="H40" s="42"/>
      <c r="I40" s="108"/>
      <c r="J40" s="2"/>
      <c r="K40" s="42"/>
      <c r="L40" s="42"/>
      <c r="M40" s="42"/>
      <c r="N40" s="42"/>
      <c r="O40" s="42"/>
      <c r="P40" s="105"/>
      <c r="Q40" s="105"/>
      <c r="R40" s="105"/>
      <c r="S40" s="105"/>
      <c r="T40" s="105"/>
      <c r="U40" s="109"/>
    </row>
    <row r="41" spans="1:27" s="107" customFormat="1" ht="19.8" x14ac:dyDescent="0.45">
      <c r="A41" s="108" t="s">
        <v>69</v>
      </c>
      <c r="B41" s="108"/>
      <c r="C41" s="108"/>
      <c r="D41" s="42"/>
      <c r="E41" s="42"/>
      <c r="F41" s="42"/>
      <c r="G41" s="42"/>
      <c r="H41" s="42"/>
      <c r="I41" s="108"/>
      <c r="J41" s="42"/>
      <c r="K41" s="42"/>
      <c r="L41" s="42"/>
      <c r="M41" s="42"/>
      <c r="N41" s="42"/>
      <c r="O41" s="108"/>
      <c r="P41" s="105"/>
      <c r="Q41" s="105"/>
      <c r="R41" s="105"/>
      <c r="S41" s="105"/>
      <c r="T41" s="105"/>
      <c r="U41" s="109"/>
    </row>
    <row r="42" spans="1:27" s="107" customFormat="1" ht="19.8" x14ac:dyDescent="0.45">
      <c r="A42" s="108" t="s">
        <v>70</v>
      </c>
      <c r="B42" s="108"/>
      <c r="C42" s="108"/>
      <c r="D42" s="42"/>
      <c r="E42" s="42"/>
      <c r="F42" s="42"/>
      <c r="G42" s="42"/>
      <c r="H42" s="42"/>
      <c r="I42" s="108"/>
      <c r="J42" s="42"/>
      <c r="K42" s="42"/>
      <c r="L42" s="42"/>
      <c r="M42" s="42"/>
      <c r="N42" s="42"/>
      <c r="O42" s="108"/>
      <c r="P42" s="105"/>
      <c r="Q42" s="105"/>
      <c r="R42" s="105"/>
      <c r="S42" s="105"/>
      <c r="T42" s="105"/>
      <c r="U42" s="109"/>
    </row>
    <row r="43" spans="1:27" s="107" customFormat="1" ht="19.8" x14ac:dyDescent="0.45">
      <c r="A43" s="3" t="s">
        <v>71</v>
      </c>
      <c r="B43" s="3"/>
      <c r="C43" s="162"/>
      <c r="D43" s="162"/>
      <c r="E43" s="162"/>
      <c r="F43" s="162"/>
      <c r="G43" s="162"/>
      <c r="H43" s="162"/>
      <c r="I43" s="162"/>
      <c r="J43" s="162"/>
      <c r="K43" s="162"/>
      <c r="L43" s="162"/>
      <c r="M43" s="162"/>
      <c r="N43" s="162"/>
      <c r="O43" s="162"/>
      <c r="P43" s="105"/>
      <c r="Q43" s="105"/>
      <c r="R43" s="105"/>
      <c r="S43" s="105"/>
      <c r="T43" s="105"/>
      <c r="U43" s="109"/>
    </row>
    <row r="44" spans="1:27" s="107" customFormat="1" ht="19.8" x14ac:dyDescent="0.45">
      <c r="A44" s="108" t="s">
        <v>72</v>
      </c>
      <c r="B44" s="108"/>
      <c r="C44" s="163"/>
      <c r="D44" s="42"/>
      <c r="E44" s="42"/>
      <c r="F44" s="42"/>
      <c r="G44" s="42"/>
      <c r="H44" s="42"/>
      <c r="I44" s="43"/>
      <c r="J44" s="42"/>
      <c r="K44" s="42"/>
      <c r="L44" s="42"/>
      <c r="M44" s="42"/>
      <c r="N44" s="42"/>
      <c r="O44" s="43"/>
      <c r="P44" s="105"/>
      <c r="Q44" s="105"/>
      <c r="R44" s="105"/>
      <c r="S44" s="105"/>
      <c r="T44" s="105"/>
      <c r="U44" s="109"/>
    </row>
    <row r="45" spans="1:27" s="107" customFormat="1" ht="19.8" x14ac:dyDescent="0.45">
      <c r="A45" s="108" t="s">
        <v>73</v>
      </c>
      <c r="B45" s="108"/>
      <c r="C45" s="163"/>
      <c r="D45" s="42"/>
      <c r="E45" s="42"/>
      <c r="F45" s="42"/>
      <c r="G45" s="42"/>
      <c r="H45" s="42"/>
      <c r="I45" s="43"/>
      <c r="J45" s="42"/>
      <c r="K45" s="42"/>
      <c r="L45" s="42"/>
      <c r="M45" s="42"/>
      <c r="N45" s="42"/>
      <c r="O45" s="43"/>
      <c r="P45" s="105"/>
      <c r="Q45" s="105"/>
      <c r="R45" s="105"/>
      <c r="S45" s="105"/>
      <c r="T45" s="105"/>
      <c r="U45" s="109"/>
    </row>
    <row r="46" spans="1:27" s="107" customFormat="1" ht="19.8" x14ac:dyDescent="0.45">
      <c r="A46" s="108" t="s">
        <v>74</v>
      </c>
      <c r="B46" s="108"/>
      <c r="C46" s="163"/>
      <c r="D46" s="42"/>
      <c r="E46" s="42"/>
      <c r="F46" s="42"/>
      <c r="G46" s="42"/>
      <c r="H46" s="42"/>
      <c r="I46" s="43"/>
      <c r="J46" s="42"/>
      <c r="K46" s="42"/>
      <c r="L46" s="42"/>
      <c r="M46" s="42"/>
      <c r="N46" s="42"/>
      <c r="O46" s="43"/>
      <c r="P46" s="105"/>
      <c r="Q46" s="105"/>
      <c r="R46" s="105"/>
      <c r="S46" s="105"/>
      <c r="T46" s="105"/>
      <c r="U46" s="109"/>
    </row>
    <row r="47" spans="1:27" s="107" customFormat="1" ht="19.8" x14ac:dyDescent="0.45">
      <c r="A47" s="3" t="s">
        <v>75</v>
      </c>
      <c r="B47" s="3"/>
      <c r="C47" s="3"/>
      <c r="D47" s="3"/>
      <c r="E47" s="3"/>
      <c r="F47" s="3"/>
      <c r="G47" s="3"/>
      <c r="H47" s="3"/>
      <c r="I47" s="3"/>
      <c r="J47" s="3"/>
      <c r="K47" s="3"/>
      <c r="L47" s="3"/>
      <c r="M47" s="3"/>
      <c r="N47" s="3"/>
      <c r="O47" s="3"/>
      <c r="P47" s="105"/>
      <c r="Q47" s="105"/>
      <c r="R47" s="105"/>
      <c r="S47" s="105"/>
      <c r="T47" s="105"/>
      <c r="U47" s="109"/>
    </row>
    <row r="48" spans="1:27" s="107" customFormat="1" x14ac:dyDescent="0.45">
      <c r="A48" s="2" t="s">
        <v>67</v>
      </c>
      <c r="C48" s="2"/>
      <c r="D48" s="158"/>
      <c r="E48" s="158"/>
      <c r="F48" s="158"/>
      <c r="G48" s="158"/>
      <c r="H48" s="158"/>
      <c r="I48" s="2"/>
      <c r="J48" s="158"/>
      <c r="K48" s="158"/>
      <c r="L48" s="158"/>
      <c r="M48" s="158"/>
      <c r="N48" s="158"/>
      <c r="O48" s="2"/>
      <c r="P48" s="105"/>
      <c r="Q48" s="105"/>
      <c r="R48" s="105"/>
      <c r="S48" s="105"/>
      <c r="T48" s="105"/>
      <c r="U48" s="109"/>
    </row>
    <row r="49" spans="1:21" s="2" customFormat="1" x14ac:dyDescent="0.45">
      <c r="A49" s="108"/>
      <c r="B49" s="108"/>
      <c r="C49" s="108"/>
      <c r="D49" s="111"/>
      <c r="E49" s="111"/>
      <c r="F49" s="111"/>
      <c r="G49" s="111"/>
      <c r="H49" s="111"/>
      <c r="I49" s="108"/>
      <c r="J49" s="111"/>
      <c r="K49" s="111"/>
      <c r="L49" s="111"/>
      <c r="M49" s="111"/>
      <c r="N49" s="111"/>
      <c r="O49" s="111"/>
      <c r="P49" s="111"/>
      <c r="Q49" s="111"/>
      <c r="R49" s="111"/>
      <c r="S49" s="111"/>
      <c r="T49" s="111"/>
      <c r="U49" s="112"/>
    </row>
    <row r="50" spans="1:21" s="2" customFormat="1" x14ac:dyDescent="0.45">
      <c r="A50" s="3" t="s">
        <v>4</v>
      </c>
      <c r="B50" s="108"/>
      <c r="C50" s="3"/>
      <c r="D50" s="113"/>
      <c r="E50" s="113"/>
      <c r="F50" s="113"/>
      <c r="G50" s="113"/>
      <c r="H50" s="111"/>
      <c r="I50" s="108"/>
      <c r="J50" s="111"/>
      <c r="K50" s="111"/>
      <c r="L50" s="111"/>
      <c r="M50" s="111"/>
      <c r="N50" s="111"/>
      <c r="O50" s="108"/>
      <c r="P50" s="111"/>
      <c r="Q50" s="111"/>
      <c r="R50" s="111"/>
      <c r="S50" s="111"/>
      <c r="T50" s="111"/>
      <c r="U50" s="114"/>
    </row>
    <row r="51" spans="1:21" s="2" customFormat="1" ht="19.8" thickBot="1" x14ac:dyDescent="0.5">
      <c r="A51" s="14" t="s">
        <v>48</v>
      </c>
      <c r="B51" s="15"/>
      <c r="C51" s="15"/>
      <c r="D51" s="15"/>
      <c r="E51" s="15"/>
      <c r="F51" s="15"/>
      <c r="G51" s="15"/>
      <c r="H51" s="15"/>
      <c r="I51" s="15"/>
      <c r="J51" s="15"/>
      <c r="K51" s="15"/>
      <c r="L51" s="15"/>
      <c r="M51" s="15"/>
      <c r="N51" s="15"/>
      <c r="O51" s="15"/>
      <c r="P51" s="15"/>
      <c r="Q51" s="15"/>
      <c r="R51" s="15"/>
      <c r="S51" s="15"/>
      <c r="T51" s="15"/>
      <c r="U51" s="16"/>
    </row>
    <row r="52" spans="1:21" s="20" customFormat="1" x14ac:dyDescent="0.45">
      <c r="A52" s="115" t="s">
        <v>36</v>
      </c>
      <c r="B52" s="116"/>
      <c r="C52" s="117"/>
      <c r="D52" s="14" t="s">
        <v>49</v>
      </c>
      <c r="E52" s="15"/>
      <c r="F52" s="15"/>
      <c r="G52" s="15"/>
      <c r="H52" s="15"/>
      <c r="I52" s="16"/>
      <c r="J52" s="14" t="s">
        <v>50</v>
      </c>
      <c r="K52" s="15"/>
      <c r="L52" s="15"/>
      <c r="M52" s="15"/>
      <c r="N52" s="15"/>
      <c r="O52" s="16"/>
      <c r="P52" s="118" t="s">
        <v>32</v>
      </c>
      <c r="Q52" s="119"/>
      <c r="R52" s="119"/>
      <c r="S52" s="119"/>
      <c r="T52" s="119"/>
      <c r="U52" s="120"/>
    </row>
    <row r="53" spans="1:21" s="20" customFormat="1" ht="19.8" thickBot="1" x14ac:dyDescent="0.5">
      <c r="A53" s="121" t="s">
        <v>6</v>
      </c>
      <c r="B53" s="122" t="s">
        <v>7</v>
      </c>
      <c r="C53" s="123" t="s">
        <v>8</v>
      </c>
      <c r="D53" s="24" t="s">
        <v>39</v>
      </c>
      <c r="E53" s="25" t="s">
        <v>40</v>
      </c>
      <c r="F53" s="170" t="str">
        <f>HYPERLINK("#A86","N23 SF 2, 8")</f>
        <v>N23 SF 2, 8</v>
      </c>
      <c r="G53" s="25" t="s">
        <v>41</v>
      </c>
      <c r="H53" s="27" t="s">
        <v>42</v>
      </c>
      <c r="I53" s="124" t="s">
        <v>43</v>
      </c>
      <c r="J53" s="24" t="s">
        <v>44</v>
      </c>
      <c r="K53" s="125" t="s">
        <v>45</v>
      </c>
      <c r="L53" s="170" t="str">
        <f>HYPERLINK("#A92","M24 SF 2, 8")</f>
        <v>M24 SF 2, 8</v>
      </c>
      <c r="M53" s="125" t="s">
        <v>46</v>
      </c>
      <c r="N53" s="126" t="s">
        <v>51</v>
      </c>
      <c r="O53" s="127" t="s">
        <v>47</v>
      </c>
      <c r="P53" s="128" t="s">
        <v>9</v>
      </c>
      <c r="Q53" s="129" t="s">
        <v>10</v>
      </c>
      <c r="R53" s="129" t="s">
        <v>11</v>
      </c>
      <c r="S53" s="129" t="s">
        <v>12</v>
      </c>
      <c r="T53" s="130" t="s">
        <v>13</v>
      </c>
      <c r="U53" s="131" t="s">
        <v>33</v>
      </c>
    </row>
    <row r="54" spans="1:21" s="2" customFormat="1" x14ac:dyDescent="0.45">
      <c r="A54" s="32" t="s">
        <v>52</v>
      </c>
      <c r="B54" s="171" t="str">
        <f>HYPERLINK("#A85","DRUG MEDI-CAL ORGANIZED DELIVERY SYSTEM WAIVER 1")</f>
        <v>DRUG MEDI-CAL ORGANIZED DELIVERY SYSTEM WAIVER 1</v>
      </c>
      <c r="C54" s="33"/>
      <c r="D54" s="132">
        <f t="shared" ref="D54:I54" si="43">SUM(D55:D58)</f>
        <v>935952</v>
      </c>
      <c r="E54" s="133">
        <f t="shared" si="43"/>
        <v>139309</v>
      </c>
      <c r="F54" s="133">
        <f t="shared" si="43"/>
        <v>84972</v>
      </c>
      <c r="G54" s="133">
        <f t="shared" si="43"/>
        <v>711671</v>
      </c>
      <c r="H54" s="133">
        <f t="shared" si="43"/>
        <v>0</v>
      </c>
      <c r="I54" s="36">
        <f t="shared" si="43"/>
        <v>0</v>
      </c>
      <c r="J54" s="34">
        <f t="shared" ref="J54:O54" si="44">SUM(J55:J58)</f>
        <v>688222</v>
      </c>
      <c r="K54" s="35">
        <f t="shared" si="44"/>
        <v>92599</v>
      </c>
      <c r="L54" s="35">
        <f t="shared" si="44"/>
        <v>73124</v>
      </c>
      <c r="M54" s="35">
        <f t="shared" si="44"/>
        <v>522499</v>
      </c>
      <c r="N54" s="35">
        <f t="shared" si="44"/>
        <v>0</v>
      </c>
      <c r="O54" s="36">
        <f t="shared" si="44"/>
        <v>0</v>
      </c>
      <c r="P54" s="34">
        <f t="shared" ref="P54:P59" si="45">J54-D54</f>
        <v>-247730</v>
      </c>
      <c r="Q54" s="35">
        <f t="shared" ref="Q54:Q69" si="46">K54-E54</f>
        <v>-46710</v>
      </c>
      <c r="R54" s="35">
        <f t="shared" ref="R54:R69" si="47">L54-F54</f>
        <v>-11848</v>
      </c>
      <c r="S54" s="35">
        <f t="shared" ref="S54:S69" si="48">M54-G54</f>
        <v>-189172</v>
      </c>
      <c r="T54" s="35">
        <f t="shared" ref="T54:T69" si="49">N54-H54</f>
        <v>0</v>
      </c>
      <c r="U54" s="37">
        <f t="shared" ref="U54:U59" si="50">O54-I54</f>
        <v>0</v>
      </c>
    </row>
    <row r="55" spans="1:21" s="2" customFormat="1" x14ac:dyDescent="0.45">
      <c r="A55" s="38" t="s">
        <v>52</v>
      </c>
      <c r="B55" s="39" t="s">
        <v>15</v>
      </c>
      <c r="C55" s="40" t="s">
        <v>16</v>
      </c>
      <c r="D55" s="134">
        <f t="shared" ref="D55:D58" si="51">SUM(E55:H55)</f>
        <v>319601</v>
      </c>
      <c r="E55" s="42">
        <v>88263</v>
      </c>
      <c r="F55" s="42">
        <v>71928</v>
      </c>
      <c r="G55" s="42">
        <v>159410</v>
      </c>
      <c r="H55" s="42">
        <v>0</v>
      </c>
      <c r="I55" s="43">
        <v>0</v>
      </c>
      <c r="J55" s="41">
        <f t="shared" ref="J55:J58" si="52">SUM(K55:N55)</f>
        <v>237534</v>
      </c>
      <c r="K55" s="44">
        <v>54844</v>
      </c>
      <c r="L55" s="44">
        <v>64037</v>
      </c>
      <c r="M55" s="44">
        <v>118653</v>
      </c>
      <c r="N55" s="44">
        <v>0</v>
      </c>
      <c r="O55" s="45">
        <v>0</v>
      </c>
      <c r="P55" s="41">
        <f t="shared" si="45"/>
        <v>-82067</v>
      </c>
      <c r="Q55" s="44">
        <f t="shared" si="46"/>
        <v>-33419</v>
      </c>
      <c r="R55" s="44">
        <f t="shared" si="47"/>
        <v>-7891</v>
      </c>
      <c r="S55" s="44">
        <f t="shared" si="48"/>
        <v>-40757</v>
      </c>
      <c r="T55" s="44">
        <f t="shared" si="49"/>
        <v>0</v>
      </c>
      <c r="U55" s="46">
        <f t="shared" si="50"/>
        <v>0</v>
      </c>
    </row>
    <row r="56" spans="1:21" s="2" customFormat="1" x14ac:dyDescent="0.45">
      <c r="A56" s="38" t="s">
        <v>52</v>
      </c>
      <c r="B56" s="39" t="s">
        <v>17</v>
      </c>
      <c r="C56" s="40" t="s">
        <v>18</v>
      </c>
      <c r="D56" s="134">
        <f t="shared" si="51"/>
        <v>608216</v>
      </c>
      <c r="E56" s="42">
        <v>50846</v>
      </c>
      <c r="F56" s="42">
        <v>9975</v>
      </c>
      <c r="G56" s="42">
        <v>547395</v>
      </c>
      <c r="H56" s="42">
        <v>0</v>
      </c>
      <c r="I56" s="43">
        <v>0</v>
      </c>
      <c r="J56" s="41">
        <f t="shared" si="52"/>
        <v>444819</v>
      </c>
      <c r="K56" s="44">
        <v>37611</v>
      </c>
      <c r="L56" s="44">
        <v>6871</v>
      </c>
      <c r="M56" s="44">
        <v>400337</v>
      </c>
      <c r="N56" s="44">
        <v>0</v>
      </c>
      <c r="O56" s="45">
        <v>0</v>
      </c>
      <c r="P56" s="41">
        <f t="shared" si="45"/>
        <v>-163397</v>
      </c>
      <c r="Q56" s="44">
        <f t="shared" si="46"/>
        <v>-13235</v>
      </c>
      <c r="R56" s="44">
        <f t="shared" si="47"/>
        <v>-3104</v>
      </c>
      <c r="S56" s="44">
        <f t="shared" si="48"/>
        <v>-147058</v>
      </c>
      <c r="T56" s="44">
        <f t="shared" si="49"/>
        <v>0</v>
      </c>
      <c r="U56" s="46">
        <f t="shared" si="50"/>
        <v>0</v>
      </c>
    </row>
    <row r="57" spans="1:21" s="2" customFormat="1" x14ac:dyDescent="0.45">
      <c r="A57" s="38" t="s">
        <v>52</v>
      </c>
      <c r="B57" s="39" t="s">
        <v>19</v>
      </c>
      <c r="C57" s="40" t="s">
        <v>16</v>
      </c>
      <c r="D57" s="134">
        <f t="shared" si="51"/>
        <v>6138</v>
      </c>
      <c r="E57" s="42">
        <v>0</v>
      </c>
      <c r="F57" s="42">
        <v>3069</v>
      </c>
      <c r="G57" s="42">
        <v>3069</v>
      </c>
      <c r="H57" s="42">
        <v>0</v>
      </c>
      <c r="I57" s="43">
        <v>0</v>
      </c>
      <c r="J57" s="41">
        <f t="shared" si="52"/>
        <v>4432</v>
      </c>
      <c r="K57" s="44">
        <v>0</v>
      </c>
      <c r="L57" s="44">
        <v>2216</v>
      </c>
      <c r="M57" s="44">
        <v>2216</v>
      </c>
      <c r="N57" s="44">
        <v>0</v>
      </c>
      <c r="O57" s="45">
        <v>0</v>
      </c>
      <c r="P57" s="41">
        <f t="shared" si="45"/>
        <v>-1706</v>
      </c>
      <c r="Q57" s="44">
        <f t="shared" si="46"/>
        <v>0</v>
      </c>
      <c r="R57" s="44">
        <f t="shared" si="47"/>
        <v>-853</v>
      </c>
      <c r="S57" s="44">
        <f t="shared" si="48"/>
        <v>-853</v>
      </c>
      <c r="T57" s="44">
        <f t="shared" si="49"/>
        <v>0</v>
      </c>
      <c r="U57" s="46">
        <f t="shared" si="50"/>
        <v>0</v>
      </c>
    </row>
    <row r="58" spans="1:21" s="2" customFormat="1" ht="19.8" thickBot="1" x14ac:dyDescent="0.5">
      <c r="A58" s="38" t="s">
        <v>52</v>
      </c>
      <c r="B58" s="39" t="s">
        <v>19</v>
      </c>
      <c r="C58" s="40" t="s">
        <v>20</v>
      </c>
      <c r="D58" s="97">
        <f t="shared" si="51"/>
        <v>1997</v>
      </c>
      <c r="E58" s="48">
        <v>200</v>
      </c>
      <c r="F58" s="48">
        <v>0</v>
      </c>
      <c r="G58" s="48">
        <v>1797</v>
      </c>
      <c r="H58" s="48">
        <v>0</v>
      </c>
      <c r="I58" s="49">
        <v>0</v>
      </c>
      <c r="J58" s="47">
        <f t="shared" si="52"/>
        <v>1437</v>
      </c>
      <c r="K58" s="50">
        <v>144</v>
      </c>
      <c r="L58" s="50">
        <v>0</v>
      </c>
      <c r="M58" s="50">
        <v>1293</v>
      </c>
      <c r="N58" s="50">
        <v>0</v>
      </c>
      <c r="O58" s="51">
        <v>0</v>
      </c>
      <c r="P58" s="41">
        <f t="shared" si="45"/>
        <v>-560</v>
      </c>
      <c r="Q58" s="44">
        <f t="shared" si="46"/>
        <v>-56</v>
      </c>
      <c r="R58" s="44">
        <f t="shared" si="47"/>
        <v>0</v>
      </c>
      <c r="S58" s="44">
        <f t="shared" si="48"/>
        <v>-504</v>
      </c>
      <c r="T58" s="44">
        <f t="shared" si="49"/>
        <v>0</v>
      </c>
      <c r="U58" s="46">
        <f t="shared" si="50"/>
        <v>0</v>
      </c>
    </row>
    <row r="59" spans="1:21" s="2" customFormat="1" x14ac:dyDescent="0.45">
      <c r="A59" s="32" t="s">
        <v>53</v>
      </c>
      <c r="B59" s="52" t="s">
        <v>21</v>
      </c>
      <c r="C59" s="52"/>
      <c r="D59" s="135">
        <f t="shared" ref="D59:I59" si="53">SUM(D60:D63)</f>
        <v>12728</v>
      </c>
      <c r="E59" s="136">
        <f t="shared" si="53"/>
        <v>861</v>
      </c>
      <c r="F59" s="136">
        <f t="shared" si="53"/>
        <v>0</v>
      </c>
      <c r="G59" s="136">
        <f t="shared" si="53"/>
        <v>9390</v>
      </c>
      <c r="H59" s="136">
        <f t="shared" si="53"/>
        <v>2477</v>
      </c>
      <c r="I59" s="56">
        <f t="shared" si="53"/>
        <v>1403.4537376842077</v>
      </c>
      <c r="J59" s="53">
        <f t="shared" ref="J59:O59" si="54">SUM(J60:J63)</f>
        <v>12728</v>
      </c>
      <c r="K59" s="54">
        <f t="shared" si="54"/>
        <v>861</v>
      </c>
      <c r="L59" s="54">
        <f t="shared" si="54"/>
        <v>0</v>
      </c>
      <c r="M59" s="54">
        <f t="shared" si="54"/>
        <v>9390</v>
      </c>
      <c r="N59" s="54">
        <f t="shared" si="54"/>
        <v>2477</v>
      </c>
      <c r="O59" s="56">
        <f t="shared" si="54"/>
        <v>1403.4537376842077</v>
      </c>
      <c r="P59" s="34">
        <f t="shared" si="45"/>
        <v>0</v>
      </c>
      <c r="Q59" s="35">
        <f t="shared" si="46"/>
        <v>0</v>
      </c>
      <c r="R59" s="35">
        <f t="shared" si="47"/>
        <v>0</v>
      </c>
      <c r="S59" s="35">
        <f t="shared" si="48"/>
        <v>0</v>
      </c>
      <c r="T59" s="35">
        <f t="shared" si="49"/>
        <v>0</v>
      </c>
      <c r="U59" s="37">
        <f t="shared" si="50"/>
        <v>0</v>
      </c>
    </row>
    <row r="60" spans="1:21" s="2" customFormat="1" x14ac:dyDescent="0.45">
      <c r="A60" s="38" t="s">
        <v>53</v>
      </c>
      <c r="B60" s="40" t="s">
        <v>17</v>
      </c>
      <c r="C60" s="40" t="s">
        <v>16</v>
      </c>
      <c r="D60" s="134">
        <f>SUM(E60:H60)</f>
        <v>5071</v>
      </c>
      <c r="E60" s="42">
        <v>105</v>
      </c>
      <c r="F60" s="42">
        <v>0</v>
      </c>
      <c r="G60" s="42">
        <v>2539</v>
      </c>
      <c r="H60" s="42">
        <v>2427</v>
      </c>
      <c r="I60" s="45">
        <v>572.19541637091447</v>
      </c>
      <c r="J60" s="41">
        <f>SUM(K60:N60)</f>
        <v>5071</v>
      </c>
      <c r="K60" s="42">
        <v>105</v>
      </c>
      <c r="L60" s="42">
        <v>0</v>
      </c>
      <c r="M60" s="42">
        <v>2539</v>
      </c>
      <c r="N60" s="42">
        <v>2427</v>
      </c>
      <c r="O60" s="45">
        <v>572.19541637091447</v>
      </c>
      <c r="P60" s="41">
        <f>J60-D60</f>
        <v>0</v>
      </c>
      <c r="Q60" s="44">
        <f t="shared" si="46"/>
        <v>0</v>
      </c>
      <c r="R60" s="44">
        <f t="shared" si="47"/>
        <v>0</v>
      </c>
      <c r="S60" s="44">
        <f t="shared" si="48"/>
        <v>0</v>
      </c>
      <c r="T60" s="44">
        <f t="shared" si="49"/>
        <v>0</v>
      </c>
      <c r="U60" s="46">
        <f>O60-I60</f>
        <v>0</v>
      </c>
    </row>
    <row r="61" spans="1:21" s="2" customFormat="1" x14ac:dyDescent="0.45">
      <c r="A61" s="38" t="s">
        <v>53</v>
      </c>
      <c r="B61" s="40" t="s">
        <v>17</v>
      </c>
      <c r="C61" s="40" t="s">
        <v>18</v>
      </c>
      <c r="D61" s="134">
        <f>SUM(E61:H61)</f>
        <v>7547</v>
      </c>
      <c r="E61" s="42">
        <v>755</v>
      </c>
      <c r="F61" s="42">
        <v>0</v>
      </c>
      <c r="G61" s="42">
        <v>6792</v>
      </c>
      <c r="H61" s="42">
        <v>0</v>
      </c>
      <c r="I61" s="45">
        <v>829.81055231616688</v>
      </c>
      <c r="J61" s="41">
        <f>SUM(K61:N61)</f>
        <v>7547</v>
      </c>
      <c r="K61" s="42">
        <v>755</v>
      </c>
      <c r="L61" s="42">
        <v>0</v>
      </c>
      <c r="M61" s="42">
        <v>6792</v>
      </c>
      <c r="N61" s="42">
        <v>0</v>
      </c>
      <c r="O61" s="45">
        <v>829.81055231616688</v>
      </c>
      <c r="P61" s="41">
        <f t="shared" ref="P61:P64" si="55">J61-D61</f>
        <v>0</v>
      </c>
      <c r="Q61" s="44">
        <f t="shared" si="46"/>
        <v>0</v>
      </c>
      <c r="R61" s="44">
        <f t="shared" si="47"/>
        <v>0</v>
      </c>
      <c r="S61" s="44">
        <f t="shared" si="48"/>
        <v>0</v>
      </c>
      <c r="T61" s="44">
        <f t="shared" si="49"/>
        <v>0</v>
      </c>
      <c r="U61" s="46">
        <f t="shared" ref="U61:U69" si="56">O61-I61</f>
        <v>0</v>
      </c>
    </row>
    <row r="62" spans="1:21" s="2" customFormat="1" x14ac:dyDescent="0.45">
      <c r="A62" s="38" t="s">
        <v>53</v>
      </c>
      <c r="B62" s="40" t="s">
        <v>19</v>
      </c>
      <c r="C62" s="40" t="s">
        <v>16</v>
      </c>
      <c r="D62" s="134">
        <f>SUM(E62:H62)</f>
        <v>100</v>
      </c>
      <c r="E62" s="42">
        <v>0</v>
      </c>
      <c r="F62" s="42">
        <v>0</v>
      </c>
      <c r="G62" s="42">
        <v>50</v>
      </c>
      <c r="H62" s="42">
        <v>50</v>
      </c>
      <c r="I62" s="45">
        <v>0.85545962417471255</v>
      </c>
      <c r="J62" s="41">
        <f>SUM(K62:N62)</f>
        <v>100</v>
      </c>
      <c r="K62" s="42">
        <v>0</v>
      </c>
      <c r="L62" s="42">
        <v>0</v>
      </c>
      <c r="M62" s="42">
        <v>50</v>
      </c>
      <c r="N62" s="42">
        <v>50</v>
      </c>
      <c r="O62" s="45">
        <v>0.85545962417471255</v>
      </c>
      <c r="P62" s="41">
        <f t="shared" si="55"/>
        <v>0</v>
      </c>
      <c r="Q62" s="44">
        <f t="shared" si="46"/>
        <v>0</v>
      </c>
      <c r="R62" s="44">
        <f t="shared" si="47"/>
        <v>0</v>
      </c>
      <c r="S62" s="44">
        <f t="shared" si="48"/>
        <v>0</v>
      </c>
      <c r="T62" s="44">
        <f t="shared" si="49"/>
        <v>0</v>
      </c>
      <c r="U62" s="46">
        <f t="shared" si="56"/>
        <v>0</v>
      </c>
    </row>
    <row r="63" spans="1:21" s="2" customFormat="1" ht="19.8" thickBot="1" x14ac:dyDescent="0.5">
      <c r="A63" s="38" t="s">
        <v>53</v>
      </c>
      <c r="B63" s="40" t="s">
        <v>19</v>
      </c>
      <c r="C63" s="40" t="s">
        <v>20</v>
      </c>
      <c r="D63" s="97">
        <f>SUM(E63:H63)</f>
        <v>10</v>
      </c>
      <c r="E63" s="48">
        <v>1</v>
      </c>
      <c r="F63" s="48">
        <v>0</v>
      </c>
      <c r="G63" s="48">
        <v>9</v>
      </c>
      <c r="H63" s="48">
        <v>0</v>
      </c>
      <c r="I63" s="51">
        <v>0.59230937295171593</v>
      </c>
      <c r="J63" s="47">
        <f>SUM(K63:N63)</f>
        <v>10</v>
      </c>
      <c r="K63" s="48">
        <v>1</v>
      </c>
      <c r="L63" s="48">
        <v>0</v>
      </c>
      <c r="M63" s="48">
        <v>9</v>
      </c>
      <c r="N63" s="48">
        <v>0</v>
      </c>
      <c r="O63" s="51">
        <v>0.59230937295171593</v>
      </c>
      <c r="P63" s="47">
        <f t="shared" si="55"/>
        <v>0</v>
      </c>
      <c r="Q63" s="50">
        <f t="shared" si="46"/>
        <v>0</v>
      </c>
      <c r="R63" s="50">
        <f t="shared" si="47"/>
        <v>0</v>
      </c>
      <c r="S63" s="50">
        <f t="shared" si="48"/>
        <v>0</v>
      </c>
      <c r="T63" s="50">
        <f t="shared" si="49"/>
        <v>0</v>
      </c>
      <c r="U63" s="59">
        <f t="shared" si="56"/>
        <v>0</v>
      </c>
    </row>
    <row r="64" spans="1:21" s="2" customFormat="1" ht="19.8" thickBot="1" x14ac:dyDescent="0.5">
      <c r="A64" s="32" t="s">
        <v>54</v>
      </c>
      <c r="B64" s="171" t="str">
        <f>HYPERLINK("#A86","HCBS SP - CONTINGENCY MANAGEMENT 2")</f>
        <v>HCBS SP - CONTINGENCY MANAGEMENT 2</v>
      </c>
      <c r="C64" s="60"/>
      <c r="D64" s="80">
        <f t="shared" ref="D64" si="57">SUM(E64:H64)</f>
        <v>82682</v>
      </c>
      <c r="E64" s="71">
        <v>0</v>
      </c>
      <c r="F64" s="71">
        <v>19510</v>
      </c>
      <c r="G64" s="71">
        <v>63172</v>
      </c>
      <c r="H64" s="71">
        <v>0</v>
      </c>
      <c r="I64" s="58">
        <v>0</v>
      </c>
      <c r="J64" s="61">
        <f t="shared" ref="J64" si="58">SUM(K64:N64)</f>
        <v>61077</v>
      </c>
      <c r="K64" s="64">
        <v>0</v>
      </c>
      <c r="L64" s="64">
        <f>6342+8165</f>
        <v>14507</v>
      </c>
      <c r="M64" s="64">
        <v>46570</v>
      </c>
      <c r="N64" s="64">
        <v>0</v>
      </c>
      <c r="O64" s="65">
        <v>0</v>
      </c>
      <c r="P64" s="61">
        <f t="shared" si="55"/>
        <v>-21605</v>
      </c>
      <c r="Q64" s="64">
        <f t="shared" si="46"/>
        <v>0</v>
      </c>
      <c r="R64" s="64">
        <f t="shared" si="47"/>
        <v>-5003</v>
      </c>
      <c r="S64" s="64">
        <f t="shared" si="48"/>
        <v>-16602</v>
      </c>
      <c r="T64" s="64">
        <f t="shared" si="49"/>
        <v>0</v>
      </c>
      <c r="U64" s="66">
        <f t="shared" si="56"/>
        <v>0</v>
      </c>
    </row>
    <row r="65" spans="1:27" s="2" customFormat="1" x14ac:dyDescent="0.45">
      <c r="A65" s="32" t="s">
        <v>55</v>
      </c>
      <c r="B65" s="52" t="s">
        <v>22</v>
      </c>
      <c r="C65" s="52"/>
      <c r="D65" s="132">
        <f t="shared" ref="D65" si="59">SUM(D66:D69)</f>
        <v>20478</v>
      </c>
      <c r="E65" s="133">
        <f>SUM(E66:E69)</f>
        <v>1289</v>
      </c>
      <c r="F65" s="133">
        <f>SUM(F66:F69)</f>
        <v>4264</v>
      </c>
      <c r="G65" s="133">
        <f t="shared" ref="G65:I65" si="60">SUM(G66:G69)</f>
        <v>14925</v>
      </c>
      <c r="H65" s="133">
        <f t="shared" si="60"/>
        <v>0</v>
      </c>
      <c r="I65" s="36">
        <f t="shared" si="60"/>
        <v>0</v>
      </c>
      <c r="J65" s="34">
        <f t="shared" ref="J65" si="61">SUM(J66:J69)</f>
        <v>20496</v>
      </c>
      <c r="K65" s="35">
        <f>SUM(K66:K69)</f>
        <v>1290</v>
      </c>
      <c r="L65" s="35">
        <f>SUM(L66:L69)</f>
        <v>4268</v>
      </c>
      <c r="M65" s="35">
        <f t="shared" ref="M65:O65" si="62">SUM(M66:M69)</f>
        <v>14938</v>
      </c>
      <c r="N65" s="35">
        <f t="shared" si="62"/>
        <v>0</v>
      </c>
      <c r="O65" s="36">
        <f t="shared" si="62"/>
        <v>0</v>
      </c>
      <c r="P65" s="35">
        <f t="shared" ref="P65:P66" si="63">J65-D65</f>
        <v>18</v>
      </c>
      <c r="Q65" s="35">
        <f t="shared" si="46"/>
        <v>1</v>
      </c>
      <c r="R65" s="35">
        <f t="shared" si="47"/>
        <v>4</v>
      </c>
      <c r="S65" s="35">
        <f t="shared" si="48"/>
        <v>13</v>
      </c>
      <c r="T65" s="35">
        <f t="shared" si="49"/>
        <v>0</v>
      </c>
      <c r="U65" s="37">
        <f t="shared" si="56"/>
        <v>0</v>
      </c>
      <c r="V65" s="68"/>
    </row>
    <row r="66" spans="1:27" s="2" customFormat="1" x14ac:dyDescent="0.45">
      <c r="A66" s="38" t="s">
        <v>55</v>
      </c>
      <c r="B66" s="39" t="s">
        <v>17</v>
      </c>
      <c r="C66" s="39" t="s">
        <v>16</v>
      </c>
      <c r="D66" s="134">
        <f>SUM(E66:H66)</f>
        <v>8691</v>
      </c>
      <c r="E66" s="42">
        <v>119</v>
      </c>
      <c r="F66" s="42">
        <v>4220</v>
      </c>
      <c r="G66" s="42">
        <v>4352</v>
      </c>
      <c r="H66" s="42">
        <v>0</v>
      </c>
      <c r="I66" s="43">
        <v>0</v>
      </c>
      <c r="J66" s="41">
        <f>SUM(K66:N66)</f>
        <v>8699</v>
      </c>
      <c r="K66" s="44">
        <v>119</v>
      </c>
      <c r="L66" s="44">
        <v>4224</v>
      </c>
      <c r="M66" s="44">
        <v>4356</v>
      </c>
      <c r="N66" s="44">
        <v>0</v>
      </c>
      <c r="O66" s="45">
        <v>0</v>
      </c>
      <c r="P66" s="44">
        <f t="shared" si="63"/>
        <v>8</v>
      </c>
      <c r="Q66" s="44">
        <f t="shared" si="46"/>
        <v>0</v>
      </c>
      <c r="R66" s="44">
        <f t="shared" si="47"/>
        <v>4</v>
      </c>
      <c r="S66" s="44">
        <f t="shared" si="48"/>
        <v>4</v>
      </c>
      <c r="T66" s="44">
        <f t="shared" si="49"/>
        <v>0</v>
      </c>
      <c r="U66" s="69">
        <f t="shared" si="56"/>
        <v>0</v>
      </c>
      <c r="V66" s="68"/>
    </row>
    <row r="67" spans="1:27" s="2" customFormat="1" x14ac:dyDescent="0.45">
      <c r="A67" s="38" t="s">
        <v>55</v>
      </c>
      <c r="B67" s="39" t="s">
        <v>17</v>
      </c>
      <c r="C67" s="39" t="s">
        <v>20</v>
      </c>
      <c r="D67" s="134">
        <f>SUM(E67:H67)</f>
        <v>11693</v>
      </c>
      <c r="E67" s="42">
        <v>1169</v>
      </c>
      <c r="F67" s="42">
        <v>0</v>
      </c>
      <c r="G67" s="42">
        <v>10524</v>
      </c>
      <c r="H67" s="42">
        <v>0</v>
      </c>
      <c r="I67" s="43">
        <v>0</v>
      </c>
      <c r="J67" s="41">
        <f>SUM(K67:N67)</f>
        <v>11703</v>
      </c>
      <c r="K67" s="44">
        <v>1170</v>
      </c>
      <c r="L67" s="44">
        <v>0</v>
      </c>
      <c r="M67" s="44">
        <v>10533</v>
      </c>
      <c r="N67" s="44">
        <v>0</v>
      </c>
      <c r="O67" s="45">
        <v>0</v>
      </c>
      <c r="P67" s="44">
        <f>J67-D67</f>
        <v>10</v>
      </c>
      <c r="Q67" s="44">
        <f t="shared" si="46"/>
        <v>1</v>
      </c>
      <c r="R67" s="44">
        <f t="shared" si="47"/>
        <v>0</v>
      </c>
      <c r="S67" s="44">
        <f t="shared" si="48"/>
        <v>9</v>
      </c>
      <c r="T67" s="44">
        <f t="shared" si="49"/>
        <v>0</v>
      </c>
      <c r="U67" s="69">
        <f t="shared" si="56"/>
        <v>0</v>
      </c>
      <c r="V67" s="68"/>
    </row>
    <row r="68" spans="1:27" s="2" customFormat="1" x14ac:dyDescent="0.45">
      <c r="A68" s="38" t="s">
        <v>55</v>
      </c>
      <c r="B68" s="39" t="s">
        <v>19</v>
      </c>
      <c r="C68" s="39" t="s">
        <v>16</v>
      </c>
      <c r="D68" s="134">
        <f>SUM(E68:H68)</f>
        <v>88</v>
      </c>
      <c r="E68" s="42">
        <v>0</v>
      </c>
      <c r="F68" s="42">
        <v>44</v>
      </c>
      <c r="G68" s="42">
        <v>44</v>
      </c>
      <c r="H68" s="42">
        <v>0</v>
      </c>
      <c r="I68" s="43">
        <v>0</v>
      </c>
      <c r="J68" s="41">
        <f>SUM(K68:N68)</f>
        <v>88</v>
      </c>
      <c r="K68" s="44">
        <v>0</v>
      </c>
      <c r="L68" s="44">
        <v>44</v>
      </c>
      <c r="M68" s="44">
        <v>44</v>
      </c>
      <c r="N68" s="44">
        <v>0</v>
      </c>
      <c r="O68" s="45">
        <v>0</v>
      </c>
      <c r="P68" s="44">
        <f>J68-D68</f>
        <v>0</v>
      </c>
      <c r="Q68" s="44">
        <f t="shared" si="46"/>
        <v>0</v>
      </c>
      <c r="R68" s="44">
        <f t="shared" si="47"/>
        <v>0</v>
      </c>
      <c r="S68" s="44">
        <f t="shared" si="48"/>
        <v>0</v>
      </c>
      <c r="T68" s="44">
        <f t="shared" si="49"/>
        <v>0</v>
      </c>
      <c r="U68" s="69">
        <f t="shared" si="56"/>
        <v>0</v>
      </c>
      <c r="V68" s="68"/>
    </row>
    <row r="69" spans="1:27" s="2" customFormat="1" ht="19.8" thickBot="1" x14ac:dyDescent="0.5">
      <c r="A69" s="38" t="s">
        <v>55</v>
      </c>
      <c r="B69" s="39" t="s">
        <v>19</v>
      </c>
      <c r="C69" s="39" t="s">
        <v>18</v>
      </c>
      <c r="D69" s="97">
        <f>SUM(E69:H69)</f>
        <v>6</v>
      </c>
      <c r="E69" s="48">
        <v>1</v>
      </c>
      <c r="F69" s="48">
        <v>0</v>
      </c>
      <c r="G69" s="48">
        <v>5</v>
      </c>
      <c r="H69" s="48">
        <v>0</v>
      </c>
      <c r="I69" s="58">
        <v>0</v>
      </c>
      <c r="J69" s="47">
        <f>SUM(K69:N69)</f>
        <v>6</v>
      </c>
      <c r="K69" s="50">
        <v>1</v>
      </c>
      <c r="L69" s="50">
        <v>0</v>
      </c>
      <c r="M69" s="50">
        <v>5</v>
      </c>
      <c r="N69" s="50">
        <v>0</v>
      </c>
      <c r="O69" s="51">
        <v>0</v>
      </c>
      <c r="P69" s="47">
        <f>J69-D69</f>
        <v>0</v>
      </c>
      <c r="Q69" s="50">
        <f t="shared" si="46"/>
        <v>0</v>
      </c>
      <c r="R69" s="50">
        <f t="shared" si="47"/>
        <v>0</v>
      </c>
      <c r="S69" s="50">
        <f t="shared" si="48"/>
        <v>0</v>
      </c>
      <c r="T69" s="50">
        <f t="shared" si="49"/>
        <v>0</v>
      </c>
      <c r="U69" s="70">
        <f t="shared" si="56"/>
        <v>0</v>
      </c>
      <c r="V69" s="68"/>
    </row>
    <row r="70" spans="1:27" s="2" customFormat="1" ht="19.8" thickBot="1" x14ac:dyDescent="0.5">
      <c r="A70" s="32" t="s">
        <v>56</v>
      </c>
      <c r="B70" s="52" t="s">
        <v>23</v>
      </c>
      <c r="C70" s="52"/>
      <c r="D70" s="80">
        <f>SUM(E70:H70)</f>
        <v>-2296</v>
      </c>
      <c r="E70" s="71">
        <v>-303</v>
      </c>
      <c r="F70" s="71">
        <v>0</v>
      </c>
      <c r="G70" s="71">
        <f>-1321+30</f>
        <v>-1291</v>
      </c>
      <c r="H70" s="71">
        <v>-702</v>
      </c>
      <c r="I70" s="58">
        <v>0</v>
      </c>
      <c r="J70" s="61">
        <f>SUM(K70:N70)</f>
        <v>-1071</v>
      </c>
      <c r="K70" s="64">
        <v>-37</v>
      </c>
      <c r="L70" s="64">
        <v>0</v>
      </c>
      <c r="M70" s="64">
        <f>-430+4</f>
        <v>-426</v>
      </c>
      <c r="N70" s="64">
        <v>-608</v>
      </c>
      <c r="O70" s="65">
        <v>0</v>
      </c>
      <c r="P70" s="61">
        <f>J70-D70</f>
        <v>1225</v>
      </c>
      <c r="Q70" s="64">
        <f>K70-E70</f>
        <v>266</v>
      </c>
      <c r="R70" s="64">
        <f>L70-F70</f>
        <v>0</v>
      </c>
      <c r="S70" s="64">
        <f>M70-G70</f>
        <v>865</v>
      </c>
      <c r="T70" s="64">
        <f>N70-H70</f>
        <v>94</v>
      </c>
      <c r="U70" s="66">
        <f>O70-I70</f>
        <v>0</v>
      </c>
      <c r="V70" s="68"/>
    </row>
    <row r="71" spans="1:27" s="2" customFormat="1" ht="19.8" thickBot="1" x14ac:dyDescent="0.5">
      <c r="A71" s="32" t="s">
        <v>57</v>
      </c>
      <c r="B71" s="172" t="str">
        <f>HYPERLINK("#A87","COVID-19 BEHAVIORAL HEALTH 3")</f>
        <v>COVID-19 BEHAVIORAL HEALTH 3</v>
      </c>
      <c r="C71" s="52"/>
      <c r="D71" s="80">
        <f t="shared" ref="D71" si="64">SUM(E71:H71)</f>
        <v>0</v>
      </c>
      <c r="E71" s="71">
        <v>0</v>
      </c>
      <c r="F71" s="71">
        <v>0</v>
      </c>
      <c r="G71" s="71">
        <v>0</v>
      </c>
      <c r="H71" s="71">
        <v>0</v>
      </c>
      <c r="I71" s="58">
        <v>0</v>
      </c>
      <c r="J71" s="61">
        <f t="shared" ref="J71" si="65">SUM(K71:N71)</f>
        <v>0</v>
      </c>
      <c r="K71" s="64">
        <v>0</v>
      </c>
      <c r="L71" s="64">
        <v>0</v>
      </c>
      <c r="M71" s="64">
        <v>0</v>
      </c>
      <c r="N71" s="64">
        <v>0</v>
      </c>
      <c r="O71" s="65">
        <v>0</v>
      </c>
      <c r="P71" s="61">
        <f t="shared" ref="P71:P75" si="66">J71-D71</f>
        <v>0</v>
      </c>
      <c r="Q71" s="64">
        <f t="shared" ref="Q71:Q75" si="67">K71-E71</f>
        <v>0</v>
      </c>
      <c r="R71" s="64">
        <f t="shared" ref="R71:R75" si="68">L71-F71</f>
        <v>0</v>
      </c>
      <c r="S71" s="64">
        <f t="shared" ref="S71:S75" si="69">M71-G71</f>
        <v>0</v>
      </c>
      <c r="T71" s="64">
        <f t="shared" ref="T71:T75" si="70">N71-H71</f>
        <v>0</v>
      </c>
      <c r="U71" s="66">
        <f t="shared" ref="U71:U75" si="71">O71-I71</f>
        <v>0</v>
      </c>
      <c r="V71" s="68"/>
    </row>
    <row r="72" spans="1:27" s="68" customFormat="1" ht="19.8" thickBot="1" x14ac:dyDescent="0.5">
      <c r="A72" s="73" t="s">
        <v>58</v>
      </c>
      <c r="B72" s="173" t="str">
        <f>HYPERLINK("#A88","STATE ONLY CLAIMING ADJUSTMENT - RETRO ADJ. 4")</f>
        <v>STATE ONLY CLAIMING ADJUSTMENT - RETRO ADJ. 4</v>
      </c>
      <c r="C72" s="75"/>
      <c r="D72" s="80">
        <f>SUM(E72:H72)</f>
        <v>0</v>
      </c>
      <c r="E72" s="71">
        <v>0</v>
      </c>
      <c r="F72" s="71">
        <v>0</v>
      </c>
      <c r="G72" s="71">
        <v>0</v>
      </c>
      <c r="H72" s="71">
        <v>0</v>
      </c>
      <c r="I72" s="58">
        <v>0</v>
      </c>
      <c r="J72" s="61">
        <f>SUM(K72:N72)</f>
        <v>0</v>
      </c>
      <c r="K72" s="64">
        <v>0</v>
      </c>
      <c r="L72" s="64">
        <v>0</v>
      </c>
      <c r="M72" s="64">
        <v>0</v>
      </c>
      <c r="N72" s="64">
        <v>0</v>
      </c>
      <c r="O72" s="65">
        <v>0</v>
      </c>
      <c r="P72" s="61">
        <f t="shared" si="66"/>
        <v>0</v>
      </c>
      <c r="Q72" s="64">
        <f t="shared" si="67"/>
        <v>0</v>
      </c>
      <c r="R72" s="64">
        <f t="shared" si="68"/>
        <v>0</v>
      </c>
      <c r="S72" s="64">
        <f t="shared" si="69"/>
        <v>0</v>
      </c>
      <c r="T72" s="64">
        <f t="shared" si="70"/>
        <v>0</v>
      </c>
      <c r="U72" s="66">
        <f t="shared" si="71"/>
        <v>0</v>
      </c>
      <c r="W72" s="2"/>
      <c r="X72" s="2"/>
      <c r="Y72" s="2"/>
      <c r="Z72" s="2"/>
      <c r="AA72" s="2"/>
    </row>
    <row r="73" spans="1:27" s="68" customFormat="1" ht="19.8" thickBot="1" x14ac:dyDescent="0.5">
      <c r="A73" s="73" t="s">
        <v>60</v>
      </c>
      <c r="B73" s="173" t="str">
        <f>HYPERLINK("#A89","QUALIFYING COMMUNITY-BASED MOBILE CRISIS SERVICES 5")</f>
        <v>QUALIFYING COMMUNITY-BASED MOBILE CRISIS SERVICES 5</v>
      </c>
      <c r="C73" s="60"/>
      <c r="D73" s="80">
        <f>SUM(E73:H73)</f>
        <v>27415</v>
      </c>
      <c r="E73" s="71">
        <f>3290+822</f>
        <v>4112</v>
      </c>
      <c r="F73" s="71">
        <v>0</v>
      </c>
      <c r="G73" s="71">
        <f>18642+4661</f>
        <v>23303</v>
      </c>
      <c r="H73" s="71">
        <v>0</v>
      </c>
      <c r="I73" s="58">
        <v>0</v>
      </c>
      <c r="J73" s="61">
        <f>SUM(K73:N73)</f>
        <v>22558</v>
      </c>
      <c r="K73" s="64">
        <f>2707+677</f>
        <v>3384</v>
      </c>
      <c r="L73" s="64">
        <v>0</v>
      </c>
      <c r="M73" s="64">
        <f>15339+3835</f>
        <v>19174</v>
      </c>
      <c r="N73" s="64">
        <v>0</v>
      </c>
      <c r="O73" s="65">
        <v>0</v>
      </c>
      <c r="P73" s="61">
        <f t="shared" si="66"/>
        <v>-4857</v>
      </c>
      <c r="Q73" s="64">
        <f t="shared" si="67"/>
        <v>-728</v>
      </c>
      <c r="R73" s="64">
        <f t="shared" si="68"/>
        <v>0</v>
      </c>
      <c r="S73" s="64">
        <f t="shared" si="69"/>
        <v>-4129</v>
      </c>
      <c r="T73" s="64">
        <f t="shared" si="70"/>
        <v>0</v>
      </c>
      <c r="U73" s="66">
        <f t="shared" si="71"/>
        <v>0</v>
      </c>
      <c r="W73" s="2"/>
      <c r="X73" s="2"/>
      <c r="Y73" s="2"/>
      <c r="Z73" s="2"/>
      <c r="AA73" s="2"/>
    </row>
    <row r="74" spans="1:27" s="68" customFormat="1" ht="19.8" thickBot="1" x14ac:dyDescent="0.5">
      <c r="A74" s="73" t="s">
        <v>59</v>
      </c>
      <c r="B74" s="173" t="str">
        <f>HYPERLINK("#A90","PEER SUPPORT SPECIALIST SERVICES 6")</f>
        <v>PEER SUPPORT SPECIALIST SERVICES 6</v>
      </c>
      <c r="C74" s="60"/>
      <c r="D74" s="80">
        <f>SUM(E74:H74)</f>
        <v>13842</v>
      </c>
      <c r="E74" s="71">
        <v>0</v>
      </c>
      <c r="F74" s="71">
        <v>3355</v>
      </c>
      <c r="G74" s="71">
        <v>10487</v>
      </c>
      <c r="H74" s="71">
        <v>0</v>
      </c>
      <c r="I74" s="58">
        <v>0</v>
      </c>
      <c r="J74" s="61">
        <f>SUM(K74:N74)</f>
        <v>13844</v>
      </c>
      <c r="K74" s="64">
        <v>0</v>
      </c>
      <c r="L74" s="64">
        <f>673+2700</f>
        <v>3373</v>
      </c>
      <c r="M74" s="64">
        <f>1803+8668</f>
        <v>10471</v>
      </c>
      <c r="N74" s="64">
        <v>0</v>
      </c>
      <c r="O74" s="65">
        <v>0</v>
      </c>
      <c r="P74" s="61">
        <f t="shared" ref="P74" si="72">J74-D74</f>
        <v>2</v>
      </c>
      <c r="Q74" s="64">
        <f t="shared" ref="Q74" si="73">K74-E74</f>
        <v>0</v>
      </c>
      <c r="R74" s="64">
        <f t="shared" ref="R74" si="74">L74-F74</f>
        <v>18</v>
      </c>
      <c r="S74" s="64">
        <f t="shared" ref="S74" si="75">M74-G74</f>
        <v>-16</v>
      </c>
      <c r="T74" s="64">
        <f t="shared" ref="T74" si="76">N74-H74</f>
        <v>0</v>
      </c>
      <c r="U74" s="66">
        <f t="shared" ref="U74" si="77">O74-I74</f>
        <v>0</v>
      </c>
      <c r="W74" s="2"/>
      <c r="X74" s="2"/>
      <c r="Y74" s="2"/>
      <c r="Z74" s="2"/>
      <c r="AA74" s="2"/>
    </row>
    <row r="75" spans="1:27" s="77" customFormat="1" ht="19.8" thickBot="1" x14ac:dyDescent="0.5">
      <c r="A75" s="76" t="s">
        <v>61</v>
      </c>
      <c r="B75" s="74" t="s">
        <v>24</v>
      </c>
      <c r="C75" s="74"/>
      <c r="D75" s="80">
        <f>SUM(E75:H75)</f>
        <v>113663</v>
      </c>
      <c r="E75" s="71">
        <v>0</v>
      </c>
      <c r="F75" s="71">
        <v>0</v>
      </c>
      <c r="G75" s="71">
        <v>62220</v>
      </c>
      <c r="H75" s="71">
        <v>51443</v>
      </c>
      <c r="I75" s="58">
        <v>0</v>
      </c>
      <c r="J75" s="61">
        <f>SUM(K75:N75)</f>
        <v>114290</v>
      </c>
      <c r="K75" s="64">
        <v>0</v>
      </c>
      <c r="L75" s="64">
        <v>0</v>
      </c>
      <c r="M75" s="64">
        <v>63860</v>
      </c>
      <c r="N75" s="64">
        <v>50430</v>
      </c>
      <c r="O75" s="65">
        <v>0</v>
      </c>
      <c r="P75" s="61">
        <f t="shared" si="66"/>
        <v>627</v>
      </c>
      <c r="Q75" s="64">
        <f t="shared" si="67"/>
        <v>0</v>
      </c>
      <c r="R75" s="64">
        <f t="shared" si="68"/>
        <v>0</v>
      </c>
      <c r="S75" s="64">
        <f t="shared" si="69"/>
        <v>1640</v>
      </c>
      <c r="T75" s="64">
        <f t="shared" si="70"/>
        <v>-1013</v>
      </c>
      <c r="U75" s="66">
        <f t="shared" si="71"/>
        <v>0</v>
      </c>
      <c r="W75" s="2"/>
      <c r="X75" s="2"/>
      <c r="Y75" s="2"/>
      <c r="Z75" s="2"/>
      <c r="AA75" s="2"/>
    </row>
    <row r="76" spans="1:27" s="77" customFormat="1" ht="19.8" thickBot="1" x14ac:dyDescent="0.5">
      <c r="A76" s="76" t="s">
        <v>64</v>
      </c>
      <c r="B76" s="173" t="str">
        <f>HYPERLINK("#A91","COUNTY COMPLIANCE WITH INTEROPERABILITY FINAL RULE 7")</f>
        <v>COUNTY COMPLIANCE WITH INTEROPERABILITY FINAL RULE 7</v>
      </c>
      <c r="C76" s="74"/>
      <c r="D76" s="80">
        <f>SUM(E76:H76)</f>
        <v>30972</v>
      </c>
      <c r="E76" s="71">
        <v>15486</v>
      </c>
      <c r="F76" s="71">
        <v>0</v>
      </c>
      <c r="G76" s="71">
        <v>7743</v>
      </c>
      <c r="H76" s="71">
        <v>7743</v>
      </c>
      <c r="I76" s="58">
        <v>0</v>
      </c>
      <c r="J76" s="61">
        <f>SUM(K76:N76)</f>
        <v>30972</v>
      </c>
      <c r="K76" s="64">
        <v>7743</v>
      </c>
      <c r="L76" s="64">
        <v>0</v>
      </c>
      <c r="M76" s="64">
        <v>15486</v>
      </c>
      <c r="N76" s="64">
        <v>7743</v>
      </c>
      <c r="O76" s="65">
        <v>0</v>
      </c>
      <c r="P76" s="61">
        <f t="shared" ref="P76" si="78">J76-D76</f>
        <v>0</v>
      </c>
      <c r="Q76" s="64">
        <f t="shared" ref="Q76" si="79">K76-E76</f>
        <v>-7743</v>
      </c>
      <c r="R76" s="64">
        <f t="shared" ref="R76" si="80">L76-F76</f>
        <v>0</v>
      </c>
      <c r="S76" s="64">
        <f t="shared" ref="S76" si="81">M76-G76</f>
        <v>7743</v>
      </c>
      <c r="T76" s="64">
        <f t="shared" ref="T76" si="82">N76-H76</f>
        <v>0</v>
      </c>
      <c r="U76" s="66">
        <f t="shared" ref="U76" si="83">O76-I76</f>
        <v>0</v>
      </c>
      <c r="W76" s="2"/>
      <c r="X76" s="2"/>
      <c r="Y76" s="2"/>
      <c r="Z76" s="2"/>
      <c r="AA76" s="2"/>
    </row>
    <row r="77" spans="1:27" s="77" customFormat="1" ht="19.8" thickBot="1" x14ac:dyDescent="0.5">
      <c r="A77" s="76" t="s">
        <v>62</v>
      </c>
      <c r="B77" s="74" t="s">
        <v>25</v>
      </c>
      <c r="C77" s="74"/>
      <c r="D77" s="80">
        <f t="shared" ref="D77:D78" si="84">SUM(E77:H77)</f>
        <v>7833</v>
      </c>
      <c r="E77" s="71">
        <v>1958</v>
      </c>
      <c r="F77" s="71">
        <v>0</v>
      </c>
      <c r="G77" s="71">
        <v>3917</v>
      </c>
      <c r="H77" s="71">
        <v>1958</v>
      </c>
      <c r="I77" s="58">
        <v>0</v>
      </c>
      <c r="J77" s="61">
        <f t="shared" ref="J77" si="85">SUM(K77:N77)</f>
        <v>7833</v>
      </c>
      <c r="K77" s="64">
        <v>1958</v>
      </c>
      <c r="L77" s="64">
        <v>0</v>
      </c>
      <c r="M77" s="64">
        <v>3917</v>
      </c>
      <c r="N77" s="64">
        <v>1958</v>
      </c>
      <c r="O77" s="65">
        <v>0</v>
      </c>
      <c r="P77" s="61">
        <f t="shared" ref="P77:U77" si="86">J77-D77</f>
        <v>0</v>
      </c>
      <c r="Q77" s="64">
        <f t="shared" si="86"/>
        <v>0</v>
      </c>
      <c r="R77" s="64">
        <f t="shared" si="86"/>
        <v>0</v>
      </c>
      <c r="S77" s="64">
        <f t="shared" si="86"/>
        <v>0</v>
      </c>
      <c r="T77" s="64">
        <f t="shared" si="86"/>
        <v>0</v>
      </c>
      <c r="U77" s="66">
        <f t="shared" si="86"/>
        <v>0</v>
      </c>
      <c r="W77" s="2"/>
      <c r="X77" s="2"/>
      <c r="Y77" s="2"/>
      <c r="Z77" s="2"/>
      <c r="AA77" s="2"/>
    </row>
    <row r="78" spans="1:27" s="77" customFormat="1" ht="19.8" thickBot="1" x14ac:dyDescent="0.5">
      <c r="A78" s="76" t="s">
        <v>63</v>
      </c>
      <c r="B78" s="173" t="str">
        <f>HYPERLINK("#A92","HCBS SP - CONTINGENCY MANAGEMENT ADMIN 8")</f>
        <v>HCBS SP - CONTINGENCY MANAGEMENT ADMIN 8</v>
      </c>
      <c r="C78" s="74"/>
      <c r="D78" s="80">
        <f t="shared" si="84"/>
        <v>12238</v>
      </c>
      <c r="E78" s="71">
        <v>0</v>
      </c>
      <c r="F78" s="71">
        <v>0</v>
      </c>
      <c r="G78" s="71">
        <v>6119</v>
      </c>
      <c r="H78" s="71">
        <v>6119</v>
      </c>
      <c r="I78" s="58">
        <v>0</v>
      </c>
      <c r="J78" s="61">
        <f t="shared" ref="J78" si="87">SUM(K78:N78)</f>
        <v>8204</v>
      </c>
      <c r="K78" s="64">
        <v>0</v>
      </c>
      <c r="L78" s="64">
        <v>740</v>
      </c>
      <c r="M78" s="64">
        <v>4102</v>
      </c>
      <c r="N78" s="64">
        <v>3362</v>
      </c>
      <c r="O78" s="65">
        <v>0</v>
      </c>
      <c r="P78" s="61">
        <f t="shared" ref="P78" si="88">J78-D78</f>
        <v>-4034</v>
      </c>
      <c r="Q78" s="64">
        <f t="shared" ref="Q78" si="89">K78-E78</f>
        <v>0</v>
      </c>
      <c r="R78" s="64">
        <f t="shared" ref="R78" si="90">L78-F78</f>
        <v>740</v>
      </c>
      <c r="S78" s="64">
        <f t="shared" ref="S78" si="91">M78-G78</f>
        <v>-2017</v>
      </c>
      <c r="T78" s="64">
        <f t="shared" ref="T78:T82" si="92">N78-H78</f>
        <v>-2757</v>
      </c>
      <c r="U78" s="66">
        <f t="shared" ref="U78" si="93">O78-I78</f>
        <v>0</v>
      </c>
      <c r="W78" s="2"/>
      <c r="X78" s="2"/>
      <c r="Y78" s="2"/>
      <c r="Z78" s="2"/>
      <c r="AA78" s="2"/>
    </row>
    <row r="79" spans="1:27" s="83" customFormat="1" ht="19.8" thickBot="1" x14ac:dyDescent="0.5">
      <c r="A79" s="78"/>
      <c r="B79" s="79"/>
      <c r="C79" s="79" t="s">
        <v>26</v>
      </c>
      <c r="D79" s="80">
        <f t="shared" ref="D79:O79" si="94">D54+D59+D64+D65+D70+D71+D72+D74+D75+D76+D77+D73+D78</f>
        <v>1255507</v>
      </c>
      <c r="E79" s="80">
        <f t="shared" si="94"/>
        <v>162712</v>
      </c>
      <c r="F79" s="80">
        <f t="shared" si="94"/>
        <v>112101</v>
      </c>
      <c r="G79" s="80">
        <f t="shared" si="94"/>
        <v>911656</v>
      </c>
      <c r="H79" s="80">
        <f t="shared" si="94"/>
        <v>69038</v>
      </c>
      <c r="I79" s="81">
        <f t="shared" si="94"/>
        <v>1403.4537376842077</v>
      </c>
      <c r="J79" s="80">
        <f t="shared" si="94"/>
        <v>979153</v>
      </c>
      <c r="K79" s="80">
        <f t="shared" si="94"/>
        <v>107798</v>
      </c>
      <c r="L79" s="80">
        <f t="shared" si="94"/>
        <v>96012</v>
      </c>
      <c r="M79" s="80">
        <f t="shared" si="94"/>
        <v>709981</v>
      </c>
      <c r="N79" s="80">
        <f t="shared" si="94"/>
        <v>65362</v>
      </c>
      <c r="O79" s="81">
        <f t="shared" si="94"/>
        <v>1403.4537376842077</v>
      </c>
      <c r="P79" s="80">
        <f>J79-D79</f>
        <v>-276354</v>
      </c>
      <c r="Q79" s="62">
        <f>K79-E79</f>
        <v>-54914</v>
      </c>
      <c r="R79" s="62">
        <f>L79-F79</f>
        <v>-16089</v>
      </c>
      <c r="S79" s="62">
        <f>M79-G79</f>
        <v>-201675</v>
      </c>
      <c r="T79" s="62">
        <f t="shared" si="92"/>
        <v>-3676</v>
      </c>
      <c r="U79" s="82">
        <f>O79-I79</f>
        <v>0</v>
      </c>
      <c r="W79" s="2"/>
      <c r="X79" s="2"/>
      <c r="Y79" s="2"/>
      <c r="Z79" s="2"/>
      <c r="AA79" s="2"/>
    </row>
    <row r="80" spans="1:27" s="83" customFormat="1" x14ac:dyDescent="0.45">
      <c r="A80" s="78"/>
      <c r="B80" s="79"/>
      <c r="C80" s="84" t="s">
        <v>27</v>
      </c>
      <c r="D80" s="85">
        <f t="shared" ref="D80:O80" si="95">D55+D56+D60+D61+D66+D67</f>
        <v>960819</v>
      </c>
      <c r="E80" s="85">
        <f t="shared" si="95"/>
        <v>141257</v>
      </c>
      <c r="F80" s="85">
        <f t="shared" si="95"/>
        <v>86123</v>
      </c>
      <c r="G80" s="85">
        <f t="shared" si="95"/>
        <v>731012</v>
      </c>
      <c r="H80" s="85">
        <f t="shared" si="95"/>
        <v>2427</v>
      </c>
      <c r="I80" s="86">
        <f t="shared" si="95"/>
        <v>1402.0059686870813</v>
      </c>
      <c r="J80" s="85">
        <f t="shared" si="95"/>
        <v>715373</v>
      </c>
      <c r="K80" s="85">
        <f t="shared" si="95"/>
        <v>94604</v>
      </c>
      <c r="L80" s="85">
        <f t="shared" si="95"/>
        <v>75132</v>
      </c>
      <c r="M80" s="85">
        <f t="shared" si="95"/>
        <v>543210</v>
      </c>
      <c r="N80" s="85">
        <f t="shared" si="95"/>
        <v>2427</v>
      </c>
      <c r="O80" s="86">
        <f t="shared" si="95"/>
        <v>1402.0059686870813</v>
      </c>
      <c r="P80" s="87">
        <f>J80-D80</f>
        <v>-245446</v>
      </c>
      <c r="Q80" s="42">
        <f t="shared" ref="Q80" si="96">K80-E80</f>
        <v>-46653</v>
      </c>
      <c r="R80" s="42">
        <f t="shared" ref="R80" si="97">L80-F80</f>
        <v>-10991</v>
      </c>
      <c r="S80" s="88">
        <f>M80-G80</f>
        <v>-187802</v>
      </c>
      <c r="T80" s="88">
        <f t="shared" si="92"/>
        <v>0</v>
      </c>
      <c r="U80" s="89">
        <f>O80-I80</f>
        <v>0</v>
      </c>
      <c r="W80" s="2"/>
      <c r="X80" s="2"/>
      <c r="Y80" s="2"/>
      <c r="Z80" s="2"/>
      <c r="AA80" s="2"/>
    </row>
    <row r="81" spans="1:27" s="68" customFormat="1" x14ac:dyDescent="0.45">
      <c r="A81" s="38"/>
      <c r="B81" s="90"/>
      <c r="C81" s="91" t="s">
        <v>28</v>
      </c>
      <c r="D81" s="92">
        <f t="shared" ref="D81:O81" si="98">D57+D58+D62+D63+D68+D69</f>
        <v>8339</v>
      </c>
      <c r="E81" s="92">
        <f t="shared" si="98"/>
        <v>202</v>
      </c>
      <c r="F81" s="92">
        <f t="shared" si="98"/>
        <v>3113</v>
      </c>
      <c r="G81" s="92">
        <f t="shared" si="98"/>
        <v>4974</v>
      </c>
      <c r="H81" s="92">
        <f t="shared" si="98"/>
        <v>50</v>
      </c>
      <c r="I81" s="93">
        <f t="shared" si="98"/>
        <v>1.4477689971264285</v>
      </c>
      <c r="J81" s="92">
        <f t="shared" si="98"/>
        <v>6073</v>
      </c>
      <c r="K81" s="92">
        <f t="shared" si="98"/>
        <v>146</v>
      </c>
      <c r="L81" s="92">
        <f t="shared" si="98"/>
        <v>2260</v>
      </c>
      <c r="M81" s="92">
        <f t="shared" si="98"/>
        <v>3617</v>
      </c>
      <c r="N81" s="92">
        <f t="shared" si="98"/>
        <v>50</v>
      </c>
      <c r="O81" s="93">
        <f t="shared" si="98"/>
        <v>1.4477689971264285</v>
      </c>
      <c r="P81" s="87">
        <f>J81-D81</f>
        <v>-2266</v>
      </c>
      <c r="Q81" s="42">
        <f>K81-E81</f>
        <v>-56</v>
      </c>
      <c r="R81" s="42">
        <f>L81-F81</f>
        <v>-853</v>
      </c>
      <c r="S81" s="88">
        <f>M81-G81</f>
        <v>-1357</v>
      </c>
      <c r="T81" s="88">
        <f t="shared" si="92"/>
        <v>0</v>
      </c>
      <c r="U81" s="89">
        <f>O81-I81</f>
        <v>0</v>
      </c>
      <c r="W81" s="2"/>
      <c r="X81" s="2"/>
      <c r="Y81" s="2"/>
      <c r="Z81" s="2"/>
      <c r="AA81" s="2"/>
    </row>
    <row r="82" spans="1:27" s="68" customFormat="1" ht="19.8" thickBot="1" x14ac:dyDescent="0.5">
      <c r="A82" s="94"/>
      <c r="B82" s="95"/>
      <c r="C82" s="96" t="s">
        <v>29</v>
      </c>
      <c r="D82" s="97">
        <f t="shared" ref="D82:O82" si="99">D64+D70+D71+D72+D74+D75+D76+D77+D73+D78</f>
        <v>286349</v>
      </c>
      <c r="E82" s="97">
        <f t="shared" si="99"/>
        <v>21253</v>
      </c>
      <c r="F82" s="97">
        <f t="shared" si="99"/>
        <v>22865</v>
      </c>
      <c r="G82" s="97">
        <f t="shared" si="99"/>
        <v>175670</v>
      </c>
      <c r="H82" s="97">
        <f t="shared" si="99"/>
        <v>66561</v>
      </c>
      <c r="I82" s="98">
        <f t="shared" si="99"/>
        <v>0</v>
      </c>
      <c r="J82" s="97">
        <f t="shared" si="99"/>
        <v>257707</v>
      </c>
      <c r="K82" s="97">
        <f t="shared" si="99"/>
        <v>13048</v>
      </c>
      <c r="L82" s="97">
        <f t="shared" si="99"/>
        <v>18620</v>
      </c>
      <c r="M82" s="97">
        <f t="shared" si="99"/>
        <v>163154</v>
      </c>
      <c r="N82" s="97">
        <f t="shared" si="99"/>
        <v>62885</v>
      </c>
      <c r="O82" s="98">
        <f t="shared" si="99"/>
        <v>0</v>
      </c>
      <c r="P82" s="99">
        <f>J82-D82</f>
        <v>-28642</v>
      </c>
      <c r="Q82" s="48">
        <f t="shared" ref="Q82" si="100">K82-E82</f>
        <v>-8205</v>
      </c>
      <c r="R82" s="48">
        <f t="shared" ref="R82" si="101">L82-F82</f>
        <v>-4245</v>
      </c>
      <c r="S82" s="100">
        <f t="shared" ref="S82" si="102">M82-G82</f>
        <v>-12516</v>
      </c>
      <c r="T82" s="100">
        <f t="shared" si="92"/>
        <v>-3676</v>
      </c>
      <c r="U82" s="101">
        <f>O82-I82</f>
        <v>0</v>
      </c>
      <c r="W82" s="2"/>
      <c r="X82" s="2"/>
      <c r="Y82" s="2"/>
      <c r="Z82" s="2"/>
      <c r="AA82" s="2"/>
    </row>
    <row r="83" spans="1:27" s="68" customFormat="1" x14ac:dyDescent="0.45">
      <c r="A83" s="13" t="s">
        <v>30</v>
      </c>
      <c r="B83" s="164"/>
      <c r="C83" s="165"/>
      <c r="D83" s="44"/>
      <c r="E83" s="44"/>
      <c r="F83" s="44"/>
      <c r="G83" s="44"/>
      <c r="H83" s="44"/>
      <c r="I83" s="44"/>
      <c r="J83" s="44"/>
      <c r="K83" s="44"/>
      <c r="L83" s="44"/>
      <c r="M83" s="44"/>
      <c r="N83" s="44"/>
      <c r="O83" s="44"/>
      <c r="P83" s="88"/>
      <c r="Q83" s="44"/>
      <c r="R83" s="44"/>
      <c r="S83" s="88"/>
      <c r="T83" s="88"/>
      <c r="U83" s="43"/>
    </row>
    <row r="84" spans="1:27" s="68" customFormat="1" x14ac:dyDescent="0.45">
      <c r="A84" s="108" t="s">
        <v>31</v>
      </c>
      <c r="B84" s="164"/>
      <c r="C84" s="165"/>
      <c r="D84" s="44"/>
      <c r="E84" s="44"/>
      <c r="F84" s="44"/>
      <c r="G84" s="44"/>
      <c r="H84" s="44"/>
      <c r="I84" s="44"/>
      <c r="J84" s="44"/>
      <c r="K84" s="44"/>
      <c r="L84" s="44"/>
      <c r="M84" s="44"/>
      <c r="N84" s="44"/>
      <c r="O84" s="166"/>
      <c r="P84" s="88"/>
      <c r="Q84" s="44"/>
      <c r="R84" s="44"/>
      <c r="S84" s="88"/>
      <c r="T84" s="88"/>
      <c r="U84" s="43"/>
    </row>
    <row r="85" spans="1:27" s="68" customFormat="1" ht="19.8" x14ac:dyDescent="0.45">
      <c r="A85" s="108" t="s">
        <v>68</v>
      </c>
      <c r="B85" s="108"/>
      <c r="C85" s="108"/>
      <c r="D85" s="42"/>
      <c r="E85" s="42"/>
      <c r="F85" s="42"/>
      <c r="G85" s="42"/>
      <c r="H85" s="42"/>
      <c r="I85" s="108"/>
      <c r="J85" s="2"/>
      <c r="K85" s="42"/>
      <c r="L85" s="42"/>
      <c r="M85" s="42"/>
      <c r="N85" s="42"/>
      <c r="O85" s="42"/>
      <c r="P85" s="88"/>
      <c r="Q85" s="44"/>
      <c r="R85" s="44"/>
      <c r="S85" s="88"/>
      <c r="T85" s="88"/>
      <c r="U85" s="43"/>
    </row>
    <row r="86" spans="1:27" s="68" customFormat="1" ht="19.8" x14ac:dyDescent="0.45">
      <c r="A86" s="108" t="s">
        <v>69</v>
      </c>
      <c r="B86" s="108"/>
      <c r="C86" s="108"/>
      <c r="D86" s="42"/>
      <c r="E86" s="42"/>
      <c r="F86" s="42"/>
      <c r="G86" s="42"/>
      <c r="H86" s="42"/>
      <c r="I86" s="108"/>
      <c r="J86" s="42"/>
      <c r="K86" s="42"/>
      <c r="L86" s="42"/>
      <c r="M86" s="42"/>
      <c r="N86" s="42"/>
      <c r="O86" s="108"/>
      <c r="P86" s="88"/>
      <c r="Q86" s="44"/>
      <c r="R86" s="44"/>
      <c r="S86" s="88"/>
      <c r="T86" s="88"/>
      <c r="U86" s="43"/>
    </row>
    <row r="87" spans="1:27" s="68" customFormat="1" ht="19.8" x14ac:dyDescent="0.45">
      <c r="A87" s="108" t="s">
        <v>70</v>
      </c>
      <c r="B87" s="108"/>
      <c r="C87" s="108"/>
      <c r="D87" s="42"/>
      <c r="E87" s="42"/>
      <c r="F87" s="42"/>
      <c r="G87" s="42"/>
      <c r="H87" s="42"/>
      <c r="I87" s="108"/>
      <c r="J87" s="42"/>
      <c r="K87" s="42"/>
      <c r="L87" s="42"/>
      <c r="M87" s="42"/>
      <c r="N87" s="42"/>
      <c r="O87" s="108"/>
      <c r="P87" s="88"/>
      <c r="Q87" s="44"/>
      <c r="R87" s="44"/>
      <c r="S87" s="88"/>
      <c r="T87" s="88"/>
      <c r="U87" s="43"/>
    </row>
    <row r="88" spans="1:27" s="68" customFormat="1" ht="19.8" x14ac:dyDescent="0.45">
      <c r="A88" s="3" t="s">
        <v>71</v>
      </c>
      <c r="B88" s="3"/>
      <c r="C88" s="162"/>
      <c r="D88" s="162"/>
      <c r="E88" s="162"/>
      <c r="F88" s="162"/>
      <c r="G88" s="162"/>
      <c r="H88" s="162"/>
      <c r="I88" s="162"/>
      <c r="J88" s="162"/>
      <c r="K88" s="162"/>
      <c r="L88" s="162"/>
      <c r="M88" s="162"/>
      <c r="N88" s="162"/>
      <c r="O88" s="162"/>
      <c r="P88" s="88"/>
      <c r="Q88" s="44"/>
      <c r="R88" s="44"/>
      <c r="S88" s="88"/>
      <c r="T88" s="88"/>
      <c r="U88" s="43"/>
    </row>
    <row r="89" spans="1:27" s="68" customFormat="1" ht="19.8" x14ac:dyDescent="0.45">
      <c r="A89" s="108" t="s">
        <v>72</v>
      </c>
      <c r="B89" s="108"/>
      <c r="C89" s="163"/>
      <c r="D89" s="42"/>
      <c r="E89" s="42"/>
      <c r="F89" s="42"/>
      <c r="G89" s="42"/>
      <c r="H89" s="42"/>
      <c r="I89" s="43"/>
      <c r="J89" s="42"/>
      <c r="K89" s="42"/>
      <c r="L89" s="42"/>
      <c r="M89" s="42"/>
      <c r="N89" s="42"/>
      <c r="O89" s="43"/>
      <c r="P89" s="88"/>
      <c r="Q89" s="44"/>
      <c r="R89" s="44"/>
      <c r="S89" s="88"/>
      <c r="T89" s="88"/>
      <c r="U89" s="43"/>
    </row>
    <row r="90" spans="1:27" s="2" customFormat="1" ht="19.8" x14ac:dyDescent="0.45">
      <c r="A90" s="108" t="s">
        <v>73</v>
      </c>
      <c r="B90" s="108"/>
      <c r="C90" s="163"/>
      <c r="D90" s="42"/>
      <c r="E90" s="42"/>
      <c r="F90" s="42"/>
      <c r="G90" s="42"/>
      <c r="H90" s="42"/>
      <c r="I90" s="43"/>
      <c r="J90" s="42"/>
      <c r="K90" s="42"/>
      <c r="L90" s="42"/>
      <c r="M90" s="42"/>
      <c r="N90" s="42"/>
      <c r="O90" s="43"/>
      <c r="P90" s="167"/>
      <c r="Q90" s="167"/>
      <c r="R90" s="167"/>
      <c r="S90" s="167"/>
      <c r="T90" s="167"/>
      <c r="U90" s="167"/>
    </row>
    <row r="91" spans="1:27" s="2" customFormat="1" ht="19.8" x14ac:dyDescent="0.45">
      <c r="A91" s="108" t="s">
        <v>74</v>
      </c>
      <c r="B91" s="108"/>
      <c r="C91" s="163"/>
      <c r="D91" s="42"/>
      <c r="E91" s="42"/>
      <c r="F91" s="42"/>
      <c r="G91" s="42"/>
      <c r="H91" s="42"/>
      <c r="I91" s="43"/>
      <c r="J91" s="42"/>
      <c r="K91" s="42"/>
      <c r="L91" s="42"/>
      <c r="M91" s="42"/>
      <c r="N91" s="42"/>
      <c r="O91" s="43"/>
      <c r="P91" s="167"/>
      <c r="Q91" s="167"/>
      <c r="R91" s="167"/>
      <c r="S91" s="167"/>
      <c r="T91" s="167"/>
      <c r="U91" s="167"/>
    </row>
    <row r="92" spans="1:27" ht="19.8" x14ac:dyDescent="0.45">
      <c r="A92" s="3" t="s">
        <v>75</v>
      </c>
      <c r="B92" s="3"/>
      <c r="C92" s="3"/>
      <c r="D92" s="3"/>
      <c r="E92" s="3"/>
      <c r="F92" s="3"/>
      <c r="G92" s="3"/>
      <c r="H92" s="3"/>
      <c r="I92" s="3"/>
      <c r="J92" s="3"/>
      <c r="K92" s="3"/>
      <c r="L92" s="3"/>
      <c r="M92" s="3"/>
      <c r="N92" s="3"/>
      <c r="O92" s="3"/>
      <c r="P92" s="111"/>
      <c r="Q92" s="111"/>
      <c r="R92" s="111"/>
      <c r="S92" s="111"/>
      <c r="T92" s="111"/>
      <c r="U92" s="111"/>
    </row>
    <row r="93" spans="1:27" x14ac:dyDescent="0.45">
      <c r="A93" s="2" t="s">
        <v>67</v>
      </c>
      <c r="B93" s="107"/>
      <c r="C93" s="2"/>
      <c r="D93" s="158"/>
      <c r="E93" s="158"/>
      <c r="F93" s="158"/>
      <c r="G93" s="158"/>
      <c r="H93" s="158"/>
      <c r="I93" s="2"/>
      <c r="J93" s="158"/>
      <c r="K93" s="158"/>
      <c r="L93" s="158"/>
      <c r="M93" s="158"/>
      <c r="N93" s="158"/>
      <c r="O93" s="2"/>
      <c r="P93" s="111"/>
      <c r="Q93" s="111"/>
      <c r="R93" s="111"/>
      <c r="S93" s="111"/>
      <c r="T93" s="111"/>
      <c r="U93" s="111"/>
    </row>
    <row r="94" spans="1:27" s="2" customFormat="1" ht="19.8" x14ac:dyDescent="0.45">
      <c r="A94" s="3"/>
      <c r="B94" s="168"/>
      <c r="C94" s="108"/>
      <c r="D94" s="167"/>
      <c r="E94" s="167"/>
      <c r="F94" s="167"/>
      <c r="G94" s="167"/>
      <c r="H94" s="167"/>
      <c r="I94" s="167"/>
      <c r="J94" s="167"/>
      <c r="K94" s="167"/>
      <c r="L94" s="167"/>
      <c r="M94" s="167"/>
      <c r="N94" s="167"/>
      <c r="O94" s="167"/>
      <c r="P94" s="167"/>
      <c r="Q94" s="167"/>
      <c r="R94" s="167"/>
      <c r="S94" s="167"/>
      <c r="T94" s="167"/>
      <c r="U94" s="167"/>
    </row>
    <row r="95" spans="1:27" s="2" customFormat="1" x14ac:dyDescent="0.45">
      <c r="A95" s="8" t="s">
        <v>65</v>
      </c>
      <c r="B95" s="9"/>
      <c r="C95" s="9"/>
      <c r="D95" s="9"/>
      <c r="E95" s="9"/>
      <c r="F95" s="9"/>
      <c r="G95" s="9"/>
      <c r="H95" s="9"/>
      <c r="I95" s="9"/>
      <c r="J95" s="9"/>
      <c r="K95" s="9"/>
      <c r="L95" s="9"/>
      <c r="M95" s="9"/>
      <c r="N95" s="9"/>
      <c r="O95" s="9"/>
      <c r="P95" s="9"/>
      <c r="Q95" s="9"/>
      <c r="R95" s="9"/>
      <c r="S95" s="9"/>
      <c r="T95" s="9"/>
      <c r="U95" s="10"/>
    </row>
    <row r="96" spans="1:27" s="2" customFormat="1" ht="19.8" thickBot="1" x14ac:dyDescent="0.5">
      <c r="A96" s="137" t="s">
        <v>4</v>
      </c>
      <c r="B96" s="138"/>
      <c r="C96" s="139"/>
      <c r="D96" s="140"/>
      <c r="E96" s="140"/>
      <c r="F96" s="140"/>
      <c r="G96" s="140"/>
      <c r="H96" s="140"/>
      <c r="I96" s="138"/>
      <c r="J96" s="140"/>
      <c r="K96" s="140"/>
      <c r="L96" s="140"/>
      <c r="M96" s="140"/>
      <c r="N96" s="140"/>
      <c r="O96" s="138"/>
      <c r="P96" s="140"/>
      <c r="Q96" s="140"/>
      <c r="R96" s="140"/>
      <c r="S96" s="140"/>
      <c r="T96" s="140"/>
      <c r="U96" s="141"/>
    </row>
    <row r="97" spans="1:22" s="20" customFormat="1" x14ac:dyDescent="0.45">
      <c r="A97" s="115" t="s">
        <v>36</v>
      </c>
      <c r="B97" s="116"/>
      <c r="C97" s="117"/>
      <c r="D97" s="142" t="s">
        <v>38</v>
      </c>
      <c r="E97" s="143"/>
      <c r="F97" s="143"/>
      <c r="G97" s="143"/>
      <c r="H97" s="143"/>
      <c r="I97" s="144"/>
      <c r="J97" s="142" t="s">
        <v>50</v>
      </c>
      <c r="K97" s="143"/>
      <c r="L97" s="143"/>
      <c r="M97" s="143"/>
      <c r="N97" s="143"/>
      <c r="O97" s="144"/>
      <c r="P97" s="118" t="s">
        <v>32</v>
      </c>
      <c r="Q97" s="119"/>
      <c r="R97" s="119"/>
      <c r="S97" s="119"/>
      <c r="T97" s="119"/>
      <c r="U97" s="120"/>
    </row>
    <row r="98" spans="1:22" s="20" customFormat="1" ht="19.8" thickBot="1" x14ac:dyDescent="0.5">
      <c r="A98" s="145" t="s">
        <v>34</v>
      </c>
      <c r="B98" s="146" t="s">
        <v>6</v>
      </c>
      <c r="C98" s="147" t="s">
        <v>8</v>
      </c>
      <c r="D98" s="148" t="s">
        <v>44</v>
      </c>
      <c r="E98" s="149" t="s">
        <v>45</v>
      </c>
      <c r="F98" s="170" t="str">
        <f>HYPERLINK("#A131","M24 SF 2, 8")</f>
        <v>M24 SF 2, 8</v>
      </c>
      <c r="G98" s="149" t="s">
        <v>46</v>
      </c>
      <c r="H98" s="150" t="s">
        <v>51</v>
      </c>
      <c r="I98" s="151" t="s">
        <v>47</v>
      </c>
      <c r="J98" s="149" t="s">
        <v>44</v>
      </c>
      <c r="K98" s="149" t="s">
        <v>45</v>
      </c>
      <c r="L98" s="170" t="str">
        <f>HYPERLINK("#A137","M24 SF 2, 8")</f>
        <v>M24 SF 2, 8</v>
      </c>
      <c r="M98" s="149" t="s">
        <v>46</v>
      </c>
      <c r="N98" s="150" t="s">
        <v>51</v>
      </c>
      <c r="O98" s="152" t="s">
        <v>47</v>
      </c>
      <c r="P98" s="148" t="s">
        <v>9</v>
      </c>
      <c r="Q98" s="149" t="s">
        <v>10</v>
      </c>
      <c r="R98" s="149" t="s">
        <v>11</v>
      </c>
      <c r="S98" s="149" t="s">
        <v>12</v>
      </c>
      <c r="T98" s="150" t="s">
        <v>13</v>
      </c>
      <c r="U98" s="153" t="s">
        <v>33</v>
      </c>
    </row>
    <row r="99" spans="1:22" s="2" customFormat="1" x14ac:dyDescent="0.45">
      <c r="A99" s="32" t="s">
        <v>52</v>
      </c>
      <c r="B99" s="171" t="str">
        <f>HYPERLINK("#A130","DRUG MEDI-CAL ORGANIZED DELIVERY SYSTEM WAIVER 1")</f>
        <v>DRUG MEDI-CAL ORGANIZED DELIVERY SYSTEM WAIVER 1</v>
      </c>
      <c r="C99" s="33"/>
      <c r="D99" s="34">
        <f t="shared" ref="D99:O99" si="103">SUM(D100:D103)</f>
        <v>705637</v>
      </c>
      <c r="E99" s="35">
        <f t="shared" si="103"/>
        <v>95591</v>
      </c>
      <c r="F99" s="35">
        <f t="shared" si="103"/>
        <v>50577</v>
      </c>
      <c r="G99" s="35">
        <f t="shared" si="103"/>
        <v>538874</v>
      </c>
      <c r="H99" s="35">
        <f t="shared" si="103"/>
        <v>20595</v>
      </c>
      <c r="I99" s="36">
        <f t="shared" si="103"/>
        <v>0</v>
      </c>
      <c r="J99" s="34">
        <f t="shared" si="103"/>
        <v>688222</v>
      </c>
      <c r="K99" s="35">
        <f t="shared" si="103"/>
        <v>92599</v>
      </c>
      <c r="L99" s="35">
        <f t="shared" si="103"/>
        <v>73124</v>
      </c>
      <c r="M99" s="35">
        <f t="shared" si="103"/>
        <v>522499</v>
      </c>
      <c r="N99" s="35">
        <f t="shared" si="103"/>
        <v>0</v>
      </c>
      <c r="O99" s="36">
        <f t="shared" si="103"/>
        <v>0</v>
      </c>
      <c r="P99" s="34">
        <f t="shared" ref="P99:P104" si="104">J99-D99</f>
        <v>-17415</v>
      </c>
      <c r="Q99" s="35">
        <f t="shared" ref="Q99:Q114" si="105">K99-E99</f>
        <v>-2992</v>
      </c>
      <c r="R99" s="35">
        <f t="shared" ref="R99:R114" si="106">L99-F99</f>
        <v>22547</v>
      </c>
      <c r="S99" s="35">
        <f t="shared" ref="S99:S114" si="107">M99-G99</f>
        <v>-16375</v>
      </c>
      <c r="T99" s="35">
        <f t="shared" ref="T99:T114" si="108">N99-H99</f>
        <v>-20595</v>
      </c>
      <c r="U99" s="37">
        <f t="shared" ref="U99:U104" si="109">O99-I99</f>
        <v>0</v>
      </c>
    </row>
    <row r="100" spans="1:22" s="2" customFormat="1" x14ac:dyDescent="0.45">
      <c r="A100" s="38" t="s">
        <v>52</v>
      </c>
      <c r="B100" s="39" t="s">
        <v>15</v>
      </c>
      <c r="C100" s="40" t="s">
        <v>16</v>
      </c>
      <c r="D100" s="41">
        <f>SUM(E100:H100)</f>
        <v>243532</v>
      </c>
      <c r="E100" s="44">
        <f t="shared" ref="E100:I103" si="110">K10</f>
        <v>56337</v>
      </c>
      <c r="F100" s="44">
        <f t="shared" si="110"/>
        <v>44527</v>
      </c>
      <c r="G100" s="44">
        <f t="shared" si="110"/>
        <v>124762</v>
      </c>
      <c r="H100" s="44">
        <f t="shared" si="110"/>
        <v>17906</v>
      </c>
      <c r="I100" s="43">
        <f t="shared" si="110"/>
        <v>0</v>
      </c>
      <c r="J100" s="41">
        <f t="shared" ref="J100:J103" si="111">SUM(K100:N100)</f>
        <v>237534</v>
      </c>
      <c r="K100" s="44">
        <f t="shared" ref="K100:O103" si="112">K55</f>
        <v>54844</v>
      </c>
      <c r="L100" s="44">
        <f t="shared" si="112"/>
        <v>64037</v>
      </c>
      <c r="M100" s="44">
        <f t="shared" si="112"/>
        <v>118653</v>
      </c>
      <c r="N100" s="44">
        <f t="shared" si="112"/>
        <v>0</v>
      </c>
      <c r="O100" s="43">
        <f t="shared" si="112"/>
        <v>0</v>
      </c>
      <c r="P100" s="41">
        <f t="shared" si="104"/>
        <v>-5998</v>
      </c>
      <c r="Q100" s="44">
        <f t="shared" si="105"/>
        <v>-1493</v>
      </c>
      <c r="R100" s="44">
        <f t="shared" si="106"/>
        <v>19510</v>
      </c>
      <c r="S100" s="44">
        <f t="shared" si="107"/>
        <v>-6109</v>
      </c>
      <c r="T100" s="44">
        <f t="shared" si="108"/>
        <v>-17906</v>
      </c>
      <c r="U100" s="46">
        <f t="shared" si="109"/>
        <v>0</v>
      </c>
    </row>
    <row r="101" spans="1:22" s="2" customFormat="1" x14ac:dyDescent="0.45">
      <c r="A101" s="38" t="s">
        <v>52</v>
      </c>
      <c r="B101" s="39" t="s">
        <v>17</v>
      </c>
      <c r="C101" s="40" t="s">
        <v>18</v>
      </c>
      <c r="D101" s="41">
        <f>SUM(E101:H101)</f>
        <v>456004</v>
      </c>
      <c r="E101" s="44">
        <f t="shared" si="110"/>
        <v>39105</v>
      </c>
      <c r="F101" s="44">
        <f t="shared" si="110"/>
        <v>4467</v>
      </c>
      <c r="G101" s="44">
        <f t="shared" si="110"/>
        <v>410404</v>
      </c>
      <c r="H101" s="44">
        <f t="shared" si="110"/>
        <v>2028</v>
      </c>
      <c r="I101" s="43">
        <f t="shared" si="110"/>
        <v>0</v>
      </c>
      <c r="J101" s="41">
        <f t="shared" si="111"/>
        <v>444819</v>
      </c>
      <c r="K101" s="44">
        <f t="shared" si="112"/>
        <v>37611</v>
      </c>
      <c r="L101" s="44">
        <f t="shared" si="112"/>
        <v>6871</v>
      </c>
      <c r="M101" s="44">
        <f t="shared" si="112"/>
        <v>400337</v>
      </c>
      <c r="N101" s="44">
        <f t="shared" si="112"/>
        <v>0</v>
      </c>
      <c r="O101" s="43">
        <f t="shared" si="112"/>
        <v>0</v>
      </c>
      <c r="P101" s="41">
        <f t="shared" si="104"/>
        <v>-11185</v>
      </c>
      <c r="Q101" s="44">
        <f t="shared" si="105"/>
        <v>-1494</v>
      </c>
      <c r="R101" s="44">
        <f t="shared" si="106"/>
        <v>2404</v>
      </c>
      <c r="S101" s="44">
        <f t="shared" si="107"/>
        <v>-10067</v>
      </c>
      <c r="T101" s="44">
        <f t="shared" si="108"/>
        <v>-2028</v>
      </c>
      <c r="U101" s="46">
        <f t="shared" si="109"/>
        <v>0</v>
      </c>
    </row>
    <row r="102" spans="1:22" s="2" customFormat="1" x14ac:dyDescent="0.45">
      <c r="A102" s="38" t="s">
        <v>52</v>
      </c>
      <c r="B102" s="39" t="s">
        <v>19</v>
      </c>
      <c r="C102" s="40" t="s">
        <v>16</v>
      </c>
      <c r="D102" s="41">
        <f>SUM(E102:H102)</f>
        <v>4608</v>
      </c>
      <c r="E102" s="44">
        <f t="shared" si="110"/>
        <v>0</v>
      </c>
      <c r="F102" s="44">
        <f t="shared" si="110"/>
        <v>1583</v>
      </c>
      <c r="G102" s="44">
        <f t="shared" si="110"/>
        <v>2364</v>
      </c>
      <c r="H102" s="44">
        <f t="shared" si="110"/>
        <v>661</v>
      </c>
      <c r="I102" s="43">
        <f t="shared" si="110"/>
        <v>0</v>
      </c>
      <c r="J102" s="41">
        <f t="shared" si="111"/>
        <v>4432</v>
      </c>
      <c r="K102" s="44">
        <f t="shared" si="112"/>
        <v>0</v>
      </c>
      <c r="L102" s="44">
        <f t="shared" si="112"/>
        <v>2216</v>
      </c>
      <c r="M102" s="44">
        <f t="shared" si="112"/>
        <v>2216</v>
      </c>
      <c r="N102" s="44">
        <f t="shared" si="112"/>
        <v>0</v>
      </c>
      <c r="O102" s="43">
        <f t="shared" si="112"/>
        <v>0</v>
      </c>
      <c r="P102" s="41">
        <f t="shared" si="104"/>
        <v>-176</v>
      </c>
      <c r="Q102" s="44">
        <f t="shared" si="105"/>
        <v>0</v>
      </c>
      <c r="R102" s="44">
        <f t="shared" si="106"/>
        <v>633</v>
      </c>
      <c r="S102" s="44">
        <f t="shared" si="107"/>
        <v>-148</v>
      </c>
      <c r="T102" s="44">
        <f t="shared" si="108"/>
        <v>-661</v>
      </c>
      <c r="U102" s="46">
        <f t="shared" si="109"/>
        <v>0</v>
      </c>
    </row>
    <row r="103" spans="1:22" s="2" customFormat="1" ht="19.8" thickBot="1" x14ac:dyDescent="0.5">
      <c r="A103" s="38" t="s">
        <v>52</v>
      </c>
      <c r="B103" s="39" t="s">
        <v>19</v>
      </c>
      <c r="C103" s="40" t="s">
        <v>20</v>
      </c>
      <c r="D103" s="47">
        <f>SUM(E103:H103)</f>
        <v>1493</v>
      </c>
      <c r="E103" s="50">
        <f t="shared" si="110"/>
        <v>149</v>
      </c>
      <c r="F103" s="50">
        <f t="shared" si="110"/>
        <v>0</v>
      </c>
      <c r="G103" s="50">
        <f t="shared" si="110"/>
        <v>1344</v>
      </c>
      <c r="H103" s="50">
        <f t="shared" si="110"/>
        <v>0</v>
      </c>
      <c r="I103" s="49">
        <f t="shared" si="110"/>
        <v>0</v>
      </c>
      <c r="J103" s="47">
        <f t="shared" si="111"/>
        <v>1437</v>
      </c>
      <c r="K103" s="50">
        <f t="shared" si="112"/>
        <v>144</v>
      </c>
      <c r="L103" s="50">
        <f t="shared" si="112"/>
        <v>0</v>
      </c>
      <c r="M103" s="50">
        <f t="shared" si="112"/>
        <v>1293</v>
      </c>
      <c r="N103" s="50">
        <f t="shared" si="112"/>
        <v>0</v>
      </c>
      <c r="O103" s="58">
        <f t="shared" si="112"/>
        <v>0</v>
      </c>
      <c r="P103" s="41">
        <f t="shared" si="104"/>
        <v>-56</v>
      </c>
      <c r="Q103" s="44">
        <f t="shared" si="105"/>
        <v>-5</v>
      </c>
      <c r="R103" s="44">
        <f t="shared" si="106"/>
        <v>0</v>
      </c>
      <c r="S103" s="44">
        <f t="shared" si="107"/>
        <v>-51</v>
      </c>
      <c r="T103" s="44">
        <f t="shared" si="108"/>
        <v>0</v>
      </c>
      <c r="U103" s="46">
        <f t="shared" si="109"/>
        <v>0</v>
      </c>
    </row>
    <row r="104" spans="1:22" s="2" customFormat="1" x14ac:dyDescent="0.45">
      <c r="A104" s="32" t="s">
        <v>53</v>
      </c>
      <c r="B104" s="52" t="s">
        <v>21</v>
      </c>
      <c r="C104" s="52"/>
      <c r="D104" s="53">
        <f t="shared" ref="D104:O104" si="113">SUM(D105:D108)</f>
        <v>12728</v>
      </c>
      <c r="E104" s="54">
        <f t="shared" si="113"/>
        <v>861</v>
      </c>
      <c r="F104" s="54">
        <f t="shared" si="113"/>
        <v>0</v>
      </c>
      <c r="G104" s="54">
        <f t="shared" si="113"/>
        <v>9390</v>
      </c>
      <c r="H104" s="54">
        <f t="shared" si="113"/>
        <v>2477</v>
      </c>
      <c r="I104" s="55">
        <f t="shared" si="113"/>
        <v>1262.4166666666665</v>
      </c>
      <c r="J104" s="53">
        <f t="shared" si="113"/>
        <v>12728</v>
      </c>
      <c r="K104" s="54">
        <f t="shared" si="113"/>
        <v>861</v>
      </c>
      <c r="L104" s="54">
        <f t="shared" si="113"/>
        <v>0</v>
      </c>
      <c r="M104" s="54">
        <f t="shared" si="113"/>
        <v>9390</v>
      </c>
      <c r="N104" s="54">
        <f t="shared" si="113"/>
        <v>2477</v>
      </c>
      <c r="O104" s="56">
        <f t="shared" si="113"/>
        <v>1403.4537376842077</v>
      </c>
      <c r="P104" s="34">
        <f t="shared" si="104"/>
        <v>0</v>
      </c>
      <c r="Q104" s="35">
        <f t="shared" si="105"/>
        <v>0</v>
      </c>
      <c r="R104" s="35">
        <f t="shared" si="106"/>
        <v>0</v>
      </c>
      <c r="S104" s="35">
        <f t="shared" si="107"/>
        <v>0</v>
      </c>
      <c r="T104" s="35">
        <f t="shared" si="108"/>
        <v>0</v>
      </c>
      <c r="U104" s="37">
        <f t="shared" si="109"/>
        <v>141.03707101754117</v>
      </c>
    </row>
    <row r="105" spans="1:22" s="2" customFormat="1" x14ac:dyDescent="0.45">
      <c r="A105" s="38" t="s">
        <v>53</v>
      </c>
      <c r="B105" s="40" t="s">
        <v>17</v>
      </c>
      <c r="C105" s="40" t="s">
        <v>16</v>
      </c>
      <c r="D105" s="41">
        <f>SUM(E105:H105)</f>
        <v>5071</v>
      </c>
      <c r="E105" s="44">
        <f t="shared" ref="E105:I109" si="114">K15</f>
        <v>105</v>
      </c>
      <c r="F105" s="44">
        <f t="shared" si="114"/>
        <v>0</v>
      </c>
      <c r="G105" s="44">
        <f t="shared" si="114"/>
        <v>2539</v>
      </c>
      <c r="H105" s="44">
        <f t="shared" si="114"/>
        <v>2427</v>
      </c>
      <c r="I105" s="43">
        <f t="shared" si="114"/>
        <v>531.66666666666663</v>
      </c>
      <c r="J105" s="41">
        <f>SUM(K105:N105)</f>
        <v>5071</v>
      </c>
      <c r="K105" s="44">
        <f t="shared" ref="K105:O109" si="115">K60</f>
        <v>105</v>
      </c>
      <c r="L105" s="44">
        <f t="shared" si="115"/>
        <v>0</v>
      </c>
      <c r="M105" s="44">
        <f t="shared" si="115"/>
        <v>2539</v>
      </c>
      <c r="N105" s="44">
        <f t="shared" si="115"/>
        <v>2427</v>
      </c>
      <c r="O105" s="43">
        <f t="shared" si="115"/>
        <v>572.19541637091447</v>
      </c>
      <c r="P105" s="41">
        <f>J105-D105</f>
        <v>0</v>
      </c>
      <c r="Q105" s="44">
        <f t="shared" si="105"/>
        <v>0</v>
      </c>
      <c r="R105" s="44">
        <f t="shared" si="106"/>
        <v>0</v>
      </c>
      <c r="S105" s="44">
        <f t="shared" si="107"/>
        <v>0</v>
      </c>
      <c r="T105" s="44">
        <f t="shared" si="108"/>
        <v>0</v>
      </c>
      <c r="U105" s="46">
        <f>O105-I105</f>
        <v>40.528749704247844</v>
      </c>
    </row>
    <row r="106" spans="1:22" s="2" customFormat="1" x14ac:dyDescent="0.45">
      <c r="A106" s="38" t="s">
        <v>53</v>
      </c>
      <c r="B106" s="40" t="s">
        <v>17</v>
      </c>
      <c r="C106" s="40" t="s">
        <v>18</v>
      </c>
      <c r="D106" s="41">
        <f>SUM(E106:H106)</f>
        <v>7547</v>
      </c>
      <c r="E106" s="44">
        <f t="shared" si="114"/>
        <v>755</v>
      </c>
      <c r="F106" s="44">
        <f t="shared" si="114"/>
        <v>0</v>
      </c>
      <c r="G106" s="44">
        <f t="shared" si="114"/>
        <v>6792</v>
      </c>
      <c r="H106" s="44">
        <f t="shared" si="114"/>
        <v>0</v>
      </c>
      <c r="I106" s="43">
        <f t="shared" si="114"/>
        <v>729.58333333333326</v>
      </c>
      <c r="J106" s="41">
        <f>SUM(K106:N106)</f>
        <v>7547</v>
      </c>
      <c r="K106" s="44">
        <f t="shared" si="115"/>
        <v>755</v>
      </c>
      <c r="L106" s="44">
        <f t="shared" si="115"/>
        <v>0</v>
      </c>
      <c r="M106" s="44">
        <f t="shared" si="115"/>
        <v>6792</v>
      </c>
      <c r="N106" s="44">
        <f t="shared" si="115"/>
        <v>0</v>
      </c>
      <c r="O106" s="43">
        <f t="shared" si="115"/>
        <v>829.81055231616688</v>
      </c>
      <c r="P106" s="41">
        <f t="shared" ref="P106:P109" si="116">J106-D106</f>
        <v>0</v>
      </c>
      <c r="Q106" s="44">
        <f t="shared" si="105"/>
        <v>0</v>
      </c>
      <c r="R106" s="44">
        <f t="shared" si="106"/>
        <v>0</v>
      </c>
      <c r="S106" s="44">
        <f t="shared" si="107"/>
        <v>0</v>
      </c>
      <c r="T106" s="44">
        <f t="shared" si="108"/>
        <v>0</v>
      </c>
      <c r="U106" s="46">
        <f t="shared" ref="U106:U114" si="117">O106-I106</f>
        <v>100.22721898283362</v>
      </c>
    </row>
    <row r="107" spans="1:22" s="2" customFormat="1" x14ac:dyDescent="0.45">
      <c r="A107" s="38" t="s">
        <v>53</v>
      </c>
      <c r="B107" s="40" t="s">
        <v>19</v>
      </c>
      <c r="C107" s="40" t="s">
        <v>16</v>
      </c>
      <c r="D107" s="41">
        <f>SUM(E107:H107)</f>
        <v>100</v>
      </c>
      <c r="E107" s="44">
        <f t="shared" si="114"/>
        <v>0</v>
      </c>
      <c r="F107" s="44">
        <f t="shared" si="114"/>
        <v>0</v>
      </c>
      <c r="G107" s="44">
        <f t="shared" si="114"/>
        <v>50</v>
      </c>
      <c r="H107" s="44">
        <f t="shared" si="114"/>
        <v>50</v>
      </c>
      <c r="I107" s="43">
        <f t="shared" si="114"/>
        <v>0.83333333333333337</v>
      </c>
      <c r="J107" s="41">
        <f>SUM(K107:N107)</f>
        <v>100</v>
      </c>
      <c r="K107" s="44">
        <f t="shared" si="115"/>
        <v>0</v>
      </c>
      <c r="L107" s="44">
        <f t="shared" si="115"/>
        <v>0</v>
      </c>
      <c r="M107" s="44">
        <f t="shared" si="115"/>
        <v>50</v>
      </c>
      <c r="N107" s="44">
        <f t="shared" si="115"/>
        <v>50</v>
      </c>
      <c r="O107" s="43">
        <f t="shared" si="115"/>
        <v>0.85545962417471255</v>
      </c>
      <c r="P107" s="41">
        <f t="shared" si="116"/>
        <v>0</v>
      </c>
      <c r="Q107" s="44">
        <f t="shared" si="105"/>
        <v>0</v>
      </c>
      <c r="R107" s="44">
        <f t="shared" si="106"/>
        <v>0</v>
      </c>
      <c r="S107" s="44">
        <f t="shared" si="107"/>
        <v>0</v>
      </c>
      <c r="T107" s="44">
        <f t="shared" si="108"/>
        <v>0</v>
      </c>
      <c r="U107" s="46">
        <f t="shared" si="117"/>
        <v>2.2126290841379181E-2</v>
      </c>
    </row>
    <row r="108" spans="1:22" s="2" customFormat="1" ht="19.8" thickBot="1" x14ac:dyDescent="0.5">
      <c r="A108" s="38" t="s">
        <v>53</v>
      </c>
      <c r="B108" s="40" t="s">
        <v>19</v>
      </c>
      <c r="C108" s="40" t="s">
        <v>20</v>
      </c>
      <c r="D108" s="47">
        <f>SUM(E108:H108)</f>
        <v>10</v>
      </c>
      <c r="E108" s="50">
        <f t="shared" si="114"/>
        <v>1</v>
      </c>
      <c r="F108" s="50">
        <f t="shared" si="114"/>
        <v>0</v>
      </c>
      <c r="G108" s="50">
        <f t="shared" si="114"/>
        <v>9</v>
      </c>
      <c r="H108" s="50">
        <f t="shared" si="114"/>
        <v>0</v>
      </c>
      <c r="I108" s="58">
        <f t="shared" si="114"/>
        <v>0.33333333333333331</v>
      </c>
      <c r="J108" s="47">
        <f>SUM(K108:N108)</f>
        <v>10</v>
      </c>
      <c r="K108" s="50">
        <f t="shared" si="115"/>
        <v>1</v>
      </c>
      <c r="L108" s="50">
        <f t="shared" si="115"/>
        <v>0</v>
      </c>
      <c r="M108" s="50">
        <f t="shared" si="115"/>
        <v>9</v>
      </c>
      <c r="N108" s="50">
        <f t="shared" si="115"/>
        <v>0</v>
      </c>
      <c r="O108" s="58">
        <f t="shared" si="115"/>
        <v>0.59230937295171593</v>
      </c>
      <c r="P108" s="47">
        <f t="shared" si="116"/>
        <v>0</v>
      </c>
      <c r="Q108" s="50">
        <f t="shared" si="105"/>
        <v>0</v>
      </c>
      <c r="R108" s="50">
        <f t="shared" si="106"/>
        <v>0</v>
      </c>
      <c r="S108" s="50">
        <f t="shared" si="107"/>
        <v>0</v>
      </c>
      <c r="T108" s="50">
        <f t="shared" si="108"/>
        <v>0</v>
      </c>
      <c r="U108" s="59">
        <f t="shared" si="117"/>
        <v>0.25897603961838261</v>
      </c>
    </row>
    <row r="109" spans="1:22" s="2" customFormat="1" ht="19.8" thickBot="1" x14ac:dyDescent="0.5">
      <c r="A109" s="32" t="s">
        <v>54</v>
      </c>
      <c r="B109" s="171" t="str">
        <f>HYPERLINK("#A131","HCBS SP - CONTINGENCY MANAGEMENT 2")</f>
        <v>HCBS SP - CONTINGENCY MANAGEMENT 2</v>
      </c>
      <c r="C109" s="60"/>
      <c r="D109" s="61">
        <f t="shared" ref="D109" si="118">SUM(E109:H109)</f>
        <v>18739</v>
      </c>
      <c r="E109" s="154">
        <f t="shared" si="114"/>
        <v>0</v>
      </c>
      <c r="F109" s="154">
        <f t="shared" si="114"/>
        <v>4386</v>
      </c>
      <c r="G109" s="154">
        <f t="shared" si="114"/>
        <v>14353</v>
      </c>
      <c r="H109" s="154">
        <f t="shared" si="114"/>
        <v>0</v>
      </c>
      <c r="I109" s="72">
        <f t="shared" si="114"/>
        <v>0</v>
      </c>
      <c r="J109" s="61">
        <f t="shared" ref="J109" si="119">SUM(K109:N109)</f>
        <v>61077</v>
      </c>
      <c r="K109" s="154">
        <f t="shared" si="115"/>
        <v>0</v>
      </c>
      <c r="L109" s="154">
        <f t="shared" si="115"/>
        <v>14507</v>
      </c>
      <c r="M109" s="154">
        <f t="shared" si="115"/>
        <v>46570</v>
      </c>
      <c r="N109" s="154">
        <f t="shared" si="115"/>
        <v>0</v>
      </c>
      <c r="O109" s="58">
        <f t="shared" si="115"/>
        <v>0</v>
      </c>
      <c r="P109" s="61">
        <f t="shared" si="116"/>
        <v>42338</v>
      </c>
      <c r="Q109" s="64">
        <f t="shared" si="105"/>
        <v>0</v>
      </c>
      <c r="R109" s="64">
        <f t="shared" si="106"/>
        <v>10121</v>
      </c>
      <c r="S109" s="64">
        <f t="shared" si="107"/>
        <v>32217</v>
      </c>
      <c r="T109" s="64">
        <f t="shared" si="108"/>
        <v>0</v>
      </c>
      <c r="U109" s="66">
        <f t="shared" si="117"/>
        <v>0</v>
      </c>
    </row>
    <row r="110" spans="1:22" s="2" customFormat="1" x14ac:dyDescent="0.45">
      <c r="A110" s="32" t="s">
        <v>55</v>
      </c>
      <c r="B110" s="52" t="s">
        <v>22</v>
      </c>
      <c r="C110" s="52"/>
      <c r="D110" s="34">
        <f>SUM(D111:D114)</f>
        <v>14999</v>
      </c>
      <c r="E110" s="35">
        <f t="shared" ref="E110:J110" si="120">SUM(E111:E114)</f>
        <v>942</v>
      </c>
      <c r="F110" s="35">
        <f t="shared" si="120"/>
        <v>3061</v>
      </c>
      <c r="G110" s="35">
        <f t="shared" si="120"/>
        <v>10996</v>
      </c>
      <c r="H110" s="35">
        <f t="shared" si="120"/>
        <v>0</v>
      </c>
      <c r="I110" s="67">
        <f t="shared" si="120"/>
        <v>0</v>
      </c>
      <c r="J110" s="34">
        <f t="shared" si="120"/>
        <v>20496</v>
      </c>
      <c r="K110" s="35">
        <f>SUM(K111:K114)</f>
        <v>1290</v>
      </c>
      <c r="L110" s="35">
        <f>SUM(L111:L114)</f>
        <v>4268</v>
      </c>
      <c r="M110" s="35">
        <f t="shared" ref="M110:O110" si="121">SUM(M111:M114)</f>
        <v>14938</v>
      </c>
      <c r="N110" s="35">
        <f t="shared" si="121"/>
        <v>0</v>
      </c>
      <c r="O110" s="36">
        <f t="shared" si="121"/>
        <v>0</v>
      </c>
      <c r="P110" s="35">
        <f t="shared" ref="P110:P111" si="122">J110-D110</f>
        <v>5497</v>
      </c>
      <c r="Q110" s="35">
        <f t="shared" si="105"/>
        <v>348</v>
      </c>
      <c r="R110" s="35">
        <f t="shared" si="106"/>
        <v>1207</v>
      </c>
      <c r="S110" s="35">
        <f t="shared" si="107"/>
        <v>3942</v>
      </c>
      <c r="T110" s="35">
        <f t="shared" si="108"/>
        <v>0</v>
      </c>
      <c r="U110" s="37">
        <f t="shared" si="117"/>
        <v>0</v>
      </c>
      <c r="V110" s="68"/>
    </row>
    <row r="111" spans="1:22" s="2" customFormat="1" x14ac:dyDescent="0.45">
      <c r="A111" s="38" t="s">
        <v>55</v>
      </c>
      <c r="B111" s="39" t="s">
        <v>17</v>
      </c>
      <c r="C111" s="39" t="s">
        <v>16</v>
      </c>
      <c r="D111" s="41">
        <f t="shared" ref="D111:D114" si="123">SUM(E111:H111)</f>
        <v>6366</v>
      </c>
      <c r="E111" s="44">
        <f t="shared" ref="E111:E123" si="124">K21</f>
        <v>86</v>
      </c>
      <c r="F111" s="44">
        <f t="shared" ref="F111:F123" si="125">L21</f>
        <v>3029</v>
      </c>
      <c r="G111" s="44">
        <f t="shared" ref="G111:G123" si="126">M21</f>
        <v>3251</v>
      </c>
      <c r="H111" s="44">
        <f t="shared" ref="H111:H123" si="127">N21</f>
        <v>0</v>
      </c>
      <c r="I111" s="43">
        <f t="shared" ref="I111:I123" si="128">O21</f>
        <v>0</v>
      </c>
      <c r="J111" s="41">
        <f>SUM(K111:N111)</f>
        <v>8699</v>
      </c>
      <c r="K111" s="44">
        <f t="shared" ref="K111:O123" si="129">K66</f>
        <v>119</v>
      </c>
      <c r="L111" s="44">
        <f t="shared" si="129"/>
        <v>4224</v>
      </c>
      <c r="M111" s="44">
        <f t="shared" si="129"/>
        <v>4356</v>
      </c>
      <c r="N111" s="44">
        <f t="shared" si="129"/>
        <v>0</v>
      </c>
      <c r="O111" s="57">
        <f t="shared" si="129"/>
        <v>0</v>
      </c>
      <c r="P111" s="44">
        <f t="shared" si="122"/>
        <v>2333</v>
      </c>
      <c r="Q111" s="44">
        <f t="shared" si="105"/>
        <v>33</v>
      </c>
      <c r="R111" s="44">
        <f t="shared" si="106"/>
        <v>1195</v>
      </c>
      <c r="S111" s="44">
        <f t="shared" si="107"/>
        <v>1105</v>
      </c>
      <c r="T111" s="44">
        <f t="shared" si="108"/>
        <v>0</v>
      </c>
      <c r="U111" s="69">
        <f t="shared" si="117"/>
        <v>0</v>
      </c>
      <c r="V111" s="68"/>
    </row>
    <row r="112" spans="1:22" s="2" customFormat="1" x14ac:dyDescent="0.45">
      <c r="A112" s="38" t="s">
        <v>55</v>
      </c>
      <c r="B112" s="39" t="s">
        <v>17</v>
      </c>
      <c r="C112" s="39" t="s">
        <v>20</v>
      </c>
      <c r="D112" s="41">
        <f t="shared" si="123"/>
        <v>8564</v>
      </c>
      <c r="E112" s="44">
        <f t="shared" si="124"/>
        <v>856</v>
      </c>
      <c r="F112" s="44">
        <f t="shared" si="125"/>
        <v>0</v>
      </c>
      <c r="G112" s="44">
        <f t="shared" si="126"/>
        <v>7708</v>
      </c>
      <c r="H112" s="44">
        <f t="shared" si="127"/>
        <v>0</v>
      </c>
      <c r="I112" s="43">
        <f t="shared" si="128"/>
        <v>0</v>
      </c>
      <c r="J112" s="41">
        <f>SUM(K112:N112)</f>
        <v>11703</v>
      </c>
      <c r="K112" s="44">
        <f t="shared" si="129"/>
        <v>1170</v>
      </c>
      <c r="L112" s="44">
        <f t="shared" si="129"/>
        <v>0</v>
      </c>
      <c r="M112" s="44">
        <f t="shared" si="129"/>
        <v>10533</v>
      </c>
      <c r="N112" s="44">
        <f t="shared" si="129"/>
        <v>0</v>
      </c>
      <c r="O112" s="57">
        <f t="shared" si="129"/>
        <v>0</v>
      </c>
      <c r="P112" s="44">
        <f>J112-D112</f>
        <v>3139</v>
      </c>
      <c r="Q112" s="44">
        <f t="shared" si="105"/>
        <v>314</v>
      </c>
      <c r="R112" s="44">
        <f t="shared" si="106"/>
        <v>0</v>
      </c>
      <c r="S112" s="44">
        <f t="shared" si="107"/>
        <v>2825</v>
      </c>
      <c r="T112" s="44">
        <f t="shared" si="108"/>
        <v>0</v>
      </c>
      <c r="U112" s="69">
        <f t="shared" si="117"/>
        <v>0</v>
      </c>
      <c r="V112" s="68"/>
    </row>
    <row r="113" spans="1:27" s="2" customFormat="1" x14ac:dyDescent="0.45">
      <c r="A113" s="38" t="s">
        <v>55</v>
      </c>
      <c r="B113" s="39" t="s">
        <v>19</v>
      </c>
      <c r="C113" s="39" t="s">
        <v>16</v>
      </c>
      <c r="D113" s="41">
        <f t="shared" si="123"/>
        <v>65</v>
      </c>
      <c r="E113" s="44">
        <f t="shared" si="124"/>
        <v>0</v>
      </c>
      <c r="F113" s="44">
        <f t="shared" si="125"/>
        <v>32</v>
      </c>
      <c r="G113" s="44">
        <f t="shared" si="126"/>
        <v>33</v>
      </c>
      <c r="H113" s="44">
        <f t="shared" si="127"/>
        <v>0</v>
      </c>
      <c r="I113" s="43">
        <f t="shared" si="128"/>
        <v>0</v>
      </c>
      <c r="J113" s="41">
        <f>SUM(K113:N113)</f>
        <v>88</v>
      </c>
      <c r="K113" s="44">
        <f t="shared" si="129"/>
        <v>0</v>
      </c>
      <c r="L113" s="44">
        <f t="shared" si="129"/>
        <v>44</v>
      </c>
      <c r="M113" s="44">
        <f t="shared" si="129"/>
        <v>44</v>
      </c>
      <c r="N113" s="44">
        <f t="shared" si="129"/>
        <v>0</v>
      </c>
      <c r="O113" s="57">
        <f t="shared" si="129"/>
        <v>0</v>
      </c>
      <c r="P113" s="44">
        <f>J113-D113</f>
        <v>23</v>
      </c>
      <c r="Q113" s="44">
        <f t="shared" si="105"/>
        <v>0</v>
      </c>
      <c r="R113" s="44">
        <f t="shared" si="106"/>
        <v>12</v>
      </c>
      <c r="S113" s="44">
        <f t="shared" si="107"/>
        <v>11</v>
      </c>
      <c r="T113" s="44">
        <f t="shared" si="108"/>
        <v>0</v>
      </c>
      <c r="U113" s="69">
        <f t="shared" si="117"/>
        <v>0</v>
      </c>
      <c r="V113" s="68"/>
    </row>
    <row r="114" spans="1:27" s="2" customFormat="1" ht="19.8" thickBot="1" x14ac:dyDescent="0.5">
      <c r="A114" s="38" t="s">
        <v>55</v>
      </c>
      <c r="B114" s="39" t="s">
        <v>19</v>
      </c>
      <c r="C114" s="39" t="s">
        <v>18</v>
      </c>
      <c r="D114" s="47">
        <f t="shared" si="123"/>
        <v>4</v>
      </c>
      <c r="E114" s="50">
        <f t="shared" si="124"/>
        <v>0</v>
      </c>
      <c r="F114" s="50">
        <f t="shared" si="125"/>
        <v>0</v>
      </c>
      <c r="G114" s="50">
        <f t="shared" si="126"/>
        <v>4</v>
      </c>
      <c r="H114" s="50">
        <f t="shared" si="127"/>
        <v>0</v>
      </c>
      <c r="I114" s="58">
        <f t="shared" si="128"/>
        <v>0</v>
      </c>
      <c r="J114" s="47">
        <f>SUM(K114:N114)</f>
        <v>6</v>
      </c>
      <c r="K114" s="50">
        <f t="shared" si="129"/>
        <v>1</v>
      </c>
      <c r="L114" s="50">
        <f t="shared" si="129"/>
        <v>0</v>
      </c>
      <c r="M114" s="50">
        <f t="shared" si="129"/>
        <v>5</v>
      </c>
      <c r="N114" s="50">
        <f t="shared" si="129"/>
        <v>0</v>
      </c>
      <c r="O114" s="58">
        <f t="shared" si="129"/>
        <v>0</v>
      </c>
      <c r="P114" s="47">
        <f>J114-D114</f>
        <v>2</v>
      </c>
      <c r="Q114" s="50">
        <f t="shared" si="105"/>
        <v>1</v>
      </c>
      <c r="R114" s="50">
        <f t="shared" si="106"/>
        <v>0</v>
      </c>
      <c r="S114" s="50">
        <f t="shared" si="107"/>
        <v>1</v>
      </c>
      <c r="T114" s="50">
        <f t="shared" si="108"/>
        <v>0</v>
      </c>
      <c r="U114" s="70">
        <f t="shared" si="117"/>
        <v>0</v>
      </c>
      <c r="V114" s="68"/>
    </row>
    <row r="115" spans="1:27" s="2" customFormat="1" ht="19.8" thickBot="1" x14ac:dyDescent="0.5">
      <c r="A115" s="32" t="s">
        <v>56</v>
      </c>
      <c r="B115" s="52" t="s">
        <v>23</v>
      </c>
      <c r="C115" s="52"/>
      <c r="D115" s="61">
        <f>SUM(E115:H115)</f>
        <v>-1501</v>
      </c>
      <c r="E115" s="154">
        <f t="shared" si="124"/>
        <v>-63</v>
      </c>
      <c r="F115" s="154">
        <f t="shared" si="125"/>
        <v>0</v>
      </c>
      <c r="G115" s="154">
        <f t="shared" si="126"/>
        <v>-647</v>
      </c>
      <c r="H115" s="154">
        <f t="shared" si="127"/>
        <v>-791</v>
      </c>
      <c r="I115" s="58">
        <f t="shared" si="128"/>
        <v>0</v>
      </c>
      <c r="J115" s="61">
        <f>SUM(K115:N115)</f>
        <v>-1071</v>
      </c>
      <c r="K115" s="154">
        <f t="shared" si="129"/>
        <v>-37</v>
      </c>
      <c r="L115" s="154">
        <f t="shared" si="129"/>
        <v>0</v>
      </c>
      <c r="M115" s="154">
        <f t="shared" si="129"/>
        <v>-426</v>
      </c>
      <c r="N115" s="154">
        <f t="shared" si="129"/>
        <v>-608</v>
      </c>
      <c r="O115" s="58">
        <f t="shared" si="129"/>
        <v>0</v>
      </c>
      <c r="P115" s="61">
        <f>J115-D115</f>
        <v>430</v>
      </c>
      <c r="Q115" s="64">
        <f>K115-E115</f>
        <v>26</v>
      </c>
      <c r="R115" s="64">
        <f>L115-F115</f>
        <v>0</v>
      </c>
      <c r="S115" s="64">
        <f>M115-G115</f>
        <v>221</v>
      </c>
      <c r="T115" s="64">
        <f>N115-H115</f>
        <v>183</v>
      </c>
      <c r="U115" s="66">
        <f>O115-I115</f>
        <v>0</v>
      </c>
      <c r="V115" s="68"/>
    </row>
    <row r="116" spans="1:27" s="2" customFormat="1" ht="19.8" thickBot="1" x14ac:dyDescent="0.5">
      <c r="A116" s="32" t="s">
        <v>57</v>
      </c>
      <c r="B116" s="172" t="str">
        <f>HYPERLINK("#A132","COVID-19 BEHAVIORAL HEALTH 3")</f>
        <v>COVID-19 BEHAVIORAL HEALTH 3</v>
      </c>
      <c r="C116" s="52"/>
      <c r="D116" s="61">
        <f t="shared" ref="D116" si="130">SUM(E116:H116)</f>
        <v>3253</v>
      </c>
      <c r="E116" s="154">
        <f t="shared" si="124"/>
        <v>498</v>
      </c>
      <c r="F116" s="154">
        <f t="shared" si="125"/>
        <v>0</v>
      </c>
      <c r="G116" s="154">
        <f t="shared" si="126"/>
        <v>2469</v>
      </c>
      <c r="H116" s="154">
        <f t="shared" si="127"/>
        <v>286</v>
      </c>
      <c r="I116" s="58">
        <f t="shared" si="128"/>
        <v>0</v>
      </c>
      <c r="J116" s="61">
        <f t="shared" ref="J116" si="131">SUM(K116:N116)</f>
        <v>0</v>
      </c>
      <c r="K116" s="154">
        <f t="shared" si="129"/>
        <v>0</v>
      </c>
      <c r="L116" s="154">
        <f t="shared" si="129"/>
        <v>0</v>
      </c>
      <c r="M116" s="154">
        <f t="shared" si="129"/>
        <v>0</v>
      </c>
      <c r="N116" s="154">
        <f t="shared" si="129"/>
        <v>0</v>
      </c>
      <c r="O116" s="58">
        <f t="shared" si="129"/>
        <v>0</v>
      </c>
      <c r="P116" s="61">
        <f t="shared" ref="P116:P120" si="132">J116-D116</f>
        <v>-3253</v>
      </c>
      <c r="Q116" s="64">
        <f t="shared" ref="Q116:Q120" si="133">K116-E116</f>
        <v>-498</v>
      </c>
      <c r="R116" s="64">
        <f t="shared" ref="R116:R120" si="134">L116-F116</f>
        <v>0</v>
      </c>
      <c r="S116" s="64">
        <f t="shared" ref="S116:S120" si="135">M116-G116</f>
        <v>-2469</v>
      </c>
      <c r="T116" s="64">
        <f t="shared" ref="T116:T120" si="136">N116-H116</f>
        <v>-286</v>
      </c>
      <c r="U116" s="66">
        <f t="shared" ref="U116:U120" si="137">O116-I116</f>
        <v>0</v>
      </c>
      <c r="V116" s="68"/>
    </row>
    <row r="117" spans="1:27" s="68" customFormat="1" ht="19.8" thickBot="1" x14ac:dyDescent="0.5">
      <c r="A117" s="73" t="s">
        <v>58</v>
      </c>
      <c r="B117" s="173" t="str">
        <f>HYPERLINK("#A133","STATE ONLY CLAIMING ADJUSTMENT - RETRO ADJ. 4")</f>
        <v>STATE ONLY CLAIMING ADJUSTMENT - RETRO ADJ. 4</v>
      </c>
      <c r="C117" s="75"/>
      <c r="D117" s="61">
        <f>SUM(E117:H117)</f>
        <v>0</v>
      </c>
      <c r="E117" s="154">
        <f t="shared" si="124"/>
        <v>559</v>
      </c>
      <c r="F117" s="154">
        <f t="shared" si="125"/>
        <v>0</v>
      </c>
      <c r="G117" s="154">
        <f t="shared" si="126"/>
        <v>-559</v>
      </c>
      <c r="H117" s="154">
        <f t="shared" si="127"/>
        <v>0</v>
      </c>
      <c r="I117" s="58">
        <f t="shared" si="128"/>
        <v>0</v>
      </c>
      <c r="J117" s="61">
        <f>SUM(K117:N117)</f>
        <v>0</v>
      </c>
      <c r="K117" s="154">
        <f t="shared" si="129"/>
        <v>0</v>
      </c>
      <c r="L117" s="154">
        <f t="shared" si="129"/>
        <v>0</v>
      </c>
      <c r="M117" s="154">
        <f t="shared" si="129"/>
        <v>0</v>
      </c>
      <c r="N117" s="154">
        <f t="shared" si="129"/>
        <v>0</v>
      </c>
      <c r="O117" s="58">
        <f t="shared" si="129"/>
        <v>0</v>
      </c>
      <c r="P117" s="61">
        <f t="shared" si="132"/>
        <v>0</v>
      </c>
      <c r="Q117" s="64">
        <f t="shared" si="133"/>
        <v>-559</v>
      </c>
      <c r="R117" s="64">
        <f t="shared" si="134"/>
        <v>0</v>
      </c>
      <c r="S117" s="64">
        <f t="shared" si="135"/>
        <v>559</v>
      </c>
      <c r="T117" s="64">
        <f t="shared" si="136"/>
        <v>0</v>
      </c>
      <c r="U117" s="66">
        <f t="shared" si="137"/>
        <v>0</v>
      </c>
      <c r="W117" s="2"/>
      <c r="X117" s="2"/>
      <c r="Y117" s="2"/>
      <c r="Z117" s="2"/>
      <c r="AA117" s="2"/>
    </row>
    <row r="118" spans="1:27" s="68" customFormat="1" ht="19.8" thickBot="1" x14ac:dyDescent="0.5">
      <c r="A118" s="73" t="s">
        <v>60</v>
      </c>
      <c r="B118" s="173" t="str">
        <f>HYPERLINK("#A134","QUALIFYING COMMUNITY-BASED MOBILE CRISIS SERVICES 5")</f>
        <v>QUALIFYING COMMUNITY-BASED MOBILE CRISIS SERVICES 5</v>
      </c>
      <c r="C118" s="60"/>
      <c r="D118" s="61">
        <f>SUM(E118:H118)</f>
        <v>5754</v>
      </c>
      <c r="E118" s="154">
        <f t="shared" si="124"/>
        <v>863</v>
      </c>
      <c r="F118" s="154">
        <f t="shared" si="125"/>
        <v>0</v>
      </c>
      <c r="G118" s="154">
        <f t="shared" si="126"/>
        <v>4891</v>
      </c>
      <c r="H118" s="154">
        <f t="shared" si="127"/>
        <v>0</v>
      </c>
      <c r="I118" s="58">
        <f t="shared" si="128"/>
        <v>0</v>
      </c>
      <c r="J118" s="61">
        <f>SUM(K118:N118)</f>
        <v>22558</v>
      </c>
      <c r="K118" s="154">
        <f t="shared" si="129"/>
        <v>3384</v>
      </c>
      <c r="L118" s="154">
        <f t="shared" si="129"/>
        <v>0</v>
      </c>
      <c r="M118" s="154">
        <f t="shared" si="129"/>
        <v>19174</v>
      </c>
      <c r="N118" s="154">
        <f t="shared" si="129"/>
        <v>0</v>
      </c>
      <c r="O118" s="58">
        <f t="shared" si="129"/>
        <v>0</v>
      </c>
      <c r="P118" s="61">
        <f t="shared" si="132"/>
        <v>16804</v>
      </c>
      <c r="Q118" s="64">
        <f t="shared" si="133"/>
        <v>2521</v>
      </c>
      <c r="R118" s="64">
        <f t="shared" si="134"/>
        <v>0</v>
      </c>
      <c r="S118" s="64">
        <f t="shared" si="135"/>
        <v>14283</v>
      </c>
      <c r="T118" s="64">
        <f t="shared" si="136"/>
        <v>0</v>
      </c>
      <c r="U118" s="66">
        <f t="shared" si="137"/>
        <v>0</v>
      </c>
      <c r="W118" s="2"/>
      <c r="X118" s="2"/>
      <c r="Y118" s="2"/>
      <c r="Z118" s="2"/>
      <c r="AA118" s="2"/>
    </row>
    <row r="119" spans="1:27" s="68" customFormat="1" ht="19.8" thickBot="1" x14ac:dyDescent="0.5">
      <c r="A119" s="73" t="s">
        <v>59</v>
      </c>
      <c r="B119" s="173" t="str">
        <f>HYPERLINK("#A135","PEER SUPPORT SPECIALIST SERVICES 6")</f>
        <v>PEER SUPPORT SPECIALIST SERVICES 6</v>
      </c>
      <c r="C119" s="60"/>
      <c r="D119" s="61">
        <f>SUM(E119:H119)</f>
        <v>13843</v>
      </c>
      <c r="E119" s="154">
        <f t="shared" si="124"/>
        <v>0</v>
      </c>
      <c r="F119" s="154">
        <f t="shared" si="125"/>
        <v>2525</v>
      </c>
      <c r="G119" s="154">
        <f t="shared" si="126"/>
        <v>10533</v>
      </c>
      <c r="H119" s="154">
        <f t="shared" si="127"/>
        <v>785</v>
      </c>
      <c r="I119" s="58">
        <f t="shared" si="128"/>
        <v>0</v>
      </c>
      <c r="J119" s="61">
        <f>SUM(K119:N119)</f>
        <v>13844</v>
      </c>
      <c r="K119" s="154">
        <f t="shared" si="129"/>
        <v>0</v>
      </c>
      <c r="L119" s="154">
        <f t="shared" si="129"/>
        <v>3373</v>
      </c>
      <c r="M119" s="154">
        <f t="shared" si="129"/>
        <v>10471</v>
      </c>
      <c r="N119" s="154">
        <f t="shared" si="129"/>
        <v>0</v>
      </c>
      <c r="O119" s="58">
        <f t="shared" si="129"/>
        <v>0</v>
      </c>
      <c r="P119" s="61">
        <f t="shared" ref="P119" si="138">J119-D119</f>
        <v>1</v>
      </c>
      <c r="Q119" s="64">
        <f t="shared" ref="Q119" si="139">K119-E119</f>
        <v>0</v>
      </c>
      <c r="R119" s="64">
        <f t="shared" ref="R119" si="140">L119-F119</f>
        <v>848</v>
      </c>
      <c r="S119" s="64">
        <f t="shared" ref="S119" si="141">M119-G119</f>
        <v>-62</v>
      </c>
      <c r="T119" s="64">
        <f t="shared" ref="T119" si="142">N119-H119</f>
        <v>-785</v>
      </c>
      <c r="U119" s="66">
        <f t="shared" ref="U119" si="143">O119-I119</f>
        <v>0</v>
      </c>
      <c r="W119" s="2"/>
      <c r="X119" s="2"/>
      <c r="Y119" s="2"/>
      <c r="Z119" s="2"/>
      <c r="AA119" s="2"/>
    </row>
    <row r="120" spans="1:27" s="77" customFormat="1" ht="19.8" thickBot="1" x14ac:dyDescent="0.5">
      <c r="A120" s="76" t="s">
        <v>61</v>
      </c>
      <c r="B120" s="74" t="s">
        <v>24</v>
      </c>
      <c r="C120" s="74"/>
      <c r="D120" s="61">
        <f>SUM(E120:H120)</f>
        <v>104065</v>
      </c>
      <c r="E120" s="154">
        <f t="shared" si="124"/>
        <v>0</v>
      </c>
      <c r="F120" s="154">
        <f t="shared" si="125"/>
        <v>0</v>
      </c>
      <c r="G120" s="154">
        <f t="shared" si="126"/>
        <v>57408</v>
      </c>
      <c r="H120" s="154">
        <f t="shared" si="127"/>
        <v>46657</v>
      </c>
      <c r="I120" s="58">
        <f t="shared" si="128"/>
        <v>0</v>
      </c>
      <c r="J120" s="61">
        <f>SUM(K120:N120)</f>
        <v>114290</v>
      </c>
      <c r="K120" s="154">
        <f t="shared" si="129"/>
        <v>0</v>
      </c>
      <c r="L120" s="154">
        <f t="shared" si="129"/>
        <v>0</v>
      </c>
      <c r="M120" s="154">
        <f t="shared" si="129"/>
        <v>63860</v>
      </c>
      <c r="N120" s="154">
        <f t="shared" si="129"/>
        <v>50430</v>
      </c>
      <c r="O120" s="58">
        <f t="shared" si="129"/>
        <v>0</v>
      </c>
      <c r="P120" s="61">
        <f t="shared" si="132"/>
        <v>10225</v>
      </c>
      <c r="Q120" s="64">
        <f t="shared" si="133"/>
        <v>0</v>
      </c>
      <c r="R120" s="64">
        <f t="shared" si="134"/>
        <v>0</v>
      </c>
      <c r="S120" s="64">
        <f t="shared" si="135"/>
        <v>6452</v>
      </c>
      <c r="T120" s="64">
        <f t="shared" si="136"/>
        <v>3773</v>
      </c>
      <c r="U120" s="66">
        <f t="shared" si="137"/>
        <v>0</v>
      </c>
      <c r="W120" s="2"/>
      <c r="X120" s="2"/>
      <c r="Y120" s="2"/>
      <c r="Z120" s="2"/>
      <c r="AA120" s="2"/>
    </row>
    <row r="121" spans="1:27" s="77" customFormat="1" ht="19.8" thickBot="1" x14ac:dyDescent="0.5">
      <c r="A121" s="76" t="s">
        <v>64</v>
      </c>
      <c r="B121" s="173" t="str">
        <f>HYPERLINK("#A136","COUNTY COMPLIANCE WITH INTEROPERABILITY FINAL RULE 7")</f>
        <v>COUNTY COMPLIANCE WITH INTEROPERABILITY FINAL RULE 7</v>
      </c>
      <c r="C121" s="74"/>
      <c r="D121" s="61">
        <f>SUM(E121:H121)</f>
        <v>29149</v>
      </c>
      <c r="E121" s="154">
        <f t="shared" si="124"/>
        <v>7287</v>
      </c>
      <c r="F121" s="154">
        <f t="shared" si="125"/>
        <v>0</v>
      </c>
      <c r="G121" s="154">
        <f t="shared" si="126"/>
        <v>14575</v>
      </c>
      <c r="H121" s="154">
        <f t="shared" si="127"/>
        <v>7287</v>
      </c>
      <c r="I121" s="58">
        <f t="shared" si="128"/>
        <v>0</v>
      </c>
      <c r="J121" s="61">
        <f>SUM(K121:N121)</f>
        <v>30972</v>
      </c>
      <c r="K121" s="154">
        <f t="shared" si="129"/>
        <v>7743</v>
      </c>
      <c r="L121" s="154">
        <f t="shared" si="129"/>
        <v>0</v>
      </c>
      <c r="M121" s="154">
        <f t="shared" si="129"/>
        <v>15486</v>
      </c>
      <c r="N121" s="154">
        <f t="shared" si="129"/>
        <v>7743</v>
      </c>
      <c r="O121" s="58">
        <f t="shared" si="129"/>
        <v>0</v>
      </c>
      <c r="P121" s="61">
        <f t="shared" ref="P121" si="144">J121-D121</f>
        <v>1823</v>
      </c>
      <c r="Q121" s="64">
        <f t="shared" ref="Q121" si="145">K121-E121</f>
        <v>456</v>
      </c>
      <c r="R121" s="64">
        <f t="shared" ref="R121" si="146">L121-F121</f>
        <v>0</v>
      </c>
      <c r="S121" s="64">
        <f t="shared" ref="S121" si="147">M121-G121</f>
        <v>911</v>
      </c>
      <c r="T121" s="64">
        <f t="shared" ref="T121" si="148">N121-H121</f>
        <v>456</v>
      </c>
      <c r="U121" s="66">
        <f t="shared" ref="U121" si="149">O121-I121</f>
        <v>0</v>
      </c>
      <c r="W121" s="2"/>
      <c r="X121" s="2"/>
      <c r="Y121" s="2"/>
      <c r="Z121" s="2"/>
      <c r="AA121" s="2"/>
    </row>
    <row r="122" spans="1:27" s="77" customFormat="1" ht="19.8" thickBot="1" x14ac:dyDescent="0.5">
      <c r="A122" s="76" t="s">
        <v>62</v>
      </c>
      <c r="B122" s="74" t="s">
        <v>25</v>
      </c>
      <c r="C122" s="74"/>
      <c r="D122" s="61">
        <f t="shared" ref="D122" si="150">SUM(E122:H122)</f>
        <v>5876</v>
      </c>
      <c r="E122" s="154">
        <f t="shared" si="124"/>
        <v>1469</v>
      </c>
      <c r="F122" s="154">
        <f t="shared" si="125"/>
        <v>0</v>
      </c>
      <c r="G122" s="154">
        <f t="shared" si="126"/>
        <v>2938</v>
      </c>
      <c r="H122" s="154">
        <f t="shared" si="127"/>
        <v>1469</v>
      </c>
      <c r="I122" s="58">
        <f t="shared" si="128"/>
        <v>0</v>
      </c>
      <c r="J122" s="61">
        <f t="shared" ref="J122" si="151">SUM(K122:N122)</f>
        <v>7833</v>
      </c>
      <c r="K122" s="154">
        <f t="shared" si="129"/>
        <v>1958</v>
      </c>
      <c r="L122" s="154">
        <f t="shared" si="129"/>
        <v>0</v>
      </c>
      <c r="M122" s="154">
        <f t="shared" si="129"/>
        <v>3917</v>
      </c>
      <c r="N122" s="154">
        <f t="shared" si="129"/>
        <v>1958</v>
      </c>
      <c r="O122" s="58">
        <f t="shared" si="129"/>
        <v>0</v>
      </c>
      <c r="P122" s="61">
        <f t="shared" ref="P122:U122" si="152">J122-D122</f>
        <v>1957</v>
      </c>
      <c r="Q122" s="64">
        <f t="shared" si="152"/>
        <v>489</v>
      </c>
      <c r="R122" s="64">
        <f t="shared" si="152"/>
        <v>0</v>
      </c>
      <c r="S122" s="64">
        <f t="shared" si="152"/>
        <v>979</v>
      </c>
      <c r="T122" s="64">
        <f t="shared" si="152"/>
        <v>489</v>
      </c>
      <c r="U122" s="66">
        <f t="shared" si="152"/>
        <v>0</v>
      </c>
      <c r="W122" s="2"/>
      <c r="X122" s="2"/>
      <c r="Y122" s="2"/>
      <c r="Z122" s="2"/>
      <c r="AA122" s="2"/>
    </row>
    <row r="123" spans="1:27" s="77" customFormat="1" ht="19.8" thickBot="1" x14ac:dyDescent="0.5">
      <c r="A123" s="76" t="s">
        <v>63</v>
      </c>
      <c r="B123" s="173" t="str">
        <f>HYPERLINK("#A137","HCBS SP - CONTINGENCY MANAGEMENT ADMIN 8")</f>
        <v>HCBS SP - CONTINGENCY MANAGEMENT ADMIN 8</v>
      </c>
      <c r="C123" s="74"/>
      <c r="D123" s="61">
        <f t="shared" ref="D123" si="153">SUM(E123:H123)</f>
        <v>2750</v>
      </c>
      <c r="E123" s="154">
        <f t="shared" si="124"/>
        <v>0</v>
      </c>
      <c r="F123" s="154">
        <f t="shared" si="125"/>
        <v>1375</v>
      </c>
      <c r="G123" s="154">
        <f t="shared" si="126"/>
        <v>1375</v>
      </c>
      <c r="H123" s="154">
        <f t="shared" si="127"/>
        <v>0</v>
      </c>
      <c r="I123" s="58">
        <f t="shared" si="128"/>
        <v>0</v>
      </c>
      <c r="J123" s="61">
        <f t="shared" ref="J123" si="154">SUM(K123:N123)</f>
        <v>8204</v>
      </c>
      <c r="K123" s="154">
        <f t="shared" si="129"/>
        <v>0</v>
      </c>
      <c r="L123" s="154">
        <f t="shared" si="129"/>
        <v>740</v>
      </c>
      <c r="M123" s="154">
        <f t="shared" si="129"/>
        <v>4102</v>
      </c>
      <c r="N123" s="154">
        <f t="shared" si="129"/>
        <v>3362</v>
      </c>
      <c r="O123" s="58">
        <f t="shared" si="129"/>
        <v>0</v>
      </c>
      <c r="P123" s="61">
        <f t="shared" ref="P123" si="155">J123-D123</f>
        <v>5454</v>
      </c>
      <c r="Q123" s="64">
        <f t="shared" ref="Q123" si="156">K123-E123</f>
        <v>0</v>
      </c>
      <c r="R123" s="64">
        <f t="shared" ref="R123" si="157">L123-F123</f>
        <v>-635</v>
      </c>
      <c r="S123" s="64">
        <f t="shared" ref="S123" si="158">M123-G123</f>
        <v>2727</v>
      </c>
      <c r="T123" s="64">
        <f t="shared" ref="T123:T127" si="159">N123-H123</f>
        <v>3362</v>
      </c>
      <c r="U123" s="66">
        <f t="shared" ref="U123" si="160">O123-I123</f>
        <v>0</v>
      </c>
      <c r="W123" s="2"/>
      <c r="X123" s="2"/>
      <c r="Y123" s="2"/>
      <c r="Z123" s="2"/>
      <c r="AA123" s="2"/>
    </row>
    <row r="124" spans="1:27" s="83" customFormat="1" ht="19.8" thickBot="1" x14ac:dyDescent="0.5">
      <c r="A124" s="78"/>
      <c r="B124" s="79"/>
      <c r="C124" s="79" t="s">
        <v>26</v>
      </c>
      <c r="D124" s="80">
        <f t="shared" ref="D124:O124" si="161">D99+D104+D109+D110+D115+D116+D117+D119+D120+D121+D122+D118+D123</f>
        <v>915292</v>
      </c>
      <c r="E124" s="80">
        <f t="shared" si="161"/>
        <v>108007</v>
      </c>
      <c r="F124" s="80">
        <f t="shared" si="161"/>
        <v>61924</v>
      </c>
      <c r="G124" s="80">
        <f t="shared" si="161"/>
        <v>666596</v>
      </c>
      <c r="H124" s="80">
        <f t="shared" si="161"/>
        <v>78765</v>
      </c>
      <c r="I124" s="81">
        <f t="shared" si="161"/>
        <v>1262.4166666666665</v>
      </c>
      <c r="J124" s="80">
        <f t="shared" si="161"/>
        <v>979153</v>
      </c>
      <c r="K124" s="80">
        <f t="shared" si="161"/>
        <v>107798</v>
      </c>
      <c r="L124" s="80">
        <f t="shared" si="161"/>
        <v>96012</v>
      </c>
      <c r="M124" s="80">
        <f t="shared" si="161"/>
        <v>709981</v>
      </c>
      <c r="N124" s="80">
        <f t="shared" si="161"/>
        <v>65362</v>
      </c>
      <c r="O124" s="81">
        <f t="shared" si="161"/>
        <v>1403.4537376842077</v>
      </c>
      <c r="P124" s="80">
        <f>J124-D124</f>
        <v>63861</v>
      </c>
      <c r="Q124" s="62">
        <f>K124-E124</f>
        <v>-209</v>
      </c>
      <c r="R124" s="62">
        <f>L124-F124</f>
        <v>34088</v>
      </c>
      <c r="S124" s="62">
        <f>M124-G124</f>
        <v>43385</v>
      </c>
      <c r="T124" s="62">
        <f t="shared" si="159"/>
        <v>-13403</v>
      </c>
      <c r="U124" s="82">
        <f>O124-I124</f>
        <v>141.03707101754117</v>
      </c>
      <c r="W124" s="2"/>
      <c r="X124" s="2"/>
      <c r="Y124" s="2"/>
      <c r="Z124" s="2"/>
      <c r="AA124" s="2"/>
    </row>
    <row r="125" spans="1:27" s="83" customFormat="1" x14ac:dyDescent="0.45">
      <c r="A125" s="78"/>
      <c r="B125" s="79"/>
      <c r="C125" s="84" t="s">
        <v>27</v>
      </c>
      <c r="D125" s="85">
        <f t="shared" ref="D125:O125" si="162">D100+D101+D105+D106+D111+D112</f>
        <v>727084</v>
      </c>
      <c r="E125" s="85">
        <f t="shared" si="162"/>
        <v>97244</v>
      </c>
      <c r="F125" s="85">
        <f t="shared" si="162"/>
        <v>52023</v>
      </c>
      <c r="G125" s="85">
        <f t="shared" si="162"/>
        <v>555456</v>
      </c>
      <c r="H125" s="85">
        <f t="shared" si="162"/>
        <v>22361</v>
      </c>
      <c r="I125" s="86">
        <f t="shared" si="162"/>
        <v>1261.25</v>
      </c>
      <c r="J125" s="85">
        <f t="shared" si="162"/>
        <v>715373</v>
      </c>
      <c r="K125" s="85">
        <f t="shared" si="162"/>
        <v>94604</v>
      </c>
      <c r="L125" s="85">
        <f t="shared" si="162"/>
        <v>75132</v>
      </c>
      <c r="M125" s="85">
        <f t="shared" si="162"/>
        <v>543210</v>
      </c>
      <c r="N125" s="85">
        <f t="shared" si="162"/>
        <v>2427</v>
      </c>
      <c r="O125" s="86">
        <f t="shared" si="162"/>
        <v>1402.0059686870813</v>
      </c>
      <c r="P125" s="87">
        <f>J125-D125</f>
        <v>-11711</v>
      </c>
      <c r="Q125" s="42">
        <f t="shared" ref="Q125" si="163">K125-E125</f>
        <v>-2640</v>
      </c>
      <c r="R125" s="42">
        <f t="shared" ref="R125" si="164">L125-F125</f>
        <v>23109</v>
      </c>
      <c r="S125" s="88">
        <f>M125-G125</f>
        <v>-12246</v>
      </c>
      <c r="T125" s="88">
        <f t="shared" si="159"/>
        <v>-19934</v>
      </c>
      <c r="U125" s="89">
        <f>O125-I125</f>
        <v>140.75596868708135</v>
      </c>
      <c r="W125" s="2"/>
      <c r="X125" s="2"/>
      <c r="Y125" s="2"/>
      <c r="Z125" s="2"/>
      <c r="AA125" s="2"/>
    </row>
    <row r="126" spans="1:27" s="68" customFormat="1" x14ac:dyDescent="0.45">
      <c r="A126" s="38"/>
      <c r="B126" s="90"/>
      <c r="C126" s="91" t="s">
        <v>28</v>
      </c>
      <c r="D126" s="92">
        <f t="shared" ref="D126:O126" si="165">D102+D103+D107+D108+D113+D114</f>
        <v>6280</v>
      </c>
      <c r="E126" s="92">
        <f t="shared" si="165"/>
        <v>150</v>
      </c>
      <c r="F126" s="92">
        <f t="shared" si="165"/>
        <v>1615</v>
      </c>
      <c r="G126" s="92">
        <f t="shared" si="165"/>
        <v>3804</v>
      </c>
      <c r="H126" s="92">
        <f t="shared" si="165"/>
        <v>711</v>
      </c>
      <c r="I126" s="93">
        <f t="shared" si="165"/>
        <v>1.1666666666666667</v>
      </c>
      <c r="J126" s="92">
        <f t="shared" si="165"/>
        <v>6073</v>
      </c>
      <c r="K126" s="92">
        <f t="shared" si="165"/>
        <v>146</v>
      </c>
      <c r="L126" s="92">
        <f t="shared" si="165"/>
        <v>2260</v>
      </c>
      <c r="M126" s="92">
        <f t="shared" si="165"/>
        <v>3617</v>
      </c>
      <c r="N126" s="92">
        <f t="shared" si="165"/>
        <v>50</v>
      </c>
      <c r="O126" s="93">
        <f t="shared" si="165"/>
        <v>1.4477689971264285</v>
      </c>
      <c r="P126" s="87">
        <f>J126-D126</f>
        <v>-207</v>
      </c>
      <c r="Q126" s="42">
        <f>K126-E126</f>
        <v>-4</v>
      </c>
      <c r="R126" s="42">
        <f>L126-F126</f>
        <v>645</v>
      </c>
      <c r="S126" s="88">
        <f>M126-G126</f>
        <v>-187</v>
      </c>
      <c r="T126" s="88">
        <f t="shared" si="159"/>
        <v>-661</v>
      </c>
      <c r="U126" s="89">
        <f>O126-I126</f>
        <v>0.28110233045976174</v>
      </c>
      <c r="W126" s="2"/>
      <c r="X126" s="2"/>
      <c r="Y126" s="2"/>
      <c r="Z126" s="2"/>
      <c r="AA126" s="2"/>
    </row>
    <row r="127" spans="1:27" s="68" customFormat="1" ht="19.8" thickBot="1" x14ac:dyDescent="0.5">
      <c r="A127" s="94"/>
      <c r="B127" s="95"/>
      <c r="C127" s="96" t="s">
        <v>29</v>
      </c>
      <c r="D127" s="97">
        <f t="shared" ref="D127:O127" si="166">D109+D115+D116+D117+D119+D120+D121+D122+D118+D123</f>
        <v>181928</v>
      </c>
      <c r="E127" s="97">
        <f t="shared" si="166"/>
        <v>10613</v>
      </c>
      <c r="F127" s="97">
        <f t="shared" si="166"/>
        <v>8286</v>
      </c>
      <c r="G127" s="97">
        <f t="shared" si="166"/>
        <v>107336</v>
      </c>
      <c r="H127" s="97">
        <f t="shared" si="166"/>
        <v>55693</v>
      </c>
      <c r="I127" s="98">
        <f t="shared" si="166"/>
        <v>0</v>
      </c>
      <c r="J127" s="97">
        <f t="shared" si="166"/>
        <v>257707</v>
      </c>
      <c r="K127" s="97">
        <f t="shared" si="166"/>
        <v>13048</v>
      </c>
      <c r="L127" s="97">
        <f t="shared" si="166"/>
        <v>18620</v>
      </c>
      <c r="M127" s="97">
        <f t="shared" si="166"/>
        <v>163154</v>
      </c>
      <c r="N127" s="97">
        <f t="shared" si="166"/>
        <v>62885</v>
      </c>
      <c r="O127" s="98">
        <f t="shared" si="166"/>
        <v>0</v>
      </c>
      <c r="P127" s="99">
        <f>J127-D127</f>
        <v>75779</v>
      </c>
      <c r="Q127" s="48">
        <f t="shared" ref="Q127" si="167">K127-E127</f>
        <v>2435</v>
      </c>
      <c r="R127" s="48">
        <f t="shared" ref="R127" si="168">L127-F127</f>
        <v>10334</v>
      </c>
      <c r="S127" s="100">
        <f t="shared" ref="S127" si="169">M127-G127</f>
        <v>55818</v>
      </c>
      <c r="T127" s="100">
        <f t="shared" si="159"/>
        <v>7192</v>
      </c>
      <c r="U127" s="101">
        <f>O127-I127</f>
        <v>0</v>
      </c>
      <c r="W127" s="2"/>
      <c r="X127" s="2"/>
      <c r="Y127" s="2"/>
      <c r="Z127" s="2"/>
      <c r="AA127" s="2"/>
    </row>
    <row r="128" spans="1:27" s="2" customFormat="1" x14ac:dyDescent="0.45">
      <c r="A128" s="161" t="s">
        <v>30</v>
      </c>
      <c r="B128" s="169"/>
      <c r="C128" s="108"/>
      <c r="D128" s="111"/>
      <c r="E128" s="111"/>
      <c r="F128" s="111"/>
      <c r="G128" s="111"/>
      <c r="H128" s="111"/>
      <c r="I128" s="108"/>
      <c r="J128" s="111"/>
      <c r="K128" s="111"/>
      <c r="L128" s="111"/>
      <c r="M128" s="111"/>
      <c r="N128" s="111"/>
      <c r="O128" s="111"/>
      <c r="P128" s="111"/>
      <c r="Q128" s="111"/>
      <c r="R128" s="111"/>
      <c r="S128" s="111"/>
      <c r="T128" s="111"/>
      <c r="U128" s="114"/>
    </row>
    <row r="129" spans="1:21" s="2" customFormat="1" x14ac:dyDescent="0.45">
      <c r="A129" s="108" t="s">
        <v>31</v>
      </c>
      <c r="B129" s="169"/>
      <c r="C129" s="108"/>
      <c r="D129" s="111"/>
      <c r="E129" s="111"/>
      <c r="F129" s="111"/>
      <c r="G129" s="111"/>
      <c r="H129" s="111"/>
      <c r="I129" s="108"/>
      <c r="J129" s="111"/>
      <c r="K129" s="111"/>
      <c r="L129" s="111"/>
      <c r="M129" s="111"/>
      <c r="N129" s="111"/>
      <c r="O129" s="108"/>
      <c r="P129" s="111"/>
      <c r="Q129" s="111"/>
      <c r="R129" s="111"/>
      <c r="S129" s="111"/>
      <c r="T129" s="111"/>
      <c r="U129" s="114"/>
    </row>
    <row r="130" spans="1:21" s="2" customFormat="1" ht="19.8" x14ac:dyDescent="0.45">
      <c r="A130" s="108" t="s">
        <v>68</v>
      </c>
      <c r="B130" s="108"/>
      <c r="C130" s="108"/>
      <c r="D130" s="42"/>
      <c r="E130" s="42"/>
      <c r="F130" s="42"/>
      <c r="G130" s="42"/>
      <c r="H130" s="42"/>
      <c r="I130" s="108"/>
      <c r="K130" s="42"/>
      <c r="L130" s="42"/>
      <c r="M130" s="42"/>
      <c r="N130" s="42"/>
      <c r="O130" s="42"/>
      <c r="P130" s="111"/>
      <c r="Q130" s="111"/>
      <c r="R130" s="111"/>
      <c r="S130" s="111"/>
      <c r="T130" s="111"/>
      <c r="U130" s="114"/>
    </row>
    <row r="131" spans="1:21" s="2" customFormat="1" ht="19.8" x14ac:dyDescent="0.45">
      <c r="A131" s="108" t="s">
        <v>69</v>
      </c>
      <c r="B131" s="108"/>
      <c r="C131" s="108"/>
      <c r="D131" s="42"/>
      <c r="E131" s="42"/>
      <c r="F131" s="42"/>
      <c r="G131" s="42"/>
      <c r="H131" s="42"/>
      <c r="I131" s="108"/>
      <c r="J131" s="42"/>
      <c r="K131" s="42"/>
      <c r="L131" s="42"/>
      <c r="M131" s="42"/>
      <c r="N131" s="42"/>
      <c r="O131" s="108"/>
      <c r="P131" s="111"/>
      <c r="Q131" s="111"/>
      <c r="R131" s="111"/>
      <c r="S131" s="111"/>
      <c r="T131" s="111"/>
      <c r="U131" s="114"/>
    </row>
    <row r="132" spans="1:21" s="2" customFormat="1" ht="19.8" x14ac:dyDescent="0.45">
      <c r="A132" s="108" t="s">
        <v>70</v>
      </c>
      <c r="B132" s="108"/>
      <c r="C132" s="108"/>
      <c r="D132" s="42"/>
      <c r="E132" s="42"/>
      <c r="F132" s="42"/>
      <c r="G132" s="42"/>
      <c r="H132" s="42"/>
      <c r="I132" s="108"/>
      <c r="J132" s="42"/>
      <c r="K132" s="42"/>
      <c r="L132" s="42"/>
      <c r="M132" s="42"/>
      <c r="N132" s="42"/>
      <c r="O132" s="108"/>
      <c r="P132" s="111"/>
      <c r="Q132" s="111"/>
      <c r="R132" s="111"/>
      <c r="S132" s="111"/>
      <c r="T132" s="111"/>
      <c r="U132" s="114"/>
    </row>
    <row r="133" spans="1:21" s="2" customFormat="1" ht="19.8" x14ac:dyDescent="0.45">
      <c r="A133" s="3" t="s">
        <v>71</v>
      </c>
      <c r="B133" s="3"/>
      <c r="C133" s="162"/>
      <c r="D133" s="162"/>
      <c r="E133" s="162"/>
      <c r="F133" s="162"/>
      <c r="G133" s="162"/>
      <c r="H133" s="162"/>
      <c r="I133" s="162"/>
      <c r="J133" s="162"/>
      <c r="K133" s="162"/>
      <c r="L133" s="162"/>
      <c r="M133" s="162"/>
      <c r="N133" s="162"/>
      <c r="O133" s="162"/>
      <c r="P133" s="111"/>
      <c r="Q133" s="111"/>
      <c r="R133" s="111"/>
      <c r="S133" s="111"/>
      <c r="T133" s="111"/>
      <c r="U133" s="114"/>
    </row>
    <row r="134" spans="1:21" s="2" customFormat="1" ht="19.8" x14ac:dyDescent="0.45">
      <c r="A134" s="108" t="s">
        <v>72</v>
      </c>
      <c r="B134" s="108"/>
      <c r="C134" s="163"/>
      <c r="D134" s="42"/>
      <c r="E134" s="42"/>
      <c r="F134" s="42"/>
      <c r="G134" s="42"/>
      <c r="H134" s="42"/>
      <c r="I134" s="43"/>
      <c r="J134" s="42"/>
      <c r="K134" s="42"/>
      <c r="L134" s="42"/>
      <c r="M134" s="42"/>
      <c r="N134" s="42"/>
      <c r="O134" s="43"/>
      <c r="P134" s="111"/>
      <c r="Q134" s="111"/>
      <c r="R134" s="111"/>
      <c r="S134" s="111"/>
      <c r="T134" s="111"/>
      <c r="U134" s="114"/>
    </row>
    <row r="135" spans="1:21" s="2" customFormat="1" ht="19.8" x14ac:dyDescent="0.45">
      <c r="A135" s="108" t="s">
        <v>73</v>
      </c>
      <c r="B135" s="108"/>
      <c r="C135" s="163"/>
      <c r="D135" s="42"/>
      <c r="E135" s="42"/>
      <c r="F135" s="42"/>
      <c r="G135" s="42"/>
      <c r="H135" s="42"/>
      <c r="I135" s="43"/>
      <c r="J135" s="42"/>
      <c r="K135" s="42"/>
      <c r="L135" s="42"/>
      <c r="M135" s="42"/>
      <c r="N135" s="42"/>
      <c r="O135" s="43"/>
      <c r="P135" s="111"/>
      <c r="Q135" s="111"/>
      <c r="R135" s="111"/>
      <c r="S135" s="111"/>
      <c r="T135" s="111"/>
      <c r="U135" s="114"/>
    </row>
    <row r="136" spans="1:21" ht="19.8" x14ac:dyDescent="0.45">
      <c r="A136" s="108" t="s">
        <v>74</v>
      </c>
      <c r="B136" s="108"/>
      <c r="C136" s="163"/>
      <c r="D136" s="42"/>
      <c r="E136" s="42"/>
      <c r="F136" s="42"/>
      <c r="G136" s="42"/>
      <c r="H136" s="42"/>
      <c r="I136" s="43"/>
      <c r="J136" s="42"/>
      <c r="K136" s="42"/>
      <c r="L136" s="42"/>
      <c r="M136" s="42"/>
      <c r="N136" s="42"/>
      <c r="O136" s="43"/>
      <c r="P136" s="159"/>
      <c r="Q136" s="159"/>
      <c r="R136" s="159"/>
      <c r="S136" s="159"/>
      <c r="T136" s="159"/>
      <c r="U136" s="160"/>
    </row>
    <row r="137" spans="1:21" ht="19.8" x14ac:dyDescent="0.45">
      <c r="A137" s="3" t="s">
        <v>75</v>
      </c>
      <c r="B137" s="3"/>
      <c r="C137" s="3"/>
      <c r="D137" s="3"/>
      <c r="E137" s="3"/>
      <c r="F137" s="3"/>
      <c r="G137" s="3"/>
      <c r="H137" s="3"/>
      <c r="I137" s="3"/>
      <c r="J137" s="3"/>
      <c r="K137" s="3"/>
      <c r="L137" s="3"/>
      <c r="M137" s="3"/>
      <c r="N137" s="3"/>
      <c r="O137" s="3"/>
      <c r="P137" s="159"/>
      <c r="Q137" s="159"/>
      <c r="R137" s="159"/>
      <c r="S137" s="159"/>
      <c r="T137" s="159"/>
      <c r="U137" s="160"/>
    </row>
    <row r="138" spans="1:21" x14ac:dyDescent="0.45">
      <c r="A138" s="2" t="s">
        <v>67</v>
      </c>
      <c r="B138" s="107"/>
      <c r="C138" s="2"/>
      <c r="D138" s="158"/>
      <c r="E138" s="158"/>
      <c r="F138" s="158"/>
      <c r="G138" s="158"/>
      <c r="H138" s="158"/>
      <c r="I138" s="2"/>
      <c r="J138" s="158"/>
      <c r="K138" s="158"/>
      <c r="L138" s="158"/>
      <c r="M138" s="158"/>
      <c r="N138" s="158"/>
      <c r="O138" s="2"/>
      <c r="P138" s="111"/>
      <c r="Q138" s="111"/>
      <c r="R138" s="111"/>
      <c r="S138" s="111"/>
      <c r="T138" s="111"/>
      <c r="U138" s="111"/>
    </row>
  </sheetData>
  <sheetProtection sheet="1" objects="1" scenarios="1" selectLockedCells="1"/>
  <customSheetViews>
    <customSheetView guid="{AD91D16E-086C-4105-8320-DF4A553F8355}" showPageBreaks="1" fitToPage="1" printArea="1" hiddenRows="1" hiddenColumns="1" topLeftCell="A111">
      <selection activeCell="A133" sqref="A133"/>
      <rowBreaks count="2" manualBreakCount="2">
        <brk id="46" max="17" man="1"/>
        <brk id="90" max="17" man="1"/>
      </rowBreaks>
      <pageMargins left="0.25" right="0.25" top="0.75" bottom="0.75" header="0.3" footer="0.3"/>
      <printOptions horizontalCentered="1"/>
      <pageSetup scale="31" fitToHeight="0" orientation="landscape" r:id="rId1"/>
      <headerFooter>
        <oddHeader>&amp;LCalifornia Department of Health Care Services&amp;RMay 2021 Medi-Cal Estimate</oddHeader>
      </headerFooter>
    </customSheetView>
    <customSheetView guid="{2D811B98-3CFA-41D4-AEE7-AE5AF87BA166}" showPageBreaks="1" fitToPage="1" printArea="1" hiddenRows="1" hiddenColumns="1" topLeftCell="I1">
      <selection activeCell="M102" sqref="M102"/>
      <rowBreaks count="2" manualBreakCount="2">
        <brk id="46" max="17" man="1"/>
        <brk id="90" max="17" man="1"/>
      </rowBreaks>
      <pageMargins left="0.25" right="0.25" top="0.75" bottom="0.75" header="0.3" footer="0.3"/>
      <printOptions horizontalCentered="1"/>
      <pageSetup scale="35" fitToHeight="0" orientation="landscape" r:id="rId2"/>
      <headerFooter>
        <oddHeader>&amp;LCalifornia Department of Health Care Services&amp;RMay 2021 Medi-Cal Estimate</oddHeader>
      </headerFooter>
    </customSheetView>
    <customSheetView guid="{B195B882-EE77-4420-89B8-1ACDC0879806}" fitToPage="1" hiddenRows="1" hiddenColumns="1" topLeftCell="G49">
      <selection activeCell="M56" sqref="M56"/>
      <rowBreaks count="2" manualBreakCount="2">
        <brk id="46" max="17" man="1"/>
        <brk id="90" max="17" man="1"/>
      </rowBreaks>
      <pageMargins left="0.25" right="0.25" top="0.75" bottom="0.75" header="0.3" footer="0.3"/>
      <printOptions horizontalCentered="1"/>
      <pageSetup scale="39" fitToHeight="0" orientation="landscape" r:id="rId3"/>
      <headerFooter>
        <oddHeader>&amp;LCalifornia Department of Health Care Services&amp;RMay 2021 Medi-Cal Estimate</oddHeader>
      </headerFooter>
    </customSheetView>
    <customSheetView guid="{392D8166-AC0F-4A11-B402-FCAA1470FA29}" fitToPage="1" printArea="1" hiddenRows="1" hiddenColumns="1">
      <pane xSplit="3" ySplit="8" topLeftCell="I41" activePane="bottomRight" state="frozen"/>
      <selection pane="bottomRight" activeCell="L58" sqref="L58"/>
      <rowBreaks count="2" manualBreakCount="2">
        <brk id="46" max="17" man="1"/>
        <brk id="90" max="17" man="1"/>
      </rowBreaks>
      <pageMargins left="0.25" right="0.25" top="0.75" bottom="0.75" header="0.3" footer="0.3"/>
      <printOptions horizontalCentered="1"/>
      <pageSetup scale="39" fitToHeight="0" orientation="landscape" r:id="rId4"/>
      <headerFooter>
        <oddHeader>&amp;LCalifornia Department of Health Care Services&amp;RMay 2021 Medi-Cal Estimate</oddHeader>
      </headerFooter>
    </customSheetView>
    <customSheetView guid="{D787B054-6AB6-4B86-AC73-997E635A5A8A}" showPageBreaks="1" fitToPage="1" printArea="1" hiddenRows="1" hiddenColumns="1">
      <selection activeCell="G110" sqref="G110"/>
      <rowBreaks count="2" manualBreakCount="2">
        <brk id="49" max="17" man="1"/>
        <brk id="95" max="17" man="1"/>
      </rowBreaks>
      <pageMargins left="0.25" right="0.25" top="0.75" bottom="0.75" header="0.3" footer="0.3"/>
      <printOptions horizontalCentered="1"/>
      <pageSetup scale="35" fitToHeight="0" orientation="landscape" r:id="rId5"/>
      <headerFooter>
        <oddHeader>&amp;LCalifornia Department of Health Care Services&amp;RMay 2021 Medi-Cal Estimate</oddHeader>
      </headerFooter>
    </customSheetView>
    <customSheetView guid="{D73D0871-6931-4782-BC64-B16AC8AD1972}" scale="70" fitToPage="1" printArea="1" hiddenColumns="1">
      <selection activeCell="B22" sqref="B22"/>
      <rowBreaks count="2" manualBreakCount="2">
        <brk id="46" max="17" man="1"/>
        <brk id="90" max="17" man="1"/>
      </rowBreaks>
      <pageMargins left="0.25" right="0.25" top="0.75" bottom="0.75" header="0.3" footer="0.3"/>
      <printOptions horizontalCentered="1"/>
      <pageSetup scale="31" fitToHeight="0" orientation="landscape" r:id="rId6"/>
      <headerFooter>
        <oddHeader>&amp;LCalifornia Department of Health Care Services&amp;RMay 2021 Medi-Cal Estimate</oddHeader>
      </headerFooter>
    </customSheetView>
  </customSheetViews>
  <phoneticPr fontId="10" type="noConversion"/>
  <printOptions horizontalCentered="1"/>
  <pageMargins left="0.25" right="0.25" top="0.75" bottom="0.75" header="0.3" footer="0.3"/>
  <pageSetup scale="31" fitToHeight="0" orientation="landscape" r:id="rId7"/>
  <headerFooter>
    <oddHeader>&amp;LCalifornia Department of Health Care Services&amp;RMay 2021 Medi-Cal Estimate</oddHeader>
  </headerFooter>
  <rowBreaks count="2" manualBreakCount="2">
    <brk id="46" max="17" man="1"/>
    <brk id="90" max="17" man="1"/>
  </rowBreaks>
  <ignoredErrors>
    <ignoredError sqref="J33"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customSheetViews>
    <customSheetView guid="{AD91D16E-086C-4105-8320-DF4A553F8355}" state="veryHidden">
      <pageMargins left="0.7" right="0.7" top="0.75" bottom="0.75" header="0.3" footer="0.3"/>
    </customSheetView>
    <customSheetView guid="{2D811B98-3CFA-41D4-AEE7-AE5AF87BA166}" state="veryHidden">
      <pageMargins left="0.7" right="0.7" top="0.75" bottom="0.75" header="0.3" footer="0.3"/>
    </customSheetView>
    <customSheetView guid="{392D8166-AC0F-4A11-B402-FCAA1470FA29}" state="veryHidden">
      <pageMargins left="0.7" right="0.7" top="0.75" bottom="0.75" header="0.3" footer="0.3"/>
    </customSheetView>
    <customSheetView guid="{D787B054-6AB6-4B86-AC73-997E635A5A8A}" state="veryHidden">
      <pageMargins left="0.7" right="0.7" top="0.75" bottom="0.75" header="0.3" footer="0.3"/>
    </customSheetView>
    <customSheetView guid="{D73D0871-6931-4782-BC64-B16AC8AD1972}" state="veryHidden">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45</Value>
    </TaxCatchAll>
    <Language xmlns="http://schemas.microsoft.com/sharepoint/v3">English</Language>
    <TAGBusPart xmlns="69bc34b3-1921-46c7-8c7a-d18363374b4b" xsi:nil="true"/>
    <TAGender xmlns="69bc34b3-1921-46c7-8c7a-d18363374b4b" xsi:nil="true"/>
    <Publication_x0020_Type xmlns="69bc34b3-1921-46c7-8c7a-d18363374b4b">50</Publication_x0020_Typ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DHCSDOC-376834418-742</_dlc_DocId>
    <_dlc_DocIdUrl xmlns="69bc34b3-1921-46c7-8c7a-d18363374b4b">
      <Url>https://dhcscagovauthoring/dataandstats/reports/_layouts/15/DocIdRedir.aspx?ID=DHCSDOC-376834418-742</Url>
      <Description>DHCSDOC-376834418-742</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9e2b4d9a5d074514512c81738931b97c">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D32D69D-FE4B-4EC5-8530-63C442FBA0A5}">
  <ds:schemaRefs>
    <ds:schemaRef ds:uri="http://schemas.microsoft.com/office/2006/documentManagement/types"/>
    <ds:schemaRef ds:uri="c1cf9bbc-61a0-48a2-ac17-6c71eb332d2b"/>
    <ds:schemaRef ds:uri="http://purl.org/dc/elements/1.1/"/>
    <ds:schemaRef ds:uri="http://schemas.microsoft.com/office/2006/metadata/properties"/>
    <ds:schemaRef ds:uri="http://schemas.microsoft.com/office/infopath/2007/PartnerControls"/>
    <ds:schemaRef ds:uri="http://purl.org/dc/terms/"/>
    <ds:schemaRef ds:uri="http://schemas.microsoft.com/sharepoint/v3"/>
    <ds:schemaRef ds:uri="http://schemas.openxmlformats.org/package/2006/metadata/core-properties"/>
    <ds:schemaRef ds:uri="d48bccdd-9d79-4ff7-8c48-7ea1ac9c084a"/>
    <ds:schemaRef ds:uri="http://www.w3.org/XML/1998/namespace"/>
    <ds:schemaRef ds:uri="http://purl.org/dc/dcmitype/"/>
  </ds:schemaRefs>
</ds:datastoreItem>
</file>

<file path=customXml/itemProps2.xml><?xml version="1.0" encoding="utf-8"?>
<ds:datastoreItem xmlns:ds="http://schemas.openxmlformats.org/officeDocument/2006/customXml" ds:itemID="{918BE1FE-25D7-4A34-86FD-071961F2F6F8}">
  <ds:schemaRefs>
    <ds:schemaRef ds:uri="http://schemas.microsoft.com/sharepoint/v3/contenttype/forms"/>
  </ds:schemaRefs>
</ds:datastoreItem>
</file>

<file path=customXml/itemProps3.xml><?xml version="1.0" encoding="utf-8"?>
<ds:datastoreItem xmlns:ds="http://schemas.openxmlformats.org/officeDocument/2006/customXml" ds:itemID="{144F51DC-9F32-4658-AB8F-7580140930AC}"/>
</file>

<file path=customXml/itemProps4.xml><?xml version="1.0" encoding="utf-8"?>
<ds:datastoreItem xmlns:ds="http://schemas.openxmlformats.org/officeDocument/2006/customXml" ds:itemID="{9D2729F9-609D-438E-8BF2-8BB5E256BAB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Supplemental Chart </vt:lpstr>
      <vt:lpstr>'Supplemental Chart '!Print_Area</vt:lpstr>
      <vt:lpstr>'Supplemental Chart '!Print_Titles</vt:lpstr>
      <vt:lpstr>TitleRegion1.a6.r43.1</vt:lpstr>
      <vt:lpstr>TitleRegion2.a53.90.1</vt:lpstr>
      <vt:lpstr>TitleRegion3.a99.r138.1</vt:lpstr>
    </vt:vector>
  </TitlesOfParts>
  <Manager/>
  <Company>DHCS &amp; CDPH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2024 Drug Medi-Cal Comparison of Fiscal Impacts of Policy Changes</dc:title>
  <dc:subject/>
  <dc:creator>J. Singh</dc:creator>
  <cp:keywords>May 2024, Drug Medi-Cal</cp:keywords>
  <dc:description/>
  <cp:lastModifiedBy>Donaldson, Celine@DHCS</cp:lastModifiedBy>
  <cp:revision/>
  <dcterms:created xsi:type="dcterms:W3CDTF">2019-08-09T18:02:06Z</dcterms:created>
  <dcterms:modified xsi:type="dcterms:W3CDTF">2024-05-20T20:47:55Z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MediaServiceImageTags">
    <vt:lpwstr/>
  </property>
  <property fmtid="{D5CDD505-2E9C-101B-9397-08002B2CF9AE}" pid="4" name="ESRI_WORKBOOK_ID">
    <vt:lpwstr>688794f7ecc54947859aa12947078b0f</vt:lpwstr>
  </property>
  <property fmtid="{D5CDD505-2E9C-101B-9397-08002B2CF9AE}" pid="5" name="_dlc_DocIdItemGuid">
    <vt:lpwstr>112d5c85-9f22-4305-b7c4-0b7872c9c4e2</vt:lpwstr>
  </property>
  <property fmtid="{D5CDD505-2E9C-101B-9397-08002B2CF9AE}" pid="6" name="Division">
    <vt:lpwstr>45;#Fiscal Forecasting|f301d91f-2d63-4bdb-a1a3-c13e2f7d3764</vt:lpwstr>
  </property>
</Properties>
</file>