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J:\ClaimsFinancialReporting\Behavioral Health\BH\Cost Reports\MHSA\RER\FY 21-22\"/>
    </mc:Choice>
  </mc:AlternateContent>
  <xr:revisionPtr revIDLastSave="0" documentId="13_ncr:1_{7E7F70B7-DF0B-4F73-B81D-839CA7A16208}" xr6:coauthVersionLast="47" xr6:coauthVersionMax="47" xr10:uidLastSave="{00000000-0000-0000-0000-000000000000}"/>
  <bookViews>
    <workbookView xWindow="28680" yWindow="-120" windowWidth="29040" windowHeight="15840" firstSheet="2" activeTab="7" xr2:uid="{7D5457D6-020F-46A8-A6F2-B783A827B65E}"/>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CSS'!$B$1:$L$83</definedName>
    <definedName name="_xlnm.Print_Area" localSheetId="7">'4. PEI'!$B$1:$Q$62</definedName>
    <definedName name="_xlnm.Print_Area" localSheetId="9">'5. INN'!$A$1:$Q$55</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5" l="1"/>
  <c r="O52" i="5"/>
  <c r="L52" i="5"/>
  <c r="L51" i="5"/>
  <c r="L48" i="5"/>
  <c r="L35" i="6" l="1"/>
  <c r="F17" i="6"/>
  <c r="L43" i="6"/>
  <c r="F18" i="6" l="1"/>
  <c r="G17" i="5" l="1"/>
  <c r="F15" i="6" l="1"/>
  <c r="F16" i="6"/>
  <c r="F17" i="5" l="1"/>
  <c r="L36" i="5" l="1"/>
  <c r="F19" i="5"/>
  <c r="P36" i="5"/>
  <c r="L39" i="6" l="1"/>
  <c r="L33" i="6" l="1"/>
  <c r="J73" i="4" l="1"/>
  <c r="J71" i="4"/>
  <c r="G64" i="4"/>
  <c r="J51" i="4" l="1"/>
  <c r="J47" i="4"/>
  <c r="L41" i="6"/>
  <c r="L37" i="6"/>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<sst xmlns="http://schemas.openxmlformats.org/spreadsheetml/2006/main" count="1603" uniqueCount="860">
  <si>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</si>
  <si>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</si>
  <si>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</si>
  <si>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</si>
  <si>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</si>
  <si>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</si>
  <si>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</si>
  <si>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</si>
  <si>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</si>
  <si>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</si>
  <si>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</si>
  <si>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</si>
  <si>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</si>
  <si>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</si>
  <si>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</si>
  <si>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</si>
  <si>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</si>
  <si>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</si>
  <si>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</si>
  <si>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</si>
  <si>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</si>
  <si>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</si>
  <si>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</si>
  <si>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</si>
  <si>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</si>
  <si>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</si>
  <si>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</si>
  <si>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</si>
  <si>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</si>
  <si>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</si>
  <si>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</si>
  <si>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</si>
  <si>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</si>
  <si>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</si>
  <si>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</si>
  <si>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</si>
  <si>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</si>
  <si>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</si>
  <si>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</si>
  <si>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</si>
  <si>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</si>
  <si>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</si>
  <si>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</si>
  <si>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</si>
  <si>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</si>
  <si>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</si>
  <si>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</si>
  <si>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</si>
  <si>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</si>
  <si>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</si>
  <si>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</si>
  <si>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</si>
  <si>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</si>
  <si>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</si>
  <si>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</si>
  <si>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</si>
  <si>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</si>
  <si>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</si>
  <si>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</si>
  <si>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</si>
  <si>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</si>
  <si>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</si>
  <si>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</si>
  <si>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</si>
  <si>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</si>
  <si>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</si>
  <si>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</si>
  <si>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</si>
  <si>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</si>
  <si>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</si>
  <si>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</si>
  <si>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</si>
  <si>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</si>
  <si>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</si>
  <si>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</si>
  <si>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</si>
  <si>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</si>
  <si>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</si>
  <si>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</si>
  <si>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</si>
  <si>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</si>
  <si>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</si>
  <si>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</si>
  <si>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</si>
  <si>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</si>
  <si>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</si>
  <si>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</si>
  <si>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</si>
  <si>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</si>
  <si>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</si>
  <si>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</si>
  <si>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</si>
  <si>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</si>
  <si>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</si>
  <si>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</si>
  <si>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</si>
  <si>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</si>
  <si>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</si>
  <si>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</si>
  <si>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</si>
  <si>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</si>
  <si>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</si>
  <si>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</si>
  <si>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</si>
  <si>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</si>
  <si>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</si>
  <si>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</si>
  <si>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</si>
  <si>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</si>
  <si>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</si>
  <si>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</si>
  <si>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</si>
  <si>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</si>
  <si>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</si>
  <si>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</si>
  <si>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</si>
  <si>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</si>
  <si>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</si>
  <si>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</si>
  <si>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</si>
  <si>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</si>
  <si>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</si>
  <si>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</si>
  <si>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</si>
  <si>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</si>
  <si>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</si>
  <si>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</si>
  <si>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</si>
  <si>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</si>
  <si>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</si>
  <si>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</si>
  <si>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</si>
  <si>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</si>
  <si>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</si>
  <si>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</si>
  <si>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</si>
  <si>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</si>
  <si>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</si>
  <si>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</si>
  <si>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</si>
  <si>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</si>
  <si>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</si>
  <si>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</si>
  <si>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</si>
  <si>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</si>
  <si>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</si>
  <si>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</si>
  <si>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</si>
  <si>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</si>
  <si>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</si>
  <si>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</si>
  <si>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</si>
  <si>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</si>
  <si>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</si>
  <si>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</si>
  <si>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</si>
  <si>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</si>
  <si>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</si>
  <si>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</si>
  <si>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</si>
  <si>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</si>
  <si>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</si>
  <si>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</si>
  <si>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</si>
  <si>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</si>
  <si>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</si>
  <si>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</si>
  <si>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</si>
  <si>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</si>
  <si>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</si>
  <si>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</si>
  <si>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</si>
  <si>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</si>
  <si>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</si>
  <si>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</si>
  <si>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</si>
  <si>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</si>
  <si>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</si>
  <si>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</si>
  <si>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</si>
  <si>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</si>
  <si>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</si>
  <si>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</si>
  <si>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</si>
  <si>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</si>
  <si>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</si>
  <si>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</si>
  <si>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</si>
  <si>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</si>
  <si>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</si>
  <si>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</si>
  <si>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</si>
  <si>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</si>
  <si>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</si>
  <si>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</si>
  <si>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</si>
  <si>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</si>
  <si>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</si>
  <si>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</si>
  <si>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</si>
  <si>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</si>
  <si>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</si>
  <si>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</si>
  <si>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</si>
  <si>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</si>
  <si>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</si>
  <si>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</si>
  <si>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</si>
  <si>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</si>
  <si>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</si>
  <si>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</si>
  <si>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</si>
  <si>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</si>
  <si>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</si>
  <si>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</si>
  <si>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</si>
  <si>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</si>
  <si>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</si>
  <si>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</si>
  <si>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</si>
  <si>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</si>
  <si>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</si>
  <si>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</si>
  <si>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</si>
  <si>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</si>
  <si>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</si>
  <si>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</si>
  <si>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</si>
  <si>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</si>
  <si>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</si>
  <si>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</si>
  <si>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</si>
  <si>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</si>
  <si>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</si>
  <si>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</si>
  <si>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</si>
  <si>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</si>
  <si>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</si>
  <si>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</si>
  <si>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</si>
  <si>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</si>
  <si>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</si>
  <si>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</si>
  <si>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</si>
  <si>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</si>
  <si>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</si>
  <si>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</si>
  <si>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</si>
  <si>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</si>
  <si>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</si>
  <si>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</si>
  <si>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</si>
  <si>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</si>
  <si>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</si>
  <si>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</si>
  <si>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</si>
  <si>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</si>
  <si>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</si>
  <si>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</si>
  <si>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</si>
  <si>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</si>
  <si>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</si>
  <si>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</si>
  <si>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</si>
  <si>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</si>
  <si>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</si>
  <si>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</si>
  <si>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</si>
  <si>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</si>
  <si>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</si>
  <si>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</si>
  <si>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</si>
  <si>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</si>
  <si>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</si>
  <si>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</si>
  <si>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</si>
  <si>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</si>
  <si>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</si>
  <si>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</si>
  <si>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</si>
  <si>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</si>
  <si>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</si>
  <si>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</si>
  <si>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</si>
  <si>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</si>
  <si>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</si>
  <si>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</si>
  <si>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</si>
  <si>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</si>
  <si>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</si>
  <si>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</si>
  <si>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</si>
  <si>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</si>
  <si>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</si>
  <si>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</si>
  <si>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</si>
  <si>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</si>
  <si>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</si>
  <si>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</si>
  <si>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</si>
  <si>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</si>
  <si>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</si>
  <si>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</si>
  <si>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</si>
  <si>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</si>
  <si>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</si>
  <si>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</si>
  <si>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</si>
  <si>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</si>
  <si>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</si>
  <si>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</si>
  <si>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</si>
  <si>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</si>
  <si>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</si>
  <si>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</si>
  <si>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</si>
  <si>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</si>
  <si>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</si>
  <si>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</si>
  <si>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</si>
  <si>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</si>
  <si>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</si>
  <si>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</si>
  <si>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</si>
  <si>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</si>
  <si>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</si>
  <si>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</si>
  <si>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</si>
  <si>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</si>
  <si>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</si>
  <si>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</si>
  <si>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</si>
  <si>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</si>
  <si>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</si>
  <si>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</si>
  <si>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</si>
  <si>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</si>
  <si>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</si>
  <si>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</si>
  <si>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</si>
  <si>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</si>
  <si>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</si>
  <si>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</si>
  <si>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</si>
  <si>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</si>
  <si>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</si>
  <si>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</si>
  <si>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</si>
  <si>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</si>
  <si>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</si>
  <si>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</si>
  <si>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</si>
  <si>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</si>
  <si>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</si>
  <si>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</si>
  <si>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</si>
  <si>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</si>
  <si>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</si>
  <si>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</si>
  <si>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</si>
  <si>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</si>
  <si>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</si>
  <si>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</si>
  <si>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</si>
  <si>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</si>
  <si>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</si>
  <si>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</si>
  <si>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</si>
  <si>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</si>
  <si>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</si>
  <si>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</si>
  <si>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</si>
  <si>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</si>
  <si>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</si>
  <si>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</si>
  <si>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</si>
  <si>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</si>
  <si>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</si>
  <si>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</si>
  <si>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</si>
  <si>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</si>
  <si>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</si>
  <si>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</si>
  <si>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</si>
  <si>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</si>
  <si>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</si>
  <si>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</si>
  <si>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</si>
  <si>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</si>
  <si>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</si>
  <si>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</si>
  <si>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</si>
  <si>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</si>
  <si>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</si>
  <si>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</si>
  <si>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</si>
  <si>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</si>
  <si>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</si>
  <si>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</si>
  <si>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</si>
  <si>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</si>
  <si>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</si>
  <si>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</si>
  <si>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</si>
  <si>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</si>
  <si>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</si>
  <si>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</si>
  <si>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</si>
  <si>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</si>
  <si>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</si>
  <si>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</si>
  <si>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</si>
  <si>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</si>
  <si>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</si>
  <si>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</si>
  <si>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</si>
  <si>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</si>
  <si>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</si>
  <si>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</si>
  <si>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</si>
  <si>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</si>
  <si>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</si>
  <si>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</si>
  <si>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</si>
  <si>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</si>
  <si>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</si>
  <si>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</si>
  <si>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</si>
  <si>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</si>
  <si>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</si>
  <si>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</si>
  <si>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</si>
  <si>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</si>
  <si>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</si>
  <si>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</si>
  <si>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</si>
  <si>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</si>
  <si>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</si>
  <si>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</si>
  <si>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</si>
  <si>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</si>
  <si>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</si>
  <si>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</si>
  <si>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</si>
  <si>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</si>
  <si>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</si>
  <si>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</si>
  <si>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</si>
  <si>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</si>
  <si>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</si>
  <si>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</si>
  <si>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</si>
  <si>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</si>
  <si>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</si>
  <si>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</si>
  <si>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</si>
  <si>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</si>
  <si>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</si>
  <si>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</si>
  <si>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</si>
  <si>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</si>
  <si>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</si>
  <si>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</si>
  <si>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</si>
  <si>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</si>
  <si>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</si>
  <si>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</si>
  <si>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</si>
  <si>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</si>
  <si>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</si>
  <si>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</si>
  <si>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</si>
  <si>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</si>
  <si>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</si>
  <si>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</si>
  <si>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</si>
  <si>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</si>
  <si>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</si>
  <si>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</si>
  <si>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</si>
  <si>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</si>
  <si>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</si>
  <si>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</si>
  <si>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</si>
  <si>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</si>
  <si>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</si>
  <si>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</si>
  <si>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</si>
  <si>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</si>
  <si>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</si>
  <si>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</si>
  <si>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</si>
  <si>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</si>
  <si>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</si>
  <si>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</si>
  <si>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</si>
  <si>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</si>
  <si>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</si>
  <si>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</si>
  <si>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</si>
  <si>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</si>
  <si>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</si>
  <si>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</si>
  <si>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</si>
  <si>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</si>
  <si>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</si>
  <si>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</si>
  <si>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</si>
  <si>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</si>
  <si>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</si>
  <si>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</si>
  <si>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</si>
  <si>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</si>
  <si>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</si>
  <si>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</si>
  <si>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</si>
  <si>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</si>
  <si>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</si>
  <si>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</si>
  <si>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</si>
  <si>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</si>
  <si>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</si>
  <si>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</si>
  <si>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</si>
  <si>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</si>
  <si>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</si>
  <si>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</si>
  <si>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</si>
  <si>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</si>
  <si>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</si>
  <si>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</si>
  <si>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</si>
  <si>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</si>
  <si>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</si>
  <si>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</si>
  <si>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</si>
  <si>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</si>
  <si>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</si>
  <si>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</si>
  <si>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</si>
  <si>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</si>
  <si>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</si>
  <si>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</si>
  <si>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</si>
  <si>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</si>
  <si>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</si>
  <si>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</si>
  <si>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</si>
  <si>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</si>
  <si>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</si>
  <si>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</si>
  <si>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</si>
  <si>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</si>
  <si>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</si>
  <si>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</si>
  <si>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</si>
  <si>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</si>
  <si>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</si>
  <si>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</si>
  <si>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</si>
  <si>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</si>
  <si>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</si>
  <si>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</si>
  <si>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</si>
  <si>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</si>
  <si>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</si>
  <si>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</si>
  <si>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</si>
  <si>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</si>
  <si>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</si>
  <si>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</si>
  <si>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</si>
  <si>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</si>
  <si>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</si>
  <si>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</si>
  <si>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</si>
  <si>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</si>
  <si>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</si>
  <si>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</si>
  <si>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</si>
  <si>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</si>
  <si>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</si>
  <si>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</si>
  <si>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</si>
  <si>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</si>
  <si>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</si>
  <si>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</si>
  <si>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</si>
  <si>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</si>
  <si>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</si>
  <si>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</si>
  <si>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</si>
  <si>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</si>
  <si>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</si>
  <si>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</si>
  <si>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</si>
  <si>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</si>
  <si>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</si>
  <si>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</si>
  <si>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</si>
  <si>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</si>
  <si>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</si>
  <si>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</si>
  <si>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</si>
  <si>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</si>
  <si>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</si>
  <si>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</si>
  <si>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</si>
  <si>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</si>
  <si>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</si>
  <si>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</si>
  <si>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</si>
  <si>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</si>
  <si>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</si>
  <si>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</si>
  <si>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</si>
  <si>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</si>
  <si>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</si>
  <si>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</si>
  <si>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</si>
  <si>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</si>
  <si>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</si>
  <si>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</si>
  <si>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</si>
  <si>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</si>
  <si>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</si>
  <si>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</si>
  <si>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</si>
  <si>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</si>
  <si>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</si>
  <si>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</si>
  <si>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</si>
  <si>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</si>
  <si>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</si>
  <si>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</si>
  <si>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</si>
  <si>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</si>
  <si>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</si>
  <si>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</si>
  <si>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</si>
  <si>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</si>
  <si>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</si>
  <si>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</si>
  <si>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</si>
  <si>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</si>
  <si>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</si>
  <si>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</si>
  <si>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</si>
  <si>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</si>
  <si>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</si>
  <si>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</si>
  <si>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</si>
  <si>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</si>
  <si>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</si>
  <si>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</si>
  <si>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</si>
  <si>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</si>
  <si>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</si>
  <si>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</si>
  <si>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</si>
  <si>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</si>
  <si>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</si>
  <si>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</si>
  <si>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</si>
  <si>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</si>
  <si>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</si>
  <si>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</si>
  <si>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</si>
  <si>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</si>
  <si>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</si>
  <si>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</si>
  <si>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</si>
  <si>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</si>
  <si>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</si>
  <si>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</si>
  <si>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</si>
  <si>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</si>
  <si>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</si>
  <si>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</si>
  <si>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</si>
  <si>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</si>
  <si>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</si>
  <si>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</si>
  <si>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</si>
  <si>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</si>
  <si>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</si>
  <si>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</si>
  <si>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</si>
  <si>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</si>
  <si>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</si>
  <si>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</si>
  <si>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</si>
  <si>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</si>
  <si>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</si>
  <si>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</si>
  <si>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</si>
  <si>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</si>
  <si>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</si>
  <si>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</si>
  <si>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</si>
  <si>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</si>
  <si>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</si>
  <si>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</si>
  <si>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</si>
  <si>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</si>
  <si>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</si>
  <si>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</si>
  <si>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</si>
  <si>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</si>
  <si>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</si>
  <si>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</si>
  <si>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</si>
  <si>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</si>
  <si>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</si>
  <si>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</si>
  <si>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</si>
  <si>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</si>
  <si>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</si>
  <si>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</si>
  <si>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</si>
  <si>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</si>
  <si>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</si>
  <si>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</si>
  <si>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</si>
  <si>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</si>
  <si>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</si>
  <si>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</si>
  <si>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</si>
  <si>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</si>
  <si>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</si>
  <si>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</si>
  <si>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</si>
  <si>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</si>
  <si>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</si>
  <si>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</si>
  <si>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</si>
  <si>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</si>
  <si>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</si>
  <si>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</si>
  <si>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</si>
  <si>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</si>
  <si>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</si>
  <si>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</si>
  <si>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</si>
  <si>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</si>
  <si>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</si>
  <si>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</si>
  <si>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</si>
  <si>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</si>
  <si>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</si>
  <si>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</si>
  <si>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</si>
  <si>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</si>
  <si>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</si>
  <si>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</si>
  <si>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</si>
  <si>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</si>
  <si>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</si>
  <si>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</si>
  <si>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</si>
  <si>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</si>
  <si>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</si>
  <si>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</si>
  <si>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</si>
  <si>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</si>
  <si>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</si>
  <si>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</si>
  <si>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</si>
  <si>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</si>
  <si>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</si>
  <si>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</si>
  <si>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</si>
  <si>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</si>
  <si>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</si>
  <si>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</si>
  <si>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</si>
  <si>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</si>
  <si>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</si>
  <si>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</si>
  <si>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</si>
  <si>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</si>
  <si>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</si>
  <si>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Edgar Sierra</t>
  </si>
  <si>
    <t>Accountant/ Auditor I</t>
  </si>
  <si>
    <t>2021-22</t>
  </si>
  <si>
    <t>Santa Ana</t>
  </si>
  <si>
    <t>ESierra@ochca.com</t>
  </si>
  <si>
    <t>714-834-7590</t>
  </si>
  <si>
    <t>405 W 5th St, Suite 726</t>
  </si>
  <si>
    <t>FY 21-22</t>
  </si>
  <si>
    <t>Adult Full Service Partnership</t>
  </si>
  <si>
    <t>Bridge Housing for Homeless</t>
  </si>
  <si>
    <t>Wellness Center</t>
  </si>
  <si>
    <t>Correctional Health Services - Jail to Community Re-Entry</t>
  </si>
  <si>
    <t>Open Access</t>
  </si>
  <si>
    <t>Outpatient Recovery</t>
  </si>
  <si>
    <t>Children's Full Service Partnership</t>
  </si>
  <si>
    <t>TAY Full Service Partnership</t>
  </si>
  <si>
    <t>Assisted Outpatient Treament Assessment &amp; Linkage</t>
  </si>
  <si>
    <t>Older Adult Support Full Service Partnership</t>
  </si>
  <si>
    <t>In-Home Crisis Stabilization Children 0-17</t>
  </si>
  <si>
    <t>In-Home Crisis Stabilization Adult/Older Adults 18+</t>
  </si>
  <si>
    <t>Crisis Residential Services Children 0-17</t>
  </si>
  <si>
    <t>Crisis Residential Services Adult/Older Adults</t>
  </si>
  <si>
    <t xml:space="preserve">Housing &amp; Year Round Emergency Shelter </t>
  </si>
  <si>
    <t xml:space="preserve">Multi-Service Center for Homeless Mentally Illness Adults </t>
  </si>
  <si>
    <t>Mentoring for Children and Youth</t>
  </si>
  <si>
    <t>Crisis Residential Services Transitional Age Youth (TAY)</t>
  </si>
  <si>
    <t>Services for the Short-Term Residential Therapeutic Program</t>
  </si>
  <si>
    <t>Transportation Program</t>
  </si>
  <si>
    <t>Peer Mentor and Parent Partner Support</t>
  </si>
  <si>
    <t>OC Links</t>
  </si>
  <si>
    <t>Children's Support and Parenting Program (CSPP)</t>
  </si>
  <si>
    <t>Family Support Services</t>
  </si>
  <si>
    <t>School Readiness Programs</t>
  </si>
  <si>
    <t>Violence Prevention Education Services</t>
  </si>
  <si>
    <t>School-Based Behavioral Health Intervention &amp; Support Prevention</t>
  </si>
  <si>
    <t>Parent Education Services</t>
  </si>
  <si>
    <t>Suicide Prevention Services</t>
  </si>
  <si>
    <t>Transportation Assistance</t>
  </si>
  <si>
    <t>Warmline Network Services</t>
  </si>
  <si>
    <t>Community Counseling and Supportive Services (CCSS)</t>
  </si>
  <si>
    <t xml:space="preserve">Early Intervention Services for Older Adults </t>
  </si>
  <si>
    <t>School Based Mental Health Services</t>
  </si>
  <si>
    <t>Continuum of Care for Veteran and Military Families</t>
  </si>
  <si>
    <t>Statewide Early Psychosis Learning Health Care Collaborative Network</t>
  </si>
  <si>
    <t>Behavioral Health System Transformation</t>
  </si>
  <si>
    <t>Mental Health Technology Solutions</t>
  </si>
  <si>
    <t>Innovation – Psychiatric Advance Directives (PAD)</t>
  </si>
  <si>
    <t xml:space="preserve">Behavioral Health Training Facility </t>
  </si>
  <si>
    <t>Technological Needs Projects E.H.R</t>
  </si>
  <si>
    <t>$1,069,461 of unencumbered funds from CalHFA was returned to Orange County. Orange County in turn transferred that $1,069,461 directly to its Local Housing Authority to be spent on the required similar housing assistance services. There is no section in the ARER to report the return of $1,069,461 from CalHFA. Per previous guidance received from DHCS, Minh Hoang via email dated 01/20/21, $1,069,461 is being reported on Summary tab under MHSA HP. The original transfer to CalHFA was reported in FY 18-19 ARER.</t>
  </si>
  <si>
    <t>Supportive Services for clients in Permanent Housing</t>
  </si>
  <si>
    <t xml:space="preserve">Crisis Stabilization Units </t>
  </si>
  <si>
    <t>Crisis Stabilization Units</t>
  </si>
  <si>
    <t xml:space="preserve">Crisis Residential Services Adult/Older Adults </t>
  </si>
  <si>
    <t xml:space="preserve">Supported Employment </t>
  </si>
  <si>
    <t>Expenditure</t>
  </si>
  <si>
    <t>FY 19/20</t>
  </si>
  <si>
    <t>Should have reported $1,664,166.21 as INN expenditures incurred by JPA for Behavioral Health System Transformation . Originally reported $1,666,583</t>
  </si>
  <si>
    <t>Should have reported $3,649,305.98 as INN expenditures incurred by JPA for Behavioral Health System Transformation . Originally reported $3,663,283.78</t>
  </si>
  <si>
    <t>1st Onset of Psychiatric Illness
 (OC CREW)</t>
  </si>
  <si>
    <t>Outreach for Increasing Recognition of Early Signs of Mental Illness</t>
  </si>
  <si>
    <t>OC4VETS</t>
  </si>
  <si>
    <t>BHS Outreach and Engagement</t>
  </si>
  <si>
    <t>Gang Prevention Services</t>
  </si>
  <si>
    <t>MH Community Education Events for Reducing Stigma &amp; Discrimination</t>
  </si>
  <si>
    <t>OC Parent Wellness Program</t>
  </si>
  <si>
    <t>FY 20/21</t>
  </si>
  <si>
    <t>Housing</t>
  </si>
  <si>
    <t>Program for Assertive Community Treatment - TAY and Adults</t>
  </si>
  <si>
    <t>Program for Assertive Community Treatment - Children/Youth</t>
  </si>
  <si>
    <t>Program for Assertive Community Treatment - Older Adults</t>
  </si>
  <si>
    <t>OC Children with Co-Occurring Mental Health Disorders</t>
  </si>
  <si>
    <t xml:space="preserve">Older Adult Services </t>
  </si>
  <si>
    <t>Mobile Crisis Assessment Team Children 0-17</t>
  </si>
  <si>
    <t>Mobile Crisis Assessment Team Adult/Older Adults 18+</t>
  </si>
  <si>
    <t xml:space="preserve">Older Adult  Services </t>
  </si>
  <si>
    <t>Children &amp; Youth Clinic Services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</si>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</sst>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3">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164" fontId="1" fillId="0" borderId="24" xfId="0" applyNumberFormat="1" applyFont="1" applyFill="1" applyBorder="1" applyProtection="1">
      <protection locked="0"/>
    </xf>
    <xf numFmtId="14" fontId="1" fillId="0" borderId="19" xfId="0" applyNumberFormat="1" applyFont="1" applyBorder="1" applyProtection="1">
      <protection locked="0"/>
    </xf>
    <xf numFmtId="9" fontId="1" fillId="0" borderId="19" xfId="1" applyFont="1" applyFill="1" applyBorder="1" applyProtection="1">
      <protection locked="0"/>
    </xf>
    <xf numFmtId="164" fontId="1" fillId="0" borderId="19" xfId="0" applyNumberFormat="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workbookViewId="0"/>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view="pageBreakPreview" topLeftCell="D1" zoomScale="85" zoomScaleNormal="85" zoomScaleSheetLayoutView="85" workbookViewId="0">
      <selection activeCell="L24" sqref="L24"/>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Orange</v>
      </c>
      <c r="G9" s="226" t="s">
        <v>1</v>
      </c>
      <c r="H9" s="264">
        <f>IF(ISBLANK('1. Information'!D9),"",'1. Information'!D9)</f>
        <v>44956</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f>793975.32</f>
        <v>793975.32</v>
      </c>
      <c r="G15" s="136">
        <v>0</v>
      </c>
      <c r="H15" s="136">
        <v>0</v>
      </c>
      <c r="I15" s="136">
        <v>0</v>
      </c>
      <c r="J15" s="136">
        <v>0</v>
      </c>
      <c r="K15" s="246">
        <f>SUM(F15:J15)</f>
        <v>793975.32</v>
      </c>
      <c r="L15" s="175"/>
      <c r="M15" s="175"/>
      <c r="N15" s="175"/>
      <c r="O15" s="27"/>
      <c r="P15" s="27"/>
    </row>
    <row r="16" spans="1:17" ht="15.75" x14ac:dyDescent="0.25">
      <c r="B16" s="300">
        <v>2</v>
      </c>
      <c r="C16" s="308" t="s">
        <v>143</v>
      </c>
      <c r="D16" s="242"/>
      <c r="E16" s="243"/>
      <c r="F16" s="136">
        <f>1319030.68-793975.32</f>
        <v>525055.36</v>
      </c>
      <c r="G16" s="136">
        <v>0</v>
      </c>
      <c r="H16" s="136">
        <v>0</v>
      </c>
      <c r="I16" s="136">
        <v>0</v>
      </c>
      <c r="J16" s="136">
        <v>0</v>
      </c>
      <c r="K16" s="246">
        <f>SUM(F16:J16)</f>
        <v>525055.36</v>
      </c>
      <c r="L16" s="175"/>
      <c r="M16" s="175"/>
      <c r="N16" s="175"/>
      <c r="O16" s="27"/>
      <c r="P16" s="27"/>
    </row>
    <row r="17" spans="2:17" ht="15.75" x14ac:dyDescent="0.25">
      <c r="B17" s="300">
        <v>3</v>
      </c>
      <c r="C17" s="309" t="s">
        <v>238</v>
      </c>
      <c r="D17" s="245"/>
      <c r="E17" s="243"/>
      <c r="F17" s="136">
        <f>1943571+459935</f>
        <v>2403506</v>
      </c>
      <c r="G17" s="310"/>
      <c r="H17" s="310"/>
      <c r="I17" s="310"/>
      <c r="J17" s="310"/>
      <c r="K17" s="246">
        <f>F17</f>
        <v>2403506</v>
      </c>
      <c r="L17" s="175"/>
      <c r="M17" s="175"/>
      <c r="N17" s="175"/>
      <c r="O17" s="27"/>
      <c r="P17" s="27"/>
    </row>
    <row r="18" spans="2:17" ht="15.75" x14ac:dyDescent="0.25">
      <c r="B18" s="300">
        <v>4</v>
      </c>
      <c r="C18" s="309" t="s">
        <v>293</v>
      </c>
      <c r="D18" s="245"/>
      <c r="E18" s="243"/>
      <c r="F18" s="136">
        <f>2588886.2+147828</f>
        <v>2736714.2</v>
      </c>
      <c r="G18" s="310"/>
      <c r="H18" s="310"/>
      <c r="I18" s="310"/>
      <c r="J18" s="310"/>
      <c r="K18" s="246">
        <f>F18</f>
        <v>2736714.2</v>
      </c>
      <c r="L18" s="175"/>
      <c r="M18" s="175"/>
      <c r="N18" s="175"/>
      <c r="O18" s="27"/>
      <c r="P18" s="27"/>
    </row>
    <row r="19" spans="2:17" ht="15.75" x14ac:dyDescent="0.25">
      <c r="B19" s="300">
        <v>5</v>
      </c>
      <c r="C19" s="308" t="s">
        <v>144</v>
      </c>
      <c r="D19" s="242"/>
      <c r="E19" s="243"/>
      <c r="F19" s="311">
        <f>SUMIF($K$29:$K$128,"Project Administration",L$29:L$128)</f>
        <v>80406.770000000397</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80406.770000000397</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7032484.29</v>
      </c>
      <c r="G21" s="313">
        <f>SUMIF($K$29:$K$128,"Project Direct",M$29:M$128)</f>
        <v>0</v>
      </c>
      <c r="H21" s="310">
        <f>SUMIF($K$29:$K$128,"Project Direct",N$29:N$128)</f>
        <v>0</v>
      </c>
      <c r="I21" s="310">
        <f>SUMIF($K$29:$K$128,"Project Direct",O$29:O$128)</f>
        <v>0</v>
      </c>
      <c r="J21" s="310">
        <f>SUMIF($K$29:$K$128,"Project Direct",P$29:P$128)</f>
        <v>0</v>
      </c>
      <c r="K21" s="246">
        <f t="shared" si="0"/>
        <v>7032484.29</v>
      </c>
      <c r="L21" s="175"/>
      <c r="M21" s="175"/>
      <c r="N21" s="175"/>
      <c r="O21" s="27"/>
      <c r="P21" s="27"/>
    </row>
    <row r="22" spans="2:17" ht="15.75" x14ac:dyDescent="0.25">
      <c r="B22" s="300">
        <v>8</v>
      </c>
      <c r="C22" s="308" t="s">
        <v>146</v>
      </c>
      <c r="D22" s="314"/>
      <c r="F22" s="315">
        <f>SUM(F19:F21)</f>
        <v>7112891.0600000005</v>
      </c>
      <c r="G22" s="316">
        <f>SUM(G19:G21)</f>
        <v>0</v>
      </c>
      <c r="H22" s="315">
        <f>SUM(H19:H21)</f>
        <v>0</v>
      </c>
      <c r="I22" s="315">
        <f>SUM(I19:I21)</f>
        <v>0</v>
      </c>
      <c r="J22" s="315">
        <f t="shared" ref="J22" si="1">SUM(J19:J21)</f>
        <v>0</v>
      </c>
      <c r="K22" s="246">
        <f t="shared" si="0"/>
        <v>7112891.0600000005</v>
      </c>
      <c r="L22" s="175"/>
      <c r="M22" s="175"/>
      <c r="N22" s="175"/>
      <c r="O22" s="27"/>
      <c r="P22" s="27"/>
    </row>
    <row r="23" spans="2:17" ht="30.95" customHeight="1" x14ac:dyDescent="0.25">
      <c r="B23" s="300">
        <v>9</v>
      </c>
      <c r="C23" s="317" t="s">
        <v>239</v>
      </c>
      <c r="D23" s="318"/>
      <c r="E23" s="319"/>
      <c r="F23" s="320">
        <f>SUM(F15:F16,F18:F21)</f>
        <v>11168635.940000001</v>
      </c>
      <c r="G23" s="320">
        <f>SUM(G15:G16,G19:G21)</f>
        <v>0</v>
      </c>
      <c r="H23" s="320">
        <f t="shared" ref="H23:J23" si="2">SUM(H15:H16,H19:H21)</f>
        <v>0</v>
      </c>
      <c r="I23" s="320">
        <f t="shared" si="2"/>
        <v>0</v>
      </c>
      <c r="J23" s="320">
        <f t="shared" si="2"/>
        <v>0</v>
      </c>
      <c r="K23" s="279">
        <f t="shared" si="0"/>
        <v>11168635.940000001</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
      <c r="B29" s="276">
        <v>10</v>
      </c>
      <c r="C29" s="293" t="s">
        <v>23</v>
      </c>
      <c r="D29" s="325">
        <f>IF(Q32&lt;&gt;0,VLOOKUP($E$9,Info_County_Code,2,FALSE),"")</f>
        <v>30</v>
      </c>
      <c r="E29" s="144" t="s">
        <v>824</v>
      </c>
      <c r="F29" s="38"/>
      <c r="G29" s="38">
        <v>42817</v>
      </c>
      <c r="H29" s="38">
        <v>43160</v>
      </c>
      <c r="I29" s="30">
        <v>3083777</v>
      </c>
      <c r="J29" s="418" t="s">
        <v>859</v>
      </c>
      <c r="K29" s="326" t="s">
        <v>140</v>
      </c>
      <c r="L29" s="32">
        <v>20641.27</v>
      </c>
      <c r="M29" s="32">
        <v>0</v>
      </c>
      <c r="N29" s="32">
        <v>0</v>
      </c>
      <c r="O29" s="32">
        <v>0</v>
      </c>
      <c r="P29" s="32">
        <v>0</v>
      </c>
      <c r="Q29" s="246">
        <f>SUM(L29:P29)</f>
        <v>20641.27</v>
      </c>
    </row>
    <row r="30" spans="2:17" x14ac:dyDescent="0.2">
      <c r="B30" s="276">
        <v>10</v>
      </c>
      <c r="C30" s="218" t="s">
        <v>25</v>
      </c>
      <c r="D30" s="327">
        <f t="shared" ref="D30:J31" si="3">IF(ISBLANK(D29),"",D29)</f>
        <v>30</v>
      </c>
      <c r="E30" s="328" t="str">
        <f t="shared" si="3"/>
        <v>Continuum of Care for Veteran and Military Families</v>
      </c>
      <c r="F30" s="329" t="str">
        <f t="shared" si="3"/>
        <v/>
      </c>
      <c r="G30" s="329">
        <f t="shared" si="3"/>
        <v>42817</v>
      </c>
      <c r="H30" s="329">
        <f t="shared" si="3"/>
        <v>43160</v>
      </c>
      <c r="I30" s="330">
        <f t="shared" si="3"/>
        <v>3083777</v>
      </c>
      <c r="J30" s="330" t="str">
        <f t="shared" si="3"/>
        <v>N/A</v>
      </c>
      <c r="K30" s="275" t="s">
        <v>141</v>
      </c>
      <c r="L30" s="32">
        <v>0</v>
      </c>
      <c r="M30" s="32">
        <v>0</v>
      </c>
      <c r="N30" s="32">
        <v>0</v>
      </c>
      <c r="O30" s="32">
        <v>0</v>
      </c>
      <c r="P30" s="32">
        <v>0</v>
      </c>
      <c r="Q30" s="246">
        <f t="shared" ref="Q30:Q60" si="4">SUM(L30:P30)</f>
        <v>0</v>
      </c>
    </row>
    <row r="31" spans="2:17" x14ac:dyDescent="0.2">
      <c r="B31" s="276">
        <v>10</v>
      </c>
      <c r="C31" s="218" t="s">
        <v>27</v>
      </c>
      <c r="D31" s="327">
        <f t="shared" ref="D31:I31" si="5">IF(ISBLANK(D29),"",D29)</f>
        <v>30</v>
      </c>
      <c r="E31" s="331" t="str">
        <f t="shared" si="5"/>
        <v>Continuum of Care for Veteran and Military Families</v>
      </c>
      <c r="F31" s="332" t="str">
        <f t="shared" si="5"/>
        <v/>
      </c>
      <c r="G31" s="332">
        <f t="shared" si="5"/>
        <v>42817</v>
      </c>
      <c r="H31" s="332">
        <f t="shared" si="5"/>
        <v>43160</v>
      </c>
      <c r="I31" s="275">
        <f t="shared" si="5"/>
        <v>3083777</v>
      </c>
      <c r="J31" s="275" t="str">
        <f t="shared" si="3"/>
        <v>N/A</v>
      </c>
      <c r="K31" s="275" t="s">
        <v>197</v>
      </c>
      <c r="L31" s="32">
        <v>675761</v>
      </c>
      <c r="M31" s="32">
        <v>0</v>
      </c>
      <c r="N31" s="32">
        <v>0</v>
      </c>
      <c r="O31" s="32">
        <v>0</v>
      </c>
      <c r="P31" s="32">
        <v>0</v>
      </c>
      <c r="Q31" s="246">
        <f t="shared" si="4"/>
        <v>675761</v>
      </c>
    </row>
    <row r="32" spans="2:17" ht="31.5" x14ac:dyDescent="0.25">
      <c r="B32" s="333">
        <v>10</v>
      </c>
      <c r="C32" s="333" t="s">
        <v>202</v>
      </c>
      <c r="D32" s="334">
        <f t="shared" ref="D32:J32" si="6">IF(ISBLANK(D29),"",D29)</f>
        <v>30</v>
      </c>
      <c r="E32" s="335" t="str">
        <f t="shared" si="6"/>
        <v>Continuum of Care for Veteran and Military Families</v>
      </c>
      <c r="F32" s="336" t="str">
        <f t="shared" si="6"/>
        <v/>
      </c>
      <c r="G32" s="336">
        <f t="shared" si="6"/>
        <v>42817</v>
      </c>
      <c r="H32" s="336">
        <f t="shared" si="6"/>
        <v>43160</v>
      </c>
      <c r="I32" s="337">
        <f t="shared" si="6"/>
        <v>3083777</v>
      </c>
      <c r="J32" s="337" t="str">
        <f t="shared" si="6"/>
        <v>N/A</v>
      </c>
      <c r="K32" s="279" t="s">
        <v>217</v>
      </c>
      <c r="L32" s="338">
        <f>SUM(L29:L31)</f>
        <v>696402.27</v>
      </c>
      <c r="M32" s="338">
        <f>SUM(M29:M31)</f>
        <v>0</v>
      </c>
      <c r="N32" s="339">
        <f t="shared" ref="N32:P32" si="7">SUM(N29:N31)</f>
        <v>0</v>
      </c>
      <c r="O32" s="339">
        <f t="shared" si="7"/>
        <v>0</v>
      </c>
      <c r="P32" s="340">
        <f t="shared" si="7"/>
        <v>0</v>
      </c>
      <c r="Q32" s="279">
        <f t="shared" si="4"/>
        <v>696402.27</v>
      </c>
    </row>
    <row r="33" spans="2:17" ht="30" x14ac:dyDescent="0.2">
      <c r="B33" s="276">
        <v>11</v>
      </c>
      <c r="C33" s="293" t="s">
        <v>23</v>
      </c>
      <c r="D33" s="325">
        <f>IF(Q36&lt;&gt;0,VLOOKUP($E$9,Info_County_Code,2,FALSE),"")</f>
        <v>30</v>
      </c>
      <c r="E33" s="144" t="s">
        <v>825</v>
      </c>
      <c r="F33" s="38"/>
      <c r="G33" s="416">
        <v>43451</v>
      </c>
      <c r="H33" s="416">
        <v>43860</v>
      </c>
      <c r="I33" s="30">
        <v>2499120</v>
      </c>
      <c r="J33" s="418" t="s">
        <v>859</v>
      </c>
      <c r="K33" s="326" t="str">
        <f>IF(NOT(ISBLANK(E33)),$K$29,"")</f>
        <v>Project Administration</v>
      </c>
      <c r="L33" s="32">
        <f>16007.63-687.5</f>
        <v>15320.13</v>
      </c>
      <c r="M33" s="32">
        <v>0</v>
      </c>
      <c r="N33" s="32">
        <v>0</v>
      </c>
      <c r="O33" s="32">
        <v>0</v>
      </c>
      <c r="P33" s="32">
        <v>0</v>
      </c>
      <c r="Q33" s="246">
        <f t="shared" ref="Q33:Q36" si="8">SUM(L33:P33)</f>
        <v>15320.13</v>
      </c>
    </row>
    <row r="34" spans="2:17" ht="30" x14ac:dyDescent="0.2">
      <c r="B34" s="276">
        <v>11</v>
      </c>
      <c r="C34" s="218" t="s">
        <v>25</v>
      </c>
      <c r="D34" s="327">
        <f t="shared" ref="D34:J34" si="9">IF(ISBLANK(D33),"",D33)</f>
        <v>30</v>
      </c>
      <c r="E34" s="328" t="str">
        <f t="shared" si="9"/>
        <v>Statewide Early Psychosis Learning Health Care Collaborative Network</v>
      </c>
      <c r="F34" s="329" t="str">
        <f t="shared" si="9"/>
        <v/>
      </c>
      <c r="G34" s="329">
        <f t="shared" si="9"/>
        <v>43451</v>
      </c>
      <c r="H34" s="329">
        <f t="shared" si="9"/>
        <v>43860</v>
      </c>
      <c r="I34" s="330">
        <f t="shared" si="9"/>
        <v>2499120</v>
      </c>
      <c r="J34" s="330" t="str">
        <f t="shared" si="9"/>
        <v>N/A</v>
      </c>
      <c r="K34" s="275" t="str">
        <f>IF(NOT(ISBLANK(E33)),$K$30,"")</f>
        <v>Project Evaluation</v>
      </c>
      <c r="L34" s="32">
        <v>0</v>
      </c>
      <c r="M34" s="32">
        <v>0</v>
      </c>
      <c r="N34" s="32">
        <v>0</v>
      </c>
      <c r="O34" s="32">
        <v>0</v>
      </c>
      <c r="P34" s="32">
        <v>0</v>
      </c>
      <c r="Q34" s="246">
        <f t="shared" si="8"/>
        <v>0</v>
      </c>
    </row>
    <row r="35" spans="2:17" ht="30" x14ac:dyDescent="0.2">
      <c r="B35" s="276">
        <v>11</v>
      </c>
      <c r="C35" s="218" t="s">
        <v>27</v>
      </c>
      <c r="D35" s="327">
        <f t="shared" ref="D35:J35" si="10">IF(ISBLANK(D33),"",D33)</f>
        <v>30</v>
      </c>
      <c r="E35" s="331" t="str">
        <f t="shared" si="10"/>
        <v>Statewide Early Psychosis Learning Health Care Collaborative Network</v>
      </c>
      <c r="F35" s="332" t="str">
        <f t="shared" si="10"/>
        <v/>
      </c>
      <c r="G35" s="332">
        <f t="shared" si="10"/>
        <v>43451</v>
      </c>
      <c r="H35" s="332">
        <f t="shared" si="10"/>
        <v>43860</v>
      </c>
      <c r="I35" s="275">
        <f t="shared" si="10"/>
        <v>2499120</v>
      </c>
      <c r="J35" s="275" t="str">
        <f t="shared" si="10"/>
        <v>N/A</v>
      </c>
      <c r="K35" s="275" t="str">
        <f>IF(NOT(ISBLANK(E33)),$K$31,"")</f>
        <v>Project Direct</v>
      </c>
      <c r="L35" s="32">
        <f>653471.2+687.5-459935</f>
        <v>194223.69999999995</v>
      </c>
      <c r="M35" s="32">
        <v>0</v>
      </c>
      <c r="N35" s="32">
        <v>0</v>
      </c>
      <c r="O35" s="32">
        <v>0</v>
      </c>
      <c r="P35" s="32">
        <v>0</v>
      </c>
      <c r="Q35" s="246">
        <f t="shared" si="8"/>
        <v>194223.69999999995</v>
      </c>
    </row>
    <row r="36" spans="2:17" ht="31.5" x14ac:dyDescent="0.25">
      <c r="B36" s="333">
        <v>11</v>
      </c>
      <c r="C36" s="333" t="s">
        <v>202</v>
      </c>
      <c r="D36" s="334">
        <f t="shared" ref="D36:J36" si="11">IF(ISBLANK(D33),"",D33)</f>
        <v>30</v>
      </c>
      <c r="E36" s="335" t="str">
        <f t="shared" si="11"/>
        <v>Statewide Early Psychosis Learning Health Care Collaborative Network</v>
      </c>
      <c r="F36" s="336" t="str">
        <f t="shared" si="11"/>
        <v/>
      </c>
      <c r="G36" s="336">
        <f t="shared" si="11"/>
        <v>43451</v>
      </c>
      <c r="H36" s="336">
        <f t="shared" si="11"/>
        <v>43860</v>
      </c>
      <c r="I36" s="337">
        <f t="shared" si="11"/>
        <v>2499120</v>
      </c>
      <c r="J36" s="337" t="str">
        <f t="shared" si="11"/>
        <v>N/A</v>
      </c>
      <c r="K36" s="279" t="str">
        <f>IF(NOT(ISBLANK(E33)),$K$32,"")</f>
        <v>Project Subtotal</v>
      </c>
      <c r="L36" s="338">
        <f t="shared" ref="L36" si="12">SUM(L33:L35)</f>
        <v>209543.82999999996</v>
      </c>
      <c r="M36" s="338">
        <f>SUM(M33:M35)</f>
        <v>0</v>
      </c>
      <c r="N36" s="339">
        <f t="shared" ref="N36:P36" si="13">SUM(N33:N35)</f>
        <v>0</v>
      </c>
      <c r="O36" s="339">
        <f t="shared" si="13"/>
        <v>0</v>
      </c>
      <c r="P36" s="340">
        <f t="shared" si="13"/>
        <v>0</v>
      </c>
      <c r="Q36" s="279">
        <f t="shared" si="8"/>
        <v>209543.82999999996</v>
      </c>
    </row>
    <row r="37" spans="2:17" x14ac:dyDescent="0.2">
      <c r="B37" s="276">
        <v>12</v>
      </c>
      <c r="C37" s="293" t="s">
        <v>23</v>
      </c>
      <c r="D37" s="325">
        <f>IF(Q40&lt;&gt;0,VLOOKUP($E$9,Info_County_Code,2,FALSE),"")</f>
        <v>30</v>
      </c>
      <c r="E37" s="144" t="s">
        <v>826</v>
      </c>
      <c r="F37" s="38"/>
      <c r="G37" s="416">
        <v>43608</v>
      </c>
      <c r="H37" s="416">
        <v>43753</v>
      </c>
      <c r="I37" s="30">
        <v>18000000</v>
      </c>
      <c r="J37" s="418" t="s">
        <v>859</v>
      </c>
      <c r="K37" s="326" t="str">
        <f>IF(NOT(ISBLANK(E37)),$K$29,"")</f>
        <v>Project Administration</v>
      </c>
      <c r="L37" s="415">
        <f>1409709.36-1405105.07</f>
        <v>4604.2900000000373</v>
      </c>
      <c r="M37" s="32">
        <v>0</v>
      </c>
      <c r="N37" s="32">
        <v>0</v>
      </c>
      <c r="O37" s="32">
        <v>0</v>
      </c>
      <c r="P37" s="32">
        <v>0</v>
      </c>
      <c r="Q37" s="246">
        <f t="shared" si="4"/>
        <v>4604.2900000000373</v>
      </c>
    </row>
    <row r="38" spans="2:17" x14ac:dyDescent="0.2">
      <c r="B38" s="276">
        <v>12</v>
      </c>
      <c r="C38" s="218" t="s">
        <v>25</v>
      </c>
      <c r="D38" s="327">
        <f t="shared" ref="D38:J38" si="14">IF(ISBLANK(D37),"",D37)</f>
        <v>30</v>
      </c>
      <c r="E38" s="328" t="str">
        <f t="shared" si="14"/>
        <v>Behavioral Health System Transformation</v>
      </c>
      <c r="F38" s="329" t="str">
        <f t="shared" si="14"/>
        <v/>
      </c>
      <c r="G38" s="329">
        <f t="shared" si="14"/>
        <v>43608</v>
      </c>
      <c r="H38" s="329">
        <f t="shared" si="14"/>
        <v>43753</v>
      </c>
      <c r="I38" s="330">
        <f t="shared" si="14"/>
        <v>18000000</v>
      </c>
      <c r="J38" s="330" t="str">
        <f t="shared" si="14"/>
        <v>N/A</v>
      </c>
      <c r="K38" s="275" t="str">
        <f>IF(NOT(ISBLANK(E37)),$K$30,"")</f>
        <v>Project Evaluation</v>
      </c>
      <c r="L38" s="32">
        <v>0</v>
      </c>
      <c r="M38" s="32">
        <v>0</v>
      </c>
      <c r="N38" s="32">
        <v>0</v>
      </c>
      <c r="O38" s="32">
        <v>0</v>
      </c>
      <c r="P38" s="32">
        <v>0</v>
      </c>
      <c r="Q38" s="246">
        <f t="shared" si="4"/>
        <v>0</v>
      </c>
    </row>
    <row r="39" spans="2:17" x14ac:dyDescent="0.2">
      <c r="B39" s="276">
        <v>12</v>
      </c>
      <c r="C39" s="218" t="s">
        <v>27</v>
      </c>
      <c r="D39" s="327">
        <f t="shared" ref="D39:J39" si="15">IF(ISBLANK(D37),"",D37)</f>
        <v>30</v>
      </c>
      <c r="E39" s="331" t="str">
        <f t="shared" si="15"/>
        <v>Behavioral Health System Transformation</v>
      </c>
      <c r="F39" s="332" t="str">
        <f t="shared" si="15"/>
        <v/>
      </c>
      <c r="G39" s="332">
        <f t="shared" si="15"/>
        <v>43608</v>
      </c>
      <c r="H39" s="332">
        <f t="shared" si="15"/>
        <v>43753</v>
      </c>
      <c r="I39" s="275">
        <f t="shared" si="15"/>
        <v>18000000</v>
      </c>
      <c r="J39" s="275" t="str">
        <f t="shared" si="15"/>
        <v>N/A</v>
      </c>
      <c r="K39" s="275" t="str">
        <f>IF(NOT(ISBLANK(E37)),$K$31,"")</f>
        <v>Project Direct</v>
      </c>
      <c r="L39" s="32">
        <f>1937414.3+1405105.07-251000</f>
        <v>3091519.37</v>
      </c>
      <c r="M39" s="32">
        <v>0</v>
      </c>
      <c r="N39" s="32">
        <v>0</v>
      </c>
      <c r="O39" s="32">
        <v>0</v>
      </c>
      <c r="P39" s="32">
        <v>0</v>
      </c>
      <c r="Q39" s="246">
        <f t="shared" si="4"/>
        <v>3091519.37</v>
      </c>
    </row>
    <row r="40" spans="2:17" ht="15.75" x14ac:dyDescent="0.25">
      <c r="B40" s="333">
        <v>12</v>
      </c>
      <c r="C40" s="333" t="s">
        <v>202</v>
      </c>
      <c r="D40" s="334">
        <f t="shared" ref="D40:J40" si="16">IF(ISBLANK(D37),"",D37)</f>
        <v>30</v>
      </c>
      <c r="E40" s="335" t="str">
        <f t="shared" si="16"/>
        <v>Behavioral Health System Transformation</v>
      </c>
      <c r="F40" s="336" t="str">
        <f t="shared" si="16"/>
        <v/>
      </c>
      <c r="G40" s="336">
        <f t="shared" si="16"/>
        <v>43608</v>
      </c>
      <c r="H40" s="336">
        <f t="shared" si="16"/>
        <v>43753</v>
      </c>
      <c r="I40" s="337">
        <f t="shared" si="16"/>
        <v>18000000</v>
      </c>
      <c r="J40" s="337" t="str">
        <f t="shared" si="16"/>
        <v>N/A</v>
      </c>
      <c r="K40" s="279" t="str">
        <f>IF(NOT(ISBLANK(E37)),$K$32,"")</f>
        <v>Project Subtotal</v>
      </c>
      <c r="L40" s="338">
        <f t="shared" ref="L40" si="17">SUM(L37:L39)</f>
        <v>3096123.66</v>
      </c>
      <c r="M40" s="338">
        <f>SUM(M37:M39)</f>
        <v>0</v>
      </c>
      <c r="N40" s="339">
        <f t="shared" ref="N40" si="18">SUM(N37:N39)</f>
        <v>0</v>
      </c>
      <c r="O40" s="339">
        <f t="shared" ref="O40" si="19">SUM(O37:O39)</f>
        <v>0</v>
      </c>
      <c r="P40" s="340">
        <f t="shared" ref="P40" si="20">SUM(P37:P39)</f>
        <v>0</v>
      </c>
      <c r="Q40" s="279">
        <f t="shared" si="4"/>
        <v>3096123.66</v>
      </c>
    </row>
    <row r="41" spans="2:17" x14ac:dyDescent="0.2">
      <c r="B41" s="276">
        <v>13</v>
      </c>
      <c r="C41" s="293" t="s">
        <v>23</v>
      </c>
      <c r="D41" s="325">
        <f>IF(Q44&lt;&gt;0,VLOOKUP($E$9,Info_County_Code,2,FALSE),"")</f>
        <v>30</v>
      </c>
      <c r="E41" s="144" t="s">
        <v>827</v>
      </c>
      <c r="F41" s="38"/>
      <c r="G41" s="416">
        <v>43216</v>
      </c>
      <c r="H41" s="416">
        <v>43217</v>
      </c>
      <c r="I41" s="30">
        <v>24000000</v>
      </c>
      <c r="J41" s="418" t="s">
        <v>859</v>
      </c>
      <c r="K41" s="326" t="str">
        <f>IF(NOT(ISBLANK(E41)),$K$29,"")</f>
        <v>Project Administration</v>
      </c>
      <c r="L41" s="32">
        <f>4799512.37-4763551.22</f>
        <v>35961.150000000373</v>
      </c>
      <c r="M41" s="32">
        <v>0</v>
      </c>
      <c r="N41" s="32">
        <v>0</v>
      </c>
      <c r="O41" s="32">
        <v>0</v>
      </c>
      <c r="P41" s="32">
        <v>0</v>
      </c>
      <c r="Q41" s="246">
        <f t="shared" si="4"/>
        <v>35961.150000000373</v>
      </c>
    </row>
    <row r="42" spans="2:17" x14ac:dyDescent="0.2">
      <c r="B42" s="276">
        <v>13</v>
      </c>
      <c r="C42" s="218" t="s">
        <v>25</v>
      </c>
      <c r="D42" s="327">
        <f t="shared" ref="D42:J42" si="21">IF(ISBLANK(D41),"",D41)</f>
        <v>30</v>
      </c>
      <c r="E42" s="328" t="str">
        <f t="shared" si="21"/>
        <v>Mental Health Technology Solutions</v>
      </c>
      <c r="F42" s="329" t="str">
        <f t="shared" si="21"/>
        <v/>
      </c>
      <c r="G42" s="329">
        <f t="shared" si="21"/>
        <v>43216</v>
      </c>
      <c r="H42" s="329">
        <f t="shared" si="21"/>
        <v>43217</v>
      </c>
      <c r="I42" s="330">
        <f t="shared" si="21"/>
        <v>24000000</v>
      </c>
      <c r="J42" s="330" t="str">
        <f t="shared" si="21"/>
        <v>N/A</v>
      </c>
      <c r="K42" s="275" t="str">
        <f>IF(NOT(ISBLANK(E41)),$K$30,"")</f>
        <v>Project Evaluation</v>
      </c>
      <c r="L42" s="32">
        <v>0</v>
      </c>
      <c r="M42" s="32">
        <v>0</v>
      </c>
      <c r="N42" s="32">
        <v>0</v>
      </c>
      <c r="O42" s="32">
        <v>0</v>
      </c>
      <c r="P42" s="32">
        <v>0</v>
      </c>
      <c r="Q42" s="246">
        <f t="shared" si="4"/>
        <v>0</v>
      </c>
    </row>
    <row r="43" spans="2:17" x14ac:dyDescent="0.2">
      <c r="B43" s="276">
        <v>13</v>
      </c>
      <c r="C43" s="218" t="s">
        <v>27</v>
      </c>
      <c r="D43" s="327">
        <f t="shared" ref="D43:J43" si="22">IF(ISBLANK(D41),"",D41)</f>
        <v>30</v>
      </c>
      <c r="E43" s="331" t="str">
        <f t="shared" si="22"/>
        <v>Mental Health Technology Solutions</v>
      </c>
      <c r="F43" s="332" t="str">
        <f t="shared" si="22"/>
        <v/>
      </c>
      <c r="G43" s="332">
        <f t="shared" si="22"/>
        <v>43216</v>
      </c>
      <c r="H43" s="332">
        <f t="shared" si="22"/>
        <v>43217</v>
      </c>
      <c r="I43" s="275">
        <f t="shared" si="22"/>
        <v>24000000</v>
      </c>
      <c r="J43" s="275" t="str">
        <f t="shared" si="22"/>
        <v>N/A</v>
      </c>
      <c r="K43" s="275" t="str">
        <f>IF(NOT(ISBLANK(E41)),$K$31,"")</f>
        <v>Project Direct</v>
      </c>
      <c r="L43" s="32">
        <f>0+4763551.22+251000-1943571</f>
        <v>3070980.2199999997</v>
      </c>
      <c r="M43" s="32">
        <v>0</v>
      </c>
      <c r="N43" s="32">
        <v>0</v>
      </c>
      <c r="O43" s="32">
        <v>0</v>
      </c>
      <c r="P43" s="32">
        <v>0</v>
      </c>
      <c r="Q43" s="246">
        <f t="shared" si="4"/>
        <v>3070980.2199999997</v>
      </c>
    </row>
    <row r="44" spans="2:17" ht="15.75" x14ac:dyDescent="0.25">
      <c r="B44" s="333">
        <v>13</v>
      </c>
      <c r="C44" s="333" t="s">
        <v>202</v>
      </c>
      <c r="D44" s="334">
        <f t="shared" ref="D44:J44" si="23">IF(ISBLANK(D41),"",D41)</f>
        <v>30</v>
      </c>
      <c r="E44" s="335" t="str">
        <f t="shared" si="23"/>
        <v>Mental Health Technology Solutions</v>
      </c>
      <c r="F44" s="336" t="str">
        <f t="shared" si="23"/>
        <v/>
      </c>
      <c r="G44" s="336">
        <f t="shared" si="23"/>
        <v>43216</v>
      </c>
      <c r="H44" s="336">
        <f t="shared" si="23"/>
        <v>43217</v>
      </c>
      <c r="I44" s="337">
        <f t="shared" si="23"/>
        <v>24000000</v>
      </c>
      <c r="J44" s="337" t="str">
        <f t="shared" si="23"/>
        <v>N/A</v>
      </c>
      <c r="K44" s="279" t="str">
        <f>IF(NOT(ISBLANK(E41)),$K$32,"")</f>
        <v>Project Subtotal</v>
      </c>
      <c r="L44" s="338">
        <f t="shared" ref="L44" si="24">SUM(L41:L43)</f>
        <v>3106941.37</v>
      </c>
      <c r="M44" s="338">
        <f>SUM(M41:M43)</f>
        <v>0</v>
      </c>
      <c r="N44" s="339">
        <f t="shared" ref="N44" si="25">SUM(N41:N43)</f>
        <v>0</v>
      </c>
      <c r="O44" s="339">
        <f t="shared" ref="O44" si="26">SUM(O41:O43)</f>
        <v>0</v>
      </c>
      <c r="P44" s="340">
        <f t="shared" ref="P44" si="27">SUM(P41:P43)</f>
        <v>0</v>
      </c>
      <c r="Q44" s="279">
        <f t="shared" si="4"/>
        <v>3106941.37</v>
      </c>
    </row>
    <row r="45" spans="2:17" x14ac:dyDescent="0.2">
      <c r="B45" s="276">
        <v>14</v>
      </c>
      <c r="C45" s="293" t="s">
        <v>23</v>
      </c>
      <c r="D45" s="325">
        <f>IF(Q48&lt;&gt;0,VLOOKUP($E$9,Info_County_Code,2,FALSE),"")</f>
        <v>30</v>
      </c>
      <c r="E45" s="144" t="s">
        <v>828</v>
      </c>
      <c r="F45" s="38"/>
      <c r="G45" s="38">
        <v>44371</v>
      </c>
      <c r="H45" s="38">
        <v>44686</v>
      </c>
      <c r="I45" s="30">
        <v>12888948</v>
      </c>
      <c r="J45" s="418" t="s">
        <v>859</v>
      </c>
      <c r="K45" s="326" t="str">
        <f>IF(NOT(ISBLANK(E45)),$K$29,"")</f>
        <v>Project Administration</v>
      </c>
      <c r="L45" s="32">
        <v>3879.93</v>
      </c>
      <c r="M45" s="32">
        <v>0</v>
      </c>
      <c r="N45" s="32">
        <v>0</v>
      </c>
      <c r="O45" s="32">
        <v>0</v>
      </c>
      <c r="P45" s="32">
        <v>0</v>
      </c>
      <c r="Q45" s="246">
        <f t="shared" si="4"/>
        <v>3879.93</v>
      </c>
    </row>
    <row r="46" spans="2:17" x14ac:dyDescent="0.2">
      <c r="B46" s="276">
        <v>14</v>
      </c>
      <c r="C46" s="218" t="s">
        <v>25</v>
      </c>
      <c r="D46" s="327">
        <f t="shared" ref="D46:J46" si="28">IF(ISBLANK(D45),"",D45)</f>
        <v>30</v>
      </c>
      <c r="E46" s="328" t="str">
        <f t="shared" si="28"/>
        <v>Innovation – Psychiatric Advance Directives (PAD)</v>
      </c>
      <c r="F46" s="329" t="str">
        <f t="shared" si="28"/>
        <v/>
      </c>
      <c r="G46" s="329">
        <f t="shared" si="28"/>
        <v>44371</v>
      </c>
      <c r="H46" s="329">
        <f t="shared" si="28"/>
        <v>44686</v>
      </c>
      <c r="I46" s="330">
        <f t="shared" si="28"/>
        <v>12888948</v>
      </c>
      <c r="J46" s="330" t="str">
        <f t="shared" si="28"/>
        <v>N/A</v>
      </c>
      <c r="K46" s="275" t="str">
        <f>IF(NOT(ISBLANK(E45)),$K$30,"")</f>
        <v>Project Evaluation</v>
      </c>
      <c r="L46" s="32">
        <v>0</v>
      </c>
      <c r="M46" s="32">
        <v>0</v>
      </c>
      <c r="N46" s="32">
        <v>0</v>
      </c>
      <c r="O46" s="32">
        <v>0</v>
      </c>
      <c r="P46" s="32">
        <v>0</v>
      </c>
      <c r="Q46" s="246">
        <f t="shared" si="4"/>
        <v>0</v>
      </c>
    </row>
    <row r="47" spans="2:17" x14ac:dyDescent="0.2">
      <c r="B47" s="276">
        <v>14</v>
      </c>
      <c r="C47" s="218" t="s">
        <v>27</v>
      </c>
      <c r="D47" s="327">
        <f t="shared" ref="D47:J47" si="29">IF(ISBLANK(D45),"",D45)</f>
        <v>30</v>
      </c>
      <c r="E47" s="331" t="str">
        <f t="shared" si="29"/>
        <v>Innovation – Psychiatric Advance Directives (PAD)</v>
      </c>
      <c r="F47" s="332" t="str">
        <f t="shared" si="29"/>
        <v/>
      </c>
      <c r="G47" s="332">
        <f t="shared" si="29"/>
        <v>44371</v>
      </c>
      <c r="H47" s="332">
        <f t="shared" si="29"/>
        <v>44686</v>
      </c>
      <c r="I47" s="275">
        <f t="shared" si="29"/>
        <v>12888948</v>
      </c>
      <c r="J47" s="275" t="str">
        <f t="shared" si="29"/>
        <v>N/A</v>
      </c>
      <c r="K47" s="275" t="str">
        <f>IF(NOT(ISBLANK(E45)),$K$31,"")</f>
        <v>Project Direct</v>
      </c>
      <c r="L47" s="32">
        <v>0</v>
      </c>
      <c r="M47" s="32">
        <v>0</v>
      </c>
      <c r="N47" s="32">
        <v>0</v>
      </c>
      <c r="O47" s="32">
        <v>0</v>
      </c>
      <c r="P47" s="32">
        <v>0</v>
      </c>
      <c r="Q47" s="246">
        <f t="shared" si="4"/>
        <v>0</v>
      </c>
    </row>
    <row r="48" spans="2:17" ht="31.5" x14ac:dyDescent="0.25">
      <c r="B48" s="333">
        <v>14</v>
      </c>
      <c r="C48" s="333" t="s">
        <v>202</v>
      </c>
      <c r="D48" s="334">
        <f t="shared" ref="D48:J48" si="30">IF(ISBLANK(D45),"",D45)</f>
        <v>30</v>
      </c>
      <c r="E48" s="335" t="str">
        <f t="shared" si="30"/>
        <v>Innovation – Psychiatric Advance Directives (PAD)</v>
      </c>
      <c r="F48" s="336" t="str">
        <f t="shared" si="30"/>
        <v/>
      </c>
      <c r="G48" s="336">
        <f t="shared" si="30"/>
        <v>44371</v>
      </c>
      <c r="H48" s="336">
        <f t="shared" si="30"/>
        <v>44686</v>
      </c>
      <c r="I48" s="337">
        <f t="shared" si="30"/>
        <v>12888948</v>
      </c>
      <c r="J48" s="337" t="str">
        <f t="shared" si="30"/>
        <v>N/A</v>
      </c>
      <c r="K48" s="279" t="str">
        <f>IF(NOT(ISBLANK(E45)),$K$32,"")</f>
        <v>Project Subtotal</v>
      </c>
      <c r="L48" s="338">
        <f t="shared" ref="L48" si="31">SUM(L45:L47)</f>
        <v>3879.93</v>
      </c>
      <c r="M48" s="338">
        <f>SUM(M45:M47)</f>
        <v>0</v>
      </c>
      <c r="N48" s="339">
        <f t="shared" ref="N48" si="32">SUM(N45:N47)</f>
        <v>0</v>
      </c>
      <c r="O48" s="339">
        <f t="shared" ref="O48" si="33">SUM(O45:O47)</f>
        <v>0</v>
      </c>
      <c r="P48" s="340">
        <f t="shared" ref="P48" si="34">SUM(P45:P47)</f>
        <v>0</v>
      </c>
      <c r="Q48" s="279">
        <f t="shared" si="4"/>
        <v>3879.93</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9" fitToHeight="10" orientation="landscape" r:id="rId4"/>
  <headerFooter>
    <oddFooter>&amp;C&amp;"Arial,Regular"&amp;16Page &amp;P of &amp;N</oddFooter>
  </headerFooter>
  <rowBreaks count="3" manualBreakCount="3">
    <brk id="24" max="16383" man="1"/>
    <brk id="52" max="16383" man="1"/>
    <brk id="9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10" workbookViewId="0">
      <selection activeCell="A19" sqref="A19"/>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view="pageBreakPreview" zoomScale="60" zoomScaleNormal="100" workbookViewId="0">
      <selection activeCell="E24" sqref="E24"/>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Orange</v>
      </c>
      <c r="F9" s="226" t="s">
        <v>1</v>
      </c>
      <c r="G9" s="346">
        <f>IF(ISBLANK('1. Information'!D9),"",'1. Information'!D9)</f>
        <v>44956</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32">
        <v>0</v>
      </c>
      <c r="G15" s="32">
        <v>0</v>
      </c>
      <c r="H15" s="32">
        <v>0</v>
      </c>
      <c r="I15" s="32">
        <v>0</v>
      </c>
      <c r="J15" s="32">
        <v>0</v>
      </c>
      <c r="K15" s="241">
        <f>SUM(F15:J15)</f>
        <v>0</v>
      </c>
      <c r="L15" s="175"/>
      <c r="M15" s="175"/>
      <c r="N15" s="27"/>
      <c r="O15" s="27"/>
    </row>
    <row r="16" spans="1:22" ht="15.75" x14ac:dyDescent="0.25">
      <c r="A16" s="27"/>
      <c r="B16" s="300">
        <v>2</v>
      </c>
      <c r="C16" s="163" t="s">
        <v>14</v>
      </c>
      <c r="D16" s="242"/>
      <c r="E16" s="350"/>
      <c r="F16" s="32">
        <v>0</v>
      </c>
      <c r="G16" s="32">
        <v>0</v>
      </c>
      <c r="H16" s="32">
        <v>0</v>
      </c>
      <c r="I16" s="32">
        <v>0</v>
      </c>
      <c r="J16" s="32">
        <v>0</v>
      </c>
      <c r="K16" s="241">
        <f t="shared" ref="K16:K21" si="0">SUM(F16:J16)</f>
        <v>0</v>
      </c>
      <c r="L16" s="175"/>
      <c r="M16" s="175"/>
      <c r="N16" s="27"/>
      <c r="O16" s="27"/>
    </row>
    <row r="17" spans="1:22" ht="15.75" x14ac:dyDescent="0.25">
      <c r="A17" s="27"/>
      <c r="B17" s="300">
        <v>3</v>
      </c>
      <c r="C17" s="163" t="s">
        <v>198</v>
      </c>
      <c r="D17" s="242"/>
      <c r="E17" s="350"/>
      <c r="F17" s="136">
        <v>533129.84</v>
      </c>
      <c r="G17" s="32">
        <v>0</v>
      </c>
      <c r="H17" s="32">
        <v>0</v>
      </c>
      <c r="I17" s="32">
        <v>0</v>
      </c>
      <c r="J17" s="32">
        <v>0</v>
      </c>
      <c r="K17" s="241">
        <f t="shared" si="0"/>
        <v>533129.84</v>
      </c>
      <c r="L17" s="175"/>
      <c r="M17" s="175"/>
      <c r="N17" s="27"/>
      <c r="O17" s="27"/>
    </row>
    <row r="18" spans="1:22" ht="15.75" x14ac:dyDescent="0.25">
      <c r="A18" s="27"/>
      <c r="B18" s="300">
        <v>4</v>
      </c>
      <c r="C18" s="163" t="s">
        <v>189</v>
      </c>
      <c r="D18" s="242"/>
      <c r="E18" s="350"/>
      <c r="F18" s="136">
        <v>0</v>
      </c>
      <c r="G18" s="275"/>
      <c r="H18" s="275"/>
      <c r="I18" s="275"/>
      <c r="J18" s="275"/>
      <c r="K18" s="241">
        <f>F18</f>
        <v>0</v>
      </c>
      <c r="L18" s="175"/>
      <c r="M18" s="175"/>
      <c r="N18" s="27"/>
      <c r="O18" s="27"/>
    </row>
    <row r="19" spans="1:22" ht="15.75" x14ac:dyDescent="0.25">
      <c r="A19" s="27"/>
      <c r="B19" s="300">
        <v>5</v>
      </c>
      <c r="C19" s="163" t="s">
        <v>296</v>
      </c>
      <c r="D19" s="242"/>
      <c r="E19" s="350"/>
      <c r="F19" s="136"/>
      <c r="G19" s="275"/>
      <c r="H19" s="275"/>
      <c r="I19" s="275"/>
      <c r="J19" s="275"/>
      <c r="K19" s="241">
        <f>F19</f>
        <v>0</v>
      </c>
      <c r="L19" s="175"/>
      <c r="M19" s="175"/>
      <c r="N19" s="27"/>
      <c r="O19" s="27"/>
    </row>
    <row r="20" spans="1:22" ht="15.75" x14ac:dyDescent="0.25">
      <c r="A20" s="27"/>
      <c r="B20" s="300">
        <v>6</v>
      </c>
      <c r="C20" s="242" t="s">
        <v>153</v>
      </c>
      <c r="D20" s="245"/>
      <c r="E20" s="243"/>
      <c r="F20" s="330">
        <f>SUM(E28:E32)</f>
        <v>4085305.84</v>
      </c>
      <c r="G20" s="351">
        <f t="shared" ref="G20:I20" si="1">SUM(F28:F32)</f>
        <v>0</v>
      </c>
      <c r="H20" s="330">
        <f t="shared" si="1"/>
        <v>0</v>
      </c>
      <c r="I20" s="330">
        <f t="shared" si="1"/>
        <v>0</v>
      </c>
      <c r="J20" s="330">
        <f>SUM(I28:I32)</f>
        <v>2961</v>
      </c>
      <c r="K20" s="246">
        <f t="shared" si="0"/>
        <v>4088266.84</v>
      </c>
      <c r="L20" s="175"/>
      <c r="M20" s="175"/>
      <c r="N20" s="27"/>
      <c r="O20" s="27"/>
    </row>
    <row r="21" spans="1:22" ht="30.95" customHeight="1" x14ac:dyDescent="0.25">
      <c r="A21" s="27"/>
      <c r="B21" s="300">
        <v>7</v>
      </c>
      <c r="C21" s="277" t="s">
        <v>188</v>
      </c>
      <c r="D21" s="277"/>
      <c r="E21" s="277"/>
      <c r="F21" s="279">
        <f>SUM(F15:F17,F19:F20)</f>
        <v>4618435.68</v>
      </c>
      <c r="G21" s="251">
        <f>SUM(G15:G17,G20)</f>
        <v>0</v>
      </c>
      <c r="H21" s="250">
        <f>SUM(H15:H17,H20)</f>
        <v>0</v>
      </c>
      <c r="I21" s="250">
        <f>SUM(I15:I17,I20)</f>
        <v>0</v>
      </c>
      <c r="J21" s="250">
        <f>SUM(J15:J17,J20)</f>
        <v>2961</v>
      </c>
      <c r="K21" s="279">
        <f t="shared" si="0"/>
        <v>4621396.68</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f t="shared" ref="C28:C32" si="2">IF(J28&lt;&gt;0,VLOOKUP($D$9,Info_County_Code,2,FALSE),"")</f>
        <v>30</v>
      </c>
      <c r="D28" s="355" t="s">
        <v>98</v>
      </c>
      <c r="E28" s="31">
        <v>1576763.72</v>
      </c>
      <c r="F28" s="32">
        <v>0</v>
      </c>
      <c r="G28" s="32">
        <v>0</v>
      </c>
      <c r="H28" s="32">
        <v>0</v>
      </c>
      <c r="I28" s="32">
        <v>0</v>
      </c>
      <c r="J28" s="275">
        <f>SUM(E28:I28)</f>
        <v>1576763.72</v>
      </c>
      <c r="K28" s="175"/>
      <c r="L28" s="175"/>
      <c r="M28" s="175"/>
      <c r="N28" s="175"/>
      <c r="O28" s="175"/>
      <c r="P28" s="175"/>
      <c r="Q28" s="175"/>
      <c r="R28" s="175"/>
    </row>
    <row r="29" spans="1:22" ht="15.75" x14ac:dyDescent="0.25">
      <c r="A29" s="27"/>
      <c r="B29" s="300">
        <v>9</v>
      </c>
      <c r="C29" s="301">
        <f t="shared" si="2"/>
        <v>30</v>
      </c>
      <c r="D29" s="355" t="s">
        <v>99</v>
      </c>
      <c r="E29" s="31">
        <v>1261690.33</v>
      </c>
      <c r="F29" s="32">
        <v>0</v>
      </c>
      <c r="G29" s="32">
        <v>0</v>
      </c>
      <c r="H29" s="32">
        <v>0</v>
      </c>
      <c r="I29" s="32">
        <v>0</v>
      </c>
      <c r="J29" s="275">
        <f t="shared" ref="J29:J32" si="3">SUM(E29:I29)</f>
        <v>1261690.33</v>
      </c>
      <c r="K29" s="175"/>
      <c r="L29" s="175"/>
      <c r="M29" s="175"/>
      <c r="N29" s="175"/>
      <c r="O29" s="175"/>
      <c r="P29" s="175"/>
      <c r="Q29" s="175"/>
      <c r="R29" s="175"/>
    </row>
    <row r="30" spans="1:22" ht="15.75" x14ac:dyDescent="0.25">
      <c r="A30" s="27"/>
      <c r="B30" s="300">
        <v>10</v>
      </c>
      <c r="C30" s="301">
        <f t="shared" si="2"/>
        <v>30</v>
      </c>
      <c r="D30" s="219" t="s">
        <v>295</v>
      </c>
      <c r="E30" s="31">
        <v>961865.08000000007</v>
      </c>
      <c r="F30" s="32">
        <v>0</v>
      </c>
      <c r="G30" s="32">
        <v>0</v>
      </c>
      <c r="H30" s="32">
        <v>0</v>
      </c>
      <c r="I30" s="128">
        <v>2961</v>
      </c>
      <c r="J30" s="275">
        <f t="shared" si="3"/>
        <v>964826.08000000007</v>
      </c>
      <c r="K30" s="175"/>
      <c r="L30" s="175"/>
      <c r="M30" s="175"/>
      <c r="N30" s="175"/>
      <c r="O30" s="175"/>
      <c r="P30" s="175"/>
      <c r="Q30" s="175"/>
      <c r="R30" s="175"/>
    </row>
    <row r="31" spans="1:22" ht="15.75" x14ac:dyDescent="0.25">
      <c r="A31" s="27"/>
      <c r="B31" s="354">
        <v>11</v>
      </c>
      <c r="C31" s="301">
        <f t="shared" si="2"/>
        <v>30</v>
      </c>
      <c r="D31" s="355" t="s">
        <v>101</v>
      </c>
      <c r="E31" s="31">
        <v>359.63</v>
      </c>
      <c r="F31" s="32">
        <v>0</v>
      </c>
      <c r="G31" s="32">
        <v>0</v>
      </c>
      <c r="H31" s="32">
        <v>0</v>
      </c>
      <c r="I31" s="32">
        <v>0</v>
      </c>
      <c r="J31" s="275">
        <f t="shared" si="3"/>
        <v>359.63</v>
      </c>
      <c r="K31" s="175"/>
      <c r="L31" s="175"/>
      <c r="M31" s="175"/>
      <c r="N31" s="175"/>
      <c r="O31" s="175"/>
      <c r="P31" s="175"/>
      <c r="Q31" s="175"/>
      <c r="R31" s="175"/>
    </row>
    <row r="32" spans="1:22" ht="15.75" x14ac:dyDescent="0.25">
      <c r="A32" s="27"/>
      <c r="B32" s="300">
        <v>12</v>
      </c>
      <c r="C32" s="301">
        <f t="shared" si="2"/>
        <v>30</v>
      </c>
      <c r="D32" s="355" t="s">
        <v>102</v>
      </c>
      <c r="E32" s="31">
        <v>284627.08</v>
      </c>
      <c r="F32" s="32">
        <v>0</v>
      </c>
      <c r="G32" s="32">
        <v>0</v>
      </c>
      <c r="H32" s="32">
        <v>0</v>
      </c>
      <c r="I32" s="32">
        <v>0</v>
      </c>
      <c r="J32" s="275">
        <f t="shared" si="3"/>
        <v>284627.08</v>
      </c>
      <c r="K32" s="175"/>
      <c r="L32" s="175"/>
      <c r="M32" s="175"/>
      <c r="N32" s="175"/>
      <c r="O32" s="175"/>
      <c r="P32" s="175"/>
      <c r="Q32" s="175"/>
      <c r="R32" s="175"/>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68"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69" workbookViewId="0">
      <selection activeCell="A48" sqref="A48"/>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view="pageBreakPreview" zoomScale="60" zoomScaleNormal="100" workbookViewId="0">
      <selection activeCell="L22" sqref="L22"/>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Orange</v>
      </c>
      <c r="E9" s="8"/>
      <c r="F9" s="162" t="s">
        <v>1</v>
      </c>
      <c r="G9" s="264">
        <f>IF(ISBLANK('1. Information'!D9),"",'1. Information'!D9)</f>
        <v>44956</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v>0</v>
      </c>
      <c r="H15" s="136">
        <v>0</v>
      </c>
      <c r="I15" s="136">
        <v>0</v>
      </c>
      <c r="J15" s="136">
        <v>0</v>
      </c>
      <c r="K15" s="326">
        <f>SUM(F15:J15)</f>
        <v>0</v>
      </c>
      <c r="L15" s="175"/>
      <c r="M15" s="175"/>
      <c r="U15" s="27"/>
      <c r="V15" s="27"/>
      <c r="W15" s="27"/>
    </row>
    <row r="16" spans="1:23" x14ac:dyDescent="0.25">
      <c r="B16" s="300">
        <v>2</v>
      </c>
      <c r="C16" s="162" t="s">
        <v>309</v>
      </c>
      <c r="D16" s="225"/>
      <c r="E16" s="358"/>
      <c r="F16" s="136">
        <v>0</v>
      </c>
      <c r="G16" s="136">
        <v>0</v>
      </c>
      <c r="H16" s="136">
        <v>0</v>
      </c>
      <c r="I16" s="136">
        <v>0</v>
      </c>
      <c r="J16" s="136">
        <v>0</v>
      </c>
      <c r="K16" s="326">
        <f t="shared" ref="K16:K20" si="0">SUM(F16:J16)</f>
        <v>0</v>
      </c>
      <c r="L16" s="175"/>
      <c r="M16" s="175"/>
      <c r="U16" s="27"/>
      <c r="V16" s="27"/>
      <c r="W16" s="27"/>
    </row>
    <row r="17" spans="1:23" x14ac:dyDescent="0.25">
      <c r="B17" s="300">
        <v>3</v>
      </c>
      <c r="C17" s="162" t="s">
        <v>311</v>
      </c>
      <c r="D17" s="225"/>
      <c r="E17" s="358"/>
      <c r="F17" s="136">
        <v>187545.39</v>
      </c>
      <c r="G17" s="136">
        <v>0</v>
      </c>
      <c r="H17" s="136">
        <v>0</v>
      </c>
      <c r="I17" s="136">
        <v>0</v>
      </c>
      <c r="J17" s="136">
        <v>0</v>
      </c>
      <c r="K17" s="326">
        <f t="shared" si="0"/>
        <v>187545.39</v>
      </c>
      <c r="L17" s="175"/>
      <c r="M17" s="175"/>
      <c r="U17" s="27"/>
      <c r="V17" s="27"/>
      <c r="W17" s="27"/>
    </row>
    <row r="18" spans="1:23" s="25" customFormat="1" x14ac:dyDescent="0.25">
      <c r="A18" s="27"/>
      <c r="B18" s="300">
        <v>4</v>
      </c>
      <c r="C18" s="163" t="s">
        <v>642</v>
      </c>
      <c r="D18" s="242"/>
      <c r="E18" s="350"/>
      <c r="F18" s="136">
        <v>0</v>
      </c>
      <c r="G18" s="275"/>
      <c r="H18" s="275"/>
      <c r="I18" s="275"/>
      <c r="J18" s="275"/>
      <c r="K18" s="241">
        <f>F18</f>
        <v>0</v>
      </c>
      <c r="L18" s="175"/>
      <c r="M18" s="175"/>
      <c r="N18" s="27"/>
      <c r="O18" s="27"/>
    </row>
    <row r="19" spans="1:23" s="25" customFormat="1" x14ac:dyDescent="0.25">
      <c r="A19" s="27"/>
      <c r="B19" s="300">
        <v>5</v>
      </c>
      <c r="C19" s="163" t="s">
        <v>643</v>
      </c>
      <c r="D19" s="242"/>
      <c r="E19" s="350"/>
      <c r="F19" s="136">
        <v>0</v>
      </c>
      <c r="G19" s="275"/>
      <c r="H19" s="275"/>
      <c r="I19" s="275"/>
      <c r="J19" s="275"/>
      <c r="K19" s="241">
        <f>F19</f>
        <v>0</v>
      </c>
      <c r="L19" s="175"/>
      <c r="M19" s="175"/>
      <c r="N19" s="27"/>
      <c r="O19" s="27"/>
    </row>
    <row r="20" spans="1:23" x14ac:dyDescent="0.25">
      <c r="B20" s="300">
        <v>6</v>
      </c>
      <c r="C20" s="162" t="s">
        <v>310</v>
      </c>
      <c r="D20" s="225"/>
      <c r="E20" s="240"/>
      <c r="F20" s="351">
        <f>SUM(G27:G46)</f>
        <v>5343403.1400000006</v>
      </c>
      <c r="G20" s="351">
        <f>SUM(H27:H46)</f>
        <v>0</v>
      </c>
      <c r="H20" s="330">
        <f t="shared" ref="H20" si="1">SUM(I27:I46)</f>
        <v>0</v>
      </c>
      <c r="I20" s="330">
        <f>SUM(J27:J46)</f>
        <v>0</v>
      </c>
      <c r="J20" s="275">
        <f>SUM(K27:K46)</f>
        <v>0</v>
      </c>
      <c r="K20" s="326">
        <f t="shared" si="0"/>
        <v>5343403.1400000006</v>
      </c>
      <c r="L20" s="175"/>
      <c r="M20" s="175"/>
      <c r="U20" s="27"/>
      <c r="V20" s="27"/>
      <c r="W20" s="27"/>
    </row>
    <row r="21" spans="1:23" ht="30.95" customHeight="1" x14ac:dyDescent="0.25">
      <c r="B21" s="300">
        <v>7</v>
      </c>
      <c r="C21" s="359" t="s">
        <v>768</v>
      </c>
      <c r="D21" s="360"/>
      <c r="E21" s="361"/>
      <c r="F21" s="279">
        <f>SUM(F15:F17,F19:F20)</f>
        <v>5530948.5300000003</v>
      </c>
      <c r="G21" s="251">
        <f>SUM(G15:G17,G20)</f>
        <v>0</v>
      </c>
      <c r="H21" s="251">
        <f t="shared" ref="H21:J21" si="2">SUM(H15:H17,H20)</f>
        <v>0</v>
      </c>
      <c r="I21" s="251">
        <f t="shared" si="2"/>
        <v>0</v>
      </c>
      <c r="J21" s="251">
        <f t="shared" si="2"/>
        <v>0</v>
      </c>
      <c r="K21" s="250">
        <f>SUM(F21:J21)</f>
        <v>5530948.5300000003</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30</v>
      </c>
      <c r="D27" s="144" t="s">
        <v>829</v>
      </c>
      <c r="E27" s="144"/>
      <c r="F27" s="127"/>
      <c r="G27" s="126">
        <v>21504</v>
      </c>
      <c r="H27" s="126">
        <v>0</v>
      </c>
      <c r="I27" s="126">
        <v>0</v>
      </c>
      <c r="J27" s="126">
        <v>0</v>
      </c>
      <c r="K27" s="126">
        <v>0</v>
      </c>
      <c r="L27" s="364">
        <f>SUM(G27:K27)</f>
        <v>21504</v>
      </c>
      <c r="M27" s="175"/>
      <c r="U27" s="27"/>
      <c r="V27" s="27"/>
      <c r="W27" s="27"/>
    </row>
    <row r="28" spans="1:23" x14ac:dyDescent="0.25">
      <c r="B28" s="300">
        <v>9</v>
      </c>
      <c r="C28" s="301">
        <f t="shared" si="3"/>
        <v>30</v>
      </c>
      <c r="D28" s="144" t="s">
        <v>830</v>
      </c>
      <c r="E28" s="144"/>
      <c r="F28" s="127"/>
      <c r="G28" s="126">
        <v>5321899.1400000006</v>
      </c>
      <c r="H28" s="126">
        <v>0</v>
      </c>
      <c r="I28" s="126">
        <v>0</v>
      </c>
      <c r="J28" s="126">
        <v>0</v>
      </c>
      <c r="K28" s="126">
        <v>0</v>
      </c>
      <c r="L28" s="364">
        <f t="shared" ref="L28:L46" si="4">SUM(G28:K28)</f>
        <v>5321899.1400000006</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52"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topLeftCell="A34" workbookViewId="0">
      <selection activeCell="A49" sqref="A49"/>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workbookViewId="0">
      <selection activeCell="F17" sqref="F17"/>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Orange</v>
      </c>
      <c r="E9" s="2"/>
      <c r="F9" s="365" t="s">
        <v>156</v>
      </c>
      <c r="G9" s="264">
        <f>IF(ISBLANK('1. Information'!D9),"",'1. Information'!D9)</f>
        <v>44956</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ht="60" x14ac:dyDescent="0.2">
      <c r="B15" s="300">
        <v>1</v>
      </c>
      <c r="C15" s="301">
        <f t="shared" ref="C15:C44" si="0">IF(G15&lt;&gt;0,VLOOKUP($D$9,Info_County_Code,2,FALSE),"")</f>
        <v>30</v>
      </c>
      <c r="D15" s="139" t="s">
        <v>30</v>
      </c>
      <c r="E15" s="40" t="s">
        <v>837</v>
      </c>
      <c r="F15" s="150" t="s">
        <v>838</v>
      </c>
      <c r="G15" s="132">
        <v>-2416.79</v>
      </c>
      <c r="H15" s="134" t="s">
        <v>839</v>
      </c>
    </row>
    <row r="16" spans="1:11" ht="60" x14ac:dyDescent="0.2">
      <c r="B16" s="300">
        <v>2</v>
      </c>
      <c r="C16" s="301">
        <f t="shared" si="0"/>
        <v>30</v>
      </c>
      <c r="D16" s="139" t="s">
        <v>30</v>
      </c>
      <c r="E16" s="139" t="s">
        <v>837</v>
      </c>
      <c r="F16" s="150" t="s">
        <v>848</v>
      </c>
      <c r="G16" s="132">
        <v>-13977.8</v>
      </c>
      <c r="H16" s="134" t="s">
        <v>840</v>
      </c>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13" sqref="A13"/>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workbookViewId="0">
      <selection activeCell="A16" sqref="A16"/>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Orange</v>
      </c>
      <c r="F9" s="226" t="s">
        <v>1</v>
      </c>
      <c r="G9" s="346">
        <f>IF(ISBLANK('1. Information'!D9),"",'1. Information'!D9)</f>
        <v>44956</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workbookViewId="0">
      <selection activeCell="D8" sqref="D8"/>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44956</v>
      </c>
    </row>
    <row r="10" spans="1:5" ht="34.5" customHeight="1" x14ac:dyDescent="0.2">
      <c r="B10" s="203">
        <v>2</v>
      </c>
      <c r="C10" s="205" t="s">
        <v>303</v>
      </c>
      <c r="D10" s="151" t="s">
        <v>784</v>
      </c>
    </row>
    <row r="11" spans="1:5" ht="34.5" customHeight="1" x14ac:dyDescent="0.2">
      <c r="B11" s="203">
        <v>3</v>
      </c>
      <c r="C11" s="204" t="s">
        <v>0</v>
      </c>
      <c r="D11" s="135" t="s">
        <v>65</v>
      </c>
    </row>
    <row r="12" spans="1:5" ht="34.5" customHeight="1" x14ac:dyDescent="0.2">
      <c r="B12" s="203">
        <v>4</v>
      </c>
      <c r="C12" s="206" t="s">
        <v>113</v>
      </c>
      <c r="D12" s="182">
        <f>IF(ISBLANK(D11),"",VLOOKUP(D11,Info_County_Code,2))</f>
        <v>30</v>
      </c>
    </row>
    <row r="13" spans="1:5" ht="34.5" customHeight="1" x14ac:dyDescent="0.2">
      <c r="B13" s="203">
        <v>5</v>
      </c>
      <c r="C13" s="204" t="s">
        <v>114</v>
      </c>
      <c r="D13" s="414" t="s">
        <v>788</v>
      </c>
    </row>
    <row r="14" spans="1:5" ht="34.5" customHeight="1" x14ac:dyDescent="0.2">
      <c r="B14" s="203">
        <v>6</v>
      </c>
      <c r="C14" s="204" t="s">
        <v>115</v>
      </c>
      <c r="D14" s="135" t="s">
        <v>785</v>
      </c>
    </row>
    <row r="15" spans="1:5" ht="34.5" customHeight="1" x14ac:dyDescent="0.2">
      <c r="B15" s="203">
        <v>7</v>
      </c>
      <c r="C15" s="204" t="s">
        <v>116</v>
      </c>
      <c r="D15" s="172">
        <v>92701</v>
      </c>
    </row>
    <row r="16" spans="1:5" ht="34.5" customHeight="1" x14ac:dyDescent="0.2">
      <c r="B16" s="203">
        <v>8</v>
      </c>
      <c r="C16" s="207" t="s">
        <v>162</v>
      </c>
      <c r="D16" s="183" t="str">
        <f>IF(ISBLANK(D11),"",VLOOKUP(D11,County_Population,5,FALSE))</f>
        <v>Yes</v>
      </c>
    </row>
    <row r="17" spans="2:4" ht="34.5" customHeight="1" x14ac:dyDescent="0.2">
      <c r="B17" s="203">
        <v>9</v>
      </c>
      <c r="C17" s="204" t="s">
        <v>112</v>
      </c>
      <c r="D17" s="135" t="s">
        <v>782</v>
      </c>
    </row>
    <row r="18" spans="2:4" ht="34.5" customHeight="1" x14ac:dyDescent="0.2">
      <c r="B18" s="203">
        <v>10</v>
      </c>
      <c r="C18" s="208" t="s">
        <v>167</v>
      </c>
      <c r="D18" s="412" t="s">
        <v>783</v>
      </c>
    </row>
    <row r="19" spans="2:4" ht="34.5" customHeight="1" x14ac:dyDescent="0.2">
      <c r="B19" s="203">
        <v>11</v>
      </c>
      <c r="C19" s="208" t="s">
        <v>184</v>
      </c>
      <c r="D19" s="412" t="s">
        <v>786</v>
      </c>
    </row>
    <row r="20" spans="2:4" ht="34.5" customHeight="1" x14ac:dyDescent="0.2">
      <c r="B20" s="203">
        <v>12</v>
      </c>
      <c r="C20" s="209" t="s">
        <v>280</v>
      </c>
      <c r="D20" s="413" t="s">
        <v>787</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workbookViewId="0">
      <selection activeCell="E14" sqref="E14"/>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Orange</v>
      </c>
      <c r="F9" s="226" t="s">
        <v>1</v>
      </c>
      <c r="G9" s="346">
        <f>IF(ISBLANK('1. Information'!D9),"",'1. Information'!D9)</f>
        <v>44956</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ht="120" x14ac:dyDescent="0.2">
      <c r="B13" s="375">
        <v>1</v>
      </c>
      <c r="C13" s="169" t="s">
        <v>28</v>
      </c>
      <c r="D13" s="169" t="s">
        <v>789</v>
      </c>
      <c r="E13" s="117" t="s">
        <v>831</v>
      </c>
    </row>
    <row r="14" spans="1:30" x14ac:dyDescent="0.2">
      <c r="B14" s="376">
        <v>2</v>
      </c>
      <c r="C14" s="169"/>
      <c r="D14" s="169"/>
      <c r="E14" s="117"/>
    </row>
    <row r="15" spans="1:30" x14ac:dyDescent="0.2">
      <c r="B15" s="376">
        <v>3</v>
      </c>
      <c r="C15" s="169"/>
      <c r="D15" s="169"/>
      <c r="E15" s="117"/>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workbookViewId="0"/>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Orange</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workbookViewId="0">
      <selection sqref="A1:B1"/>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9" t="s">
        <v>148</v>
      </c>
      <c r="B1" s="420"/>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workbookViewId="0"/>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22" t="s">
        <v>171</v>
      </c>
      <c r="B2" s="422"/>
      <c r="C2" s="422"/>
      <c r="D2" s="422"/>
      <c r="E2" s="422"/>
    </row>
    <row r="3" spans="1:7" ht="14.25" customHeight="1" x14ac:dyDescent="0.25">
      <c r="A3" s="422" t="s">
        <v>235</v>
      </c>
      <c r="B3" s="422"/>
      <c r="C3" s="422"/>
      <c r="D3" s="422"/>
      <c r="E3" s="422"/>
    </row>
    <row r="4" spans="1:7" ht="14.25" customHeight="1" thickBot="1" x14ac:dyDescent="0.3">
      <c r="A4" s="57"/>
      <c r="B4" s="58"/>
      <c r="C4" s="59"/>
      <c r="D4" s="60"/>
    </row>
    <row r="5" spans="1:7" ht="14.25" customHeight="1" x14ac:dyDescent="0.25">
      <c r="A5" s="61" t="s">
        <v>172</v>
      </c>
      <c r="B5" s="421" t="s">
        <v>173</v>
      </c>
      <c r="C5" s="421"/>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10" sqref="A10"/>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J46"/>
  <sheetViews>
    <sheetView workbookViewId="0">
      <selection activeCell="F37" sqref="F37"/>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Orange</v>
      </c>
      <c r="F9" s="210" t="s">
        <v>1</v>
      </c>
      <c r="G9" s="185">
        <f>IF(ISBLANK('1. Information'!D9),"",'1. Information'!D9)</f>
        <v>44956</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817685.38000000012</v>
      </c>
      <c r="E14" s="149">
        <v>256822.20000000004</v>
      </c>
      <c r="F14" s="149">
        <v>163817.76</v>
      </c>
      <c r="G14" s="149">
        <v>0</v>
      </c>
      <c r="H14" s="149">
        <v>2951.67</v>
      </c>
      <c r="I14" s="186">
        <f>SUM(D14:H14)</f>
        <v>1241277.01</v>
      </c>
    </row>
    <row r="15" spans="1:9" x14ac:dyDescent="0.2">
      <c r="B15" s="218">
        <v>2</v>
      </c>
      <c r="C15" s="219" t="s">
        <v>278</v>
      </c>
      <c r="D15" s="164">
        <v>0</v>
      </c>
      <c r="E15" s="164">
        <v>0</v>
      </c>
      <c r="F15" s="164">
        <v>0</v>
      </c>
      <c r="G15" s="164">
        <v>0</v>
      </c>
      <c r="H15" s="164">
        <v>0</v>
      </c>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33258769</v>
      </c>
      <c r="G19" s="122"/>
      <c r="H19" s="122"/>
      <c r="I19" s="122"/>
    </row>
    <row r="20" spans="2:10" x14ac:dyDescent="0.2">
      <c r="B20" s="216">
        <v>4</v>
      </c>
      <c r="C20" s="220" t="s">
        <v>22</v>
      </c>
      <c r="D20" s="149">
        <v>0</v>
      </c>
      <c r="E20" s="149">
        <v>0</v>
      </c>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33258769</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-33702963.379999995</v>
      </c>
      <c r="E27" s="188">
        <f>'3. CSS'!F21</f>
        <v>0</v>
      </c>
      <c r="F27" s="186">
        <f>'3. CSS'!F22</f>
        <v>4618435.68</v>
      </c>
      <c r="G27" s="194">
        <f>'3. CSS'!F23</f>
        <v>29084527.699999999</v>
      </c>
      <c r="H27" s="194">
        <f>'3. CSS'!F24</f>
        <v>0</v>
      </c>
      <c r="I27" s="186">
        <f>SUM(D27:H27)</f>
        <v>3.7252902984619141E-9</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122255089.76999998</v>
      </c>
      <c r="E31" s="194">
        <f>'4. PEI'!F22</f>
        <v>46755357.159999996</v>
      </c>
      <c r="F31" s="194">
        <f>'5. INN'!F23</f>
        <v>11168635.940000001</v>
      </c>
      <c r="G31" s="194">
        <f>'6. WET'!F21</f>
        <v>4618435.68</v>
      </c>
      <c r="H31" s="194">
        <f>'7. CFTN'!F21</f>
        <v>5530948.5300000003</v>
      </c>
      <c r="I31" s="194">
        <f t="shared" ref="I31:I35" si="0">SUM(D31:H31)</f>
        <v>190328467.07999998</v>
      </c>
    </row>
    <row r="32" spans="2:10" x14ac:dyDescent="0.2">
      <c r="B32" s="211">
        <v>10</v>
      </c>
      <c r="C32" s="223" t="s">
        <v>4</v>
      </c>
      <c r="D32" s="189">
        <f>'3. CSS'!G27</f>
        <v>41833420.299999997</v>
      </c>
      <c r="E32" s="189">
        <f>'4. PEI'!G22</f>
        <v>188287.39</v>
      </c>
      <c r="F32" s="189">
        <f>'5. INN'!G23</f>
        <v>0</v>
      </c>
      <c r="G32" s="189">
        <f>'6. WET'!G21</f>
        <v>0</v>
      </c>
      <c r="H32" s="189">
        <f>'7. CFTN'!G21</f>
        <v>0</v>
      </c>
      <c r="I32" s="194">
        <f t="shared" si="0"/>
        <v>42021707.689999998</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126840.32999999999</v>
      </c>
      <c r="E34" s="189">
        <f>'4. PEI'!I22</f>
        <v>836.76</v>
      </c>
      <c r="F34" s="189">
        <f>'5. INN'!I23</f>
        <v>0</v>
      </c>
      <c r="G34" s="189">
        <f>'6. WET'!I21</f>
        <v>0</v>
      </c>
      <c r="H34" s="189">
        <f>'7. CFTN'!I21</f>
        <v>0</v>
      </c>
      <c r="I34" s="194">
        <f t="shared" si="0"/>
        <v>127677.08999999998</v>
      </c>
    </row>
    <row r="35" spans="2:9" x14ac:dyDescent="0.2">
      <c r="B35" s="211">
        <v>13</v>
      </c>
      <c r="C35" s="223" t="s">
        <v>12</v>
      </c>
      <c r="D35" s="189">
        <f>'3. CSS'!J27</f>
        <v>4956304.5599999996</v>
      </c>
      <c r="E35" s="189">
        <f>'4. PEI'!J22</f>
        <v>186156.9</v>
      </c>
      <c r="F35" s="189">
        <f>'5. INN'!J23</f>
        <v>0</v>
      </c>
      <c r="G35" s="189">
        <f>'6. WET'!J21</f>
        <v>2961</v>
      </c>
      <c r="H35" s="189">
        <f>'7. CFTN'!J21</f>
        <v>0</v>
      </c>
      <c r="I35" s="194">
        <f t="shared" si="0"/>
        <v>5145422.46</v>
      </c>
    </row>
    <row r="36" spans="2:9" ht="15.75" x14ac:dyDescent="0.25">
      <c r="B36" s="211">
        <v>14</v>
      </c>
      <c r="C36" s="224" t="s">
        <v>21</v>
      </c>
      <c r="D36" s="195">
        <f>SUM(D31:D35)</f>
        <v>169171654.96000001</v>
      </c>
      <c r="E36" s="195">
        <f t="shared" ref="E36:H36" si="1">SUM(E31:E35)</f>
        <v>47130638.209999993</v>
      </c>
      <c r="F36" s="195">
        <f t="shared" si="1"/>
        <v>11168635.940000001</v>
      </c>
      <c r="G36" s="195">
        <f t="shared" si="1"/>
        <v>4621396.68</v>
      </c>
      <c r="H36" s="195">
        <f t="shared" si="1"/>
        <v>5530948.5300000003</v>
      </c>
      <c r="I36" s="196">
        <f>SUM(D36:H36)</f>
        <v>237623274.32000002</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3294193.77</v>
      </c>
      <c r="E40" s="154"/>
      <c r="F40" s="120"/>
      <c r="H40" s="120"/>
      <c r="I40" s="122"/>
    </row>
    <row r="41" spans="2:9" ht="15.75" x14ac:dyDescent="0.25">
      <c r="B41" s="211">
        <v>16</v>
      </c>
      <c r="C41" s="162" t="s">
        <v>19</v>
      </c>
      <c r="D41" s="197">
        <f>'3. CSS'!F16+'4. PEI'!F16+'5. INN'!F20+'6. WET'!F16+'7. CFTN'!F16</f>
        <v>960890.65999999992</v>
      </c>
      <c r="E41" s="121"/>
      <c r="F41" s="120"/>
      <c r="G41" s="120"/>
      <c r="H41" s="120"/>
      <c r="I41" s="122"/>
    </row>
    <row r="42" spans="2:9" ht="15.75" x14ac:dyDescent="0.25">
      <c r="B42" s="211">
        <v>17</v>
      </c>
      <c r="C42" s="162" t="s">
        <v>20</v>
      </c>
      <c r="D42" s="198">
        <f>'3. CSS'!F17+'4. PEI'!F17+'5. INN'!F16+'5. INN'!F19+'6. WET'!F17+'7. CFTN'!F17</f>
        <v>22975983.300000001</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0</v>
      </c>
    </row>
    <row r="45" spans="2:9" ht="15.75" x14ac:dyDescent="0.25">
      <c r="B45" s="211">
        <v>20</v>
      </c>
      <c r="C45" s="225" t="s">
        <v>245</v>
      </c>
      <c r="D45" s="149">
        <v>1069461.1100000001</v>
      </c>
    </row>
    <row r="46" spans="2:9" ht="15.75" x14ac:dyDescent="0.25">
      <c r="B46" s="211">
        <v>21</v>
      </c>
      <c r="C46" s="162" t="s">
        <v>249</v>
      </c>
      <c r="D46" s="149">
        <v>5029568.25</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81"/>
  <sheetViews>
    <sheetView topLeftCell="A49" workbookViewId="0">
      <selection activeCell="A80" sqref="A80"/>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scale="95" fitToHeight="4" orientation="landscape"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view="pageBreakPreview" topLeftCell="A61" zoomScale="85" zoomScaleNormal="85" zoomScaleSheetLayoutView="85" workbookViewId="0">
      <selection activeCell="D83" sqref="D83"/>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Orange</v>
      </c>
      <c r="E9" s="123"/>
      <c r="F9" s="226" t="s">
        <v>1</v>
      </c>
      <c r="G9" s="227">
        <f>IF(ISBLANK('1. Information'!D9),"",'1. Information'!D9)</f>
        <v>44956</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1825683.04</v>
      </c>
      <c r="G15" s="136">
        <v>0</v>
      </c>
      <c r="H15" s="136">
        <v>0</v>
      </c>
      <c r="I15" s="136">
        <v>0</v>
      </c>
      <c r="J15" s="136">
        <v>0</v>
      </c>
      <c r="K15" s="241">
        <f>SUM(F15:J15)</f>
        <v>1825683.04</v>
      </c>
      <c r="L15" s="175"/>
    </row>
    <row r="16" spans="1:12" ht="15" customHeight="1" x14ac:dyDescent="0.25">
      <c r="A16" s="123"/>
      <c r="B16" s="234">
        <v>2</v>
      </c>
      <c r="C16" s="163" t="s">
        <v>7</v>
      </c>
      <c r="D16" s="242"/>
      <c r="E16" s="243"/>
      <c r="F16" s="136">
        <v>629635.83999999997</v>
      </c>
      <c r="G16" s="136">
        <v>0</v>
      </c>
      <c r="H16" s="136">
        <v>0</v>
      </c>
      <c r="I16" s="136">
        <v>0</v>
      </c>
      <c r="J16" s="136">
        <v>0</v>
      </c>
      <c r="K16" s="241">
        <f t="shared" ref="K16:K17" si="0">SUM(F16:J16)</f>
        <v>629635.83999999997</v>
      </c>
      <c r="L16" s="175"/>
    </row>
    <row r="17" spans="1:12" ht="15.75" customHeight="1" x14ac:dyDescent="0.25">
      <c r="A17" s="123"/>
      <c r="B17" s="234">
        <v>3</v>
      </c>
      <c r="C17" s="163" t="s">
        <v>117</v>
      </c>
      <c r="D17" s="242"/>
      <c r="E17" s="243"/>
      <c r="F17" s="136">
        <v>15606359.000000002</v>
      </c>
      <c r="G17" s="136">
        <v>4765079.4900000012</v>
      </c>
      <c r="H17" s="136">
        <v>0</v>
      </c>
      <c r="I17" s="136">
        <v>0</v>
      </c>
      <c r="J17" s="136">
        <v>58411.14</v>
      </c>
      <c r="K17" s="241">
        <f t="shared" si="0"/>
        <v>20429849.630000003</v>
      </c>
      <c r="L17" s="175"/>
    </row>
    <row r="18" spans="1:12" x14ac:dyDescent="0.25">
      <c r="A18" s="123"/>
      <c r="B18" s="234">
        <v>4</v>
      </c>
      <c r="C18" s="163" t="s">
        <v>187</v>
      </c>
      <c r="D18" s="242"/>
      <c r="E18" s="243"/>
      <c r="F18" s="136">
        <v>0</v>
      </c>
      <c r="G18" s="244"/>
      <c r="H18" s="244"/>
      <c r="I18" s="244"/>
      <c r="J18" s="244"/>
      <c r="K18" s="241">
        <f>F18</f>
        <v>0</v>
      </c>
      <c r="L18" s="175"/>
    </row>
    <row r="19" spans="1:12" x14ac:dyDescent="0.25">
      <c r="A19" s="123"/>
      <c r="B19" s="234">
        <v>5</v>
      </c>
      <c r="C19" s="163" t="s">
        <v>284</v>
      </c>
      <c r="D19" s="242"/>
      <c r="E19" s="243"/>
      <c r="F19" s="136">
        <v>0</v>
      </c>
      <c r="G19" s="244"/>
      <c r="H19" s="244"/>
      <c r="I19" s="244"/>
      <c r="J19" s="244"/>
      <c r="K19" s="241">
        <f t="shared" ref="K19:K24" si="1">F19</f>
        <v>0</v>
      </c>
      <c r="L19" s="175"/>
    </row>
    <row r="20" spans="1:12" ht="15.75" customHeight="1" x14ac:dyDescent="0.25">
      <c r="A20" s="123"/>
      <c r="B20" s="234">
        <v>6</v>
      </c>
      <c r="C20" s="163" t="s">
        <v>186</v>
      </c>
      <c r="D20" s="242"/>
      <c r="E20" s="243"/>
      <c r="F20" s="136">
        <v>0</v>
      </c>
      <c r="G20" s="244"/>
      <c r="H20" s="244"/>
      <c r="I20" s="244"/>
      <c r="J20" s="244"/>
      <c r="K20" s="241">
        <f t="shared" si="1"/>
        <v>0</v>
      </c>
      <c r="L20" s="175"/>
    </row>
    <row r="21" spans="1:12" x14ac:dyDescent="0.25">
      <c r="A21" s="124"/>
      <c r="B21" s="218">
        <v>7</v>
      </c>
      <c r="C21" s="242" t="s">
        <v>247</v>
      </c>
      <c r="D21" s="245"/>
      <c r="E21" s="243"/>
      <c r="F21" s="136">
        <v>0</v>
      </c>
      <c r="G21" s="246"/>
      <c r="H21" s="246"/>
      <c r="I21" s="246"/>
      <c r="J21" s="246"/>
      <c r="K21" s="241">
        <f t="shared" si="1"/>
        <v>0</v>
      </c>
      <c r="L21" s="175"/>
    </row>
    <row r="22" spans="1:12" x14ac:dyDescent="0.25">
      <c r="A22" s="124"/>
      <c r="B22" s="218">
        <v>8</v>
      </c>
      <c r="C22" s="242" t="s">
        <v>192</v>
      </c>
      <c r="D22" s="245"/>
      <c r="E22" s="243"/>
      <c r="F22" s="136">
        <v>4618435.68</v>
      </c>
      <c r="G22" s="246"/>
      <c r="H22" s="246"/>
      <c r="I22" s="246"/>
      <c r="J22" s="246"/>
      <c r="K22" s="241">
        <f t="shared" si="1"/>
        <v>4618435.68</v>
      </c>
      <c r="L22" s="175"/>
    </row>
    <row r="23" spans="1:12" x14ac:dyDescent="0.25">
      <c r="A23" s="124"/>
      <c r="B23" s="218">
        <v>9</v>
      </c>
      <c r="C23" s="242" t="s">
        <v>193</v>
      </c>
      <c r="D23" s="245"/>
      <c r="E23" s="243"/>
      <c r="F23" s="136">
        <v>29084527.699999999</v>
      </c>
      <c r="G23" s="246"/>
      <c r="H23" s="246"/>
      <c r="I23" s="246"/>
      <c r="J23" s="246"/>
      <c r="K23" s="241">
        <f t="shared" si="1"/>
        <v>29084527.699999999</v>
      </c>
      <c r="L23" s="175"/>
    </row>
    <row r="24" spans="1:12" x14ac:dyDescent="0.25">
      <c r="A24" s="124"/>
      <c r="B24" s="218">
        <v>10</v>
      </c>
      <c r="C24" s="242" t="s">
        <v>191</v>
      </c>
      <c r="D24" s="245"/>
      <c r="E24" s="243"/>
      <c r="F24" s="136">
        <v>0</v>
      </c>
      <c r="G24" s="246"/>
      <c r="H24" s="246"/>
      <c r="I24" s="246"/>
      <c r="J24" s="246"/>
      <c r="K24" s="241">
        <f t="shared" si="1"/>
        <v>0</v>
      </c>
      <c r="L24" s="175"/>
    </row>
    <row r="25" spans="1:12" ht="15.75" customHeight="1" x14ac:dyDescent="0.25">
      <c r="A25" s="123"/>
      <c r="B25" s="234">
        <v>11</v>
      </c>
      <c r="C25" s="163" t="s">
        <v>123</v>
      </c>
      <c r="D25" s="242"/>
      <c r="E25" s="243"/>
      <c r="F25" s="244">
        <f>SUM(G34:G133)</f>
        <v>104193411.88999999</v>
      </c>
      <c r="G25" s="246">
        <f>SUM(H34:H133)</f>
        <v>37068340.809999995</v>
      </c>
      <c r="H25" s="246">
        <f>SUM(I34:I133)</f>
        <v>0</v>
      </c>
      <c r="I25" s="246">
        <f>SUM(J34:J133)</f>
        <v>126840.32999999999</v>
      </c>
      <c r="J25" s="246">
        <f>SUM(K34:K133)</f>
        <v>4897893.42</v>
      </c>
      <c r="K25" s="246">
        <f>SUM(F25:J25)</f>
        <v>146286486.44999999</v>
      </c>
      <c r="L25" s="175"/>
    </row>
    <row r="26" spans="1:12" ht="30.95" customHeight="1" x14ac:dyDescent="0.25">
      <c r="A26" s="123"/>
      <c r="B26" s="234">
        <v>12</v>
      </c>
      <c r="C26" s="247" t="s">
        <v>190</v>
      </c>
      <c r="D26" s="248"/>
      <c r="E26" s="249"/>
      <c r="F26" s="250">
        <f t="shared" ref="F26" si="2">SUM(F15:F17,F19:F25)</f>
        <v>155958053.14999998</v>
      </c>
      <c r="G26" s="250">
        <f>SUM(G15:G17,G25)</f>
        <v>41833420.299999997</v>
      </c>
      <c r="H26" s="251">
        <f>SUM(H15:H17,H25)</f>
        <v>0</v>
      </c>
      <c r="I26" s="250">
        <f>SUM(I15:I17,I25)</f>
        <v>126840.32999999999</v>
      </c>
      <c r="J26" s="250">
        <f>SUM(J15:J17,J25)</f>
        <v>4956304.5599999996</v>
      </c>
      <c r="K26" s="250">
        <f>SUM(F26:J26)</f>
        <v>202874618.34</v>
      </c>
      <c r="L26" s="175"/>
    </row>
    <row r="27" spans="1:12" ht="30.95" customHeight="1" x14ac:dyDescent="0.25">
      <c r="A27" s="123"/>
      <c r="B27" s="234">
        <v>13</v>
      </c>
      <c r="C27" s="252" t="s">
        <v>675</v>
      </c>
      <c r="D27" s="252"/>
      <c r="E27" s="252"/>
      <c r="F27" s="250">
        <f>SUM(F15:F17,F19,F20,F25)</f>
        <v>122255089.76999998</v>
      </c>
      <c r="G27" s="250">
        <f>SUM(G15:G17,G25)</f>
        <v>41833420.299999997</v>
      </c>
      <c r="H27" s="250">
        <f t="shared" ref="H27:J27" si="3">SUM(H15:H17,H25)</f>
        <v>0</v>
      </c>
      <c r="I27" s="250">
        <f t="shared" si="3"/>
        <v>126840.32999999999</v>
      </c>
      <c r="J27" s="250">
        <f t="shared" si="3"/>
        <v>4956304.5599999996</v>
      </c>
      <c r="K27" s="250">
        <f>SUM(F27:J27)</f>
        <v>169171654.96000001</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30</v>
      </c>
      <c r="D34" s="144" t="s">
        <v>790</v>
      </c>
      <c r="E34" s="144"/>
      <c r="F34" s="127" t="s">
        <v>95</v>
      </c>
      <c r="G34" s="126">
        <v>18163610.84</v>
      </c>
      <c r="H34" s="126">
        <v>6548869.9200000009</v>
      </c>
      <c r="I34" s="126">
        <v>0</v>
      </c>
      <c r="J34" s="129">
        <v>24290.249999999996</v>
      </c>
      <c r="K34" s="126">
        <v>571885.89</v>
      </c>
      <c r="L34" s="246">
        <f>SUM(G34:K34)</f>
        <v>25308656.900000002</v>
      </c>
    </row>
    <row r="35" spans="1:12" x14ac:dyDescent="0.25">
      <c r="A35" s="123"/>
      <c r="B35" s="262">
        <v>15</v>
      </c>
      <c r="C35" s="263">
        <f t="shared" si="4"/>
        <v>30</v>
      </c>
      <c r="D35" s="144" t="s">
        <v>791</v>
      </c>
      <c r="E35" s="144"/>
      <c r="F35" s="127" t="s">
        <v>95</v>
      </c>
      <c r="G35" s="126">
        <v>1071532.3799999999</v>
      </c>
      <c r="H35" s="126">
        <v>0</v>
      </c>
      <c r="I35" s="126">
        <v>0</v>
      </c>
      <c r="J35" s="129">
        <v>0</v>
      </c>
      <c r="K35" s="126">
        <v>17450.349999999999</v>
      </c>
      <c r="L35" s="246">
        <f t="shared" ref="L35:L98" si="5">SUM(G35:K35)</f>
        <v>1088982.73</v>
      </c>
    </row>
    <row r="36" spans="1:12" x14ac:dyDescent="0.25">
      <c r="A36" s="123"/>
      <c r="B36" s="262">
        <v>16</v>
      </c>
      <c r="C36" s="263">
        <f t="shared" si="4"/>
        <v>30</v>
      </c>
      <c r="D36" s="144" t="s">
        <v>833</v>
      </c>
      <c r="E36" s="144"/>
      <c r="F36" s="127" t="s">
        <v>95</v>
      </c>
      <c r="G36" s="126">
        <v>1014230.4900000001</v>
      </c>
      <c r="H36" s="126">
        <v>867481.84000000008</v>
      </c>
      <c r="I36" s="126">
        <v>0</v>
      </c>
      <c r="J36" s="129">
        <v>2607.37</v>
      </c>
      <c r="K36" s="126">
        <v>195911.67999999999</v>
      </c>
      <c r="L36" s="246">
        <f t="shared" si="5"/>
        <v>2080231.3800000001</v>
      </c>
    </row>
    <row r="37" spans="1:12" x14ac:dyDescent="0.25">
      <c r="A37" s="123"/>
      <c r="B37" s="262">
        <v>17</v>
      </c>
      <c r="C37" s="263">
        <f t="shared" si="4"/>
        <v>30</v>
      </c>
      <c r="D37" s="144" t="s">
        <v>836</v>
      </c>
      <c r="E37" s="144"/>
      <c r="F37" s="127" t="s">
        <v>95</v>
      </c>
      <c r="G37" s="126">
        <v>247652.94</v>
      </c>
      <c r="H37" s="126">
        <v>0</v>
      </c>
      <c r="I37" s="126">
        <v>0</v>
      </c>
      <c r="J37" s="129">
        <v>0</v>
      </c>
      <c r="K37" s="126">
        <v>2462.8000000000002</v>
      </c>
      <c r="L37" s="246">
        <f t="shared" si="5"/>
        <v>250115.74</v>
      </c>
    </row>
    <row r="38" spans="1:12" x14ac:dyDescent="0.25">
      <c r="A38" s="123"/>
      <c r="B38" s="262">
        <v>18</v>
      </c>
      <c r="C38" s="263">
        <f t="shared" si="4"/>
        <v>30</v>
      </c>
      <c r="D38" s="144" t="s">
        <v>792</v>
      </c>
      <c r="E38" s="144"/>
      <c r="F38" s="127" t="s">
        <v>95</v>
      </c>
      <c r="G38" s="126">
        <v>341957.15</v>
      </c>
      <c r="H38" s="126">
        <v>0</v>
      </c>
      <c r="I38" s="126">
        <v>0</v>
      </c>
      <c r="J38" s="129">
        <v>0</v>
      </c>
      <c r="K38" s="126">
        <v>191.25</v>
      </c>
      <c r="L38" s="246">
        <f t="shared" si="5"/>
        <v>342148.4</v>
      </c>
    </row>
    <row r="39" spans="1:12" x14ac:dyDescent="0.25">
      <c r="A39" s="123"/>
      <c r="B39" s="262">
        <v>19</v>
      </c>
      <c r="C39" s="263">
        <f t="shared" si="4"/>
        <v>30</v>
      </c>
      <c r="D39" s="144" t="s">
        <v>849</v>
      </c>
      <c r="E39" s="144"/>
      <c r="F39" s="127" t="s">
        <v>95</v>
      </c>
      <c r="G39" s="126">
        <v>211781.22</v>
      </c>
      <c r="H39" s="126">
        <v>0</v>
      </c>
      <c r="I39" s="126">
        <v>0</v>
      </c>
      <c r="J39" s="129">
        <v>0</v>
      </c>
      <c r="K39" s="126">
        <v>0</v>
      </c>
      <c r="L39" s="246">
        <f t="shared" si="5"/>
        <v>211781.22</v>
      </c>
    </row>
    <row r="40" spans="1:12" x14ac:dyDescent="0.25">
      <c r="A40" s="123"/>
      <c r="B40" s="262">
        <v>20</v>
      </c>
      <c r="C40" s="263">
        <f t="shared" si="4"/>
        <v>30</v>
      </c>
      <c r="D40" s="144" t="s">
        <v>794</v>
      </c>
      <c r="E40" s="144"/>
      <c r="F40" s="127" t="s">
        <v>95</v>
      </c>
      <c r="G40" s="126">
        <v>1258871.1500000001</v>
      </c>
      <c r="H40" s="126">
        <v>351808.39</v>
      </c>
      <c r="I40" s="126">
        <v>0</v>
      </c>
      <c r="J40" s="129">
        <v>175.31</v>
      </c>
      <c r="K40" s="126">
        <v>39685.39</v>
      </c>
      <c r="L40" s="246">
        <f t="shared" si="5"/>
        <v>1650540.24</v>
      </c>
    </row>
    <row r="41" spans="1:12" x14ac:dyDescent="0.25">
      <c r="A41" s="123"/>
      <c r="B41" s="262">
        <v>21</v>
      </c>
      <c r="C41" s="263">
        <f t="shared" si="4"/>
        <v>30</v>
      </c>
      <c r="D41" s="144" t="s">
        <v>795</v>
      </c>
      <c r="E41" s="144"/>
      <c r="F41" s="127" t="s">
        <v>95</v>
      </c>
      <c r="G41" s="126">
        <v>114392.4</v>
      </c>
      <c r="H41" s="126">
        <v>48059.040000000001</v>
      </c>
      <c r="I41" s="126">
        <v>0</v>
      </c>
      <c r="J41" s="129">
        <v>0</v>
      </c>
      <c r="K41" s="126">
        <v>4856.5999999999995</v>
      </c>
      <c r="L41" s="246">
        <f t="shared" si="5"/>
        <v>167308.04</v>
      </c>
    </row>
    <row r="42" spans="1:12" x14ac:dyDescent="0.25">
      <c r="A42" s="123"/>
      <c r="B42" s="262">
        <v>22</v>
      </c>
      <c r="C42" s="263">
        <f t="shared" si="4"/>
        <v>30</v>
      </c>
      <c r="D42" s="144" t="s">
        <v>796</v>
      </c>
      <c r="E42" s="144"/>
      <c r="F42" s="127" t="s">
        <v>95</v>
      </c>
      <c r="G42" s="126">
        <v>9644725.1500000004</v>
      </c>
      <c r="H42" s="126">
        <v>2348216.91</v>
      </c>
      <c r="I42" s="126">
        <v>0</v>
      </c>
      <c r="J42" s="129">
        <v>0</v>
      </c>
      <c r="K42" s="126">
        <v>184717.19</v>
      </c>
      <c r="L42" s="246">
        <f t="shared" si="5"/>
        <v>12177659.25</v>
      </c>
    </row>
    <row r="43" spans="1:12" x14ac:dyDescent="0.25">
      <c r="A43" s="123"/>
      <c r="B43" s="262">
        <v>23</v>
      </c>
      <c r="C43" s="263">
        <f t="shared" si="4"/>
        <v>30</v>
      </c>
      <c r="D43" s="144" t="s">
        <v>797</v>
      </c>
      <c r="E43" s="144"/>
      <c r="F43" s="127" t="s">
        <v>95</v>
      </c>
      <c r="G43" s="126">
        <v>6189493.2700000005</v>
      </c>
      <c r="H43" s="126">
        <v>1820434.08</v>
      </c>
      <c r="I43" s="126">
        <v>0</v>
      </c>
      <c r="J43" s="129">
        <v>0</v>
      </c>
      <c r="K43" s="126">
        <v>198736.15000000002</v>
      </c>
      <c r="L43" s="246">
        <f t="shared" si="5"/>
        <v>8208663.5000000009</v>
      </c>
    </row>
    <row r="44" spans="1:12" ht="30.75" x14ac:dyDescent="0.25">
      <c r="A44" s="123"/>
      <c r="B44" s="262">
        <v>24</v>
      </c>
      <c r="C44" s="263">
        <f t="shared" si="4"/>
        <v>30</v>
      </c>
      <c r="D44" s="144" t="s">
        <v>798</v>
      </c>
      <c r="E44" s="144"/>
      <c r="F44" s="127" t="s">
        <v>95</v>
      </c>
      <c r="G44" s="126">
        <v>4104713.2199999997</v>
      </c>
      <c r="H44" s="126">
        <v>671274.03</v>
      </c>
      <c r="I44" s="126">
        <v>0</v>
      </c>
      <c r="J44" s="129">
        <v>16092.45</v>
      </c>
      <c r="K44" s="126">
        <v>95199.54</v>
      </c>
      <c r="L44" s="246">
        <f t="shared" si="5"/>
        <v>4887279.24</v>
      </c>
    </row>
    <row r="45" spans="1:12" x14ac:dyDescent="0.25">
      <c r="A45" s="123"/>
      <c r="B45" s="262">
        <v>25</v>
      </c>
      <c r="C45" s="263">
        <f t="shared" si="4"/>
        <v>30</v>
      </c>
      <c r="D45" s="144" t="s">
        <v>799</v>
      </c>
      <c r="E45" s="144"/>
      <c r="F45" s="127" t="s">
        <v>95</v>
      </c>
      <c r="G45" s="126">
        <v>2498714.5499999998</v>
      </c>
      <c r="H45" s="126">
        <v>563832.94999999995</v>
      </c>
      <c r="I45" s="126">
        <v>0</v>
      </c>
      <c r="J45" s="129">
        <v>11894.06</v>
      </c>
      <c r="K45" s="126">
        <v>39906.39</v>
      </c>
      <c r="L45" s="246">
        <f t="shared" si="5"/>
        <v>3114347.95</v>
      </c>
    </row>
    <row r="46" spans="1:12" x14ac:dyDescent="0.25">
      <c r="A46" s="123"/>
      <c r="B46" s="262">
        <v>26</v>
      </c>
      <c r="C46" s="263">
        <f t="shared" si="4"/>
        <v>30</v>
      </c>
      <c r="D46" s="144" t="s">
        <v>800</v>
      </c>
      <c r="E46" s="144"/>
      <c r="F46" s="127" t="s">
        <v>95</v>
      </c>
      <c r="G46" s="126">
        <v>909765.98</v>
      </c>
      <c r="H46" s="126">
        <v>391401.51</v>
      </c>
      <c r="I46" s="126">
        <v>0</v>
      </c>
      <c r="J46" s="129">
        <v>0</v>
      </c>
      <c r="K46" s="126">
        <v>35750.54</v>
      </c>
      <c r="L46" s="246">
        <f t="shared" si="5"/>
        <v>1336918.03</v>
      </c>
    </row>
    <row r="47" spans="1:12" ht="30.75" x14ac:dyDescent="0.25">
      <c r="A47" s="123"/>
      <c r="B47" s="262">
        <v>27</v>
      </c>
      <c r="C47" s="263">
        <f t="shared" si="4"/>
        <v>30</v>
      </c>
      <c r="D47" s="144" t="s">
        <v>801</v>
      </c>
      <c r="E47" s="144"/>
      <c r="F47" s="127" t="s">
        <v>95</v>
      </c>
      <c r="G47" s="126">
        <v>100353.88</v>
      </c>
      <c r="H47" s="126">
        <v>94540.21</v>
      </c>
      <c r="I47" s="126">
        <v>0</v>
      </c>
      <c r="J47" s="129">
        <f>-6.05+6.05</f>
        <v>0</v>
      </c>
      <c r="K47" s="126">
        <v>13524.92</v>
      </c>
      <c r="L47" s="246">
        <f t="shared" si="5"/>
        <v>208419.01000000004</v>
      </c>
    </row>
    <row r="48" spans="1:12" x14ac:dyDescent="0.25">
      <c r="A48" s="123"/>
      <c r="B48" s="262">
        <v>28</v>
      </c>
      <c r="C48" s="263">
        <f t="shared" si="4"/>
        <v>30</v>
      </c>
      <c r="D48" s="144" t="s">
        <v>802</v>
      </c>
      <c r="E48" s="144"/>
      <c r="F48" s="127" t="s">
        <v>95</v>
      </c>
      <c r="G48" s="126">
        <v>2180573.0499999998</v>
      </c>
      <c r="H48" s="126">
        <v>255597.45</v>
      </c>
      <c r="I48" s="126">
        <v>0</v>
      </c>
      <c r="J48" s="129">
        <v>0</v>
      </c>
      <c r="K48" s="126">
        <v>2074.83</v>
      </c>
      <c r="L48" s="246">
        <f t="shared" si="5"/>
        <v>2438245.33</v>
      </c>
    </row>
    <row r="49" spans="1:12" ht="30.75" x14ac:dyDescent="0.25">
      <c r="A49" s="123"/>
      <c r="B49" s="262">
        <v>29</v>
      </c>
      <c r="C49" s="263">
        <f t="shared" si="4"/>
        <v>30</v>
      </c>
      <c r="D49" s="144" t="s">
        <v>851</v>
      </c>
      <c r="E49" s="144"/>
      <c r="F49" s="127" t="s">
        <v>95</v>
      </c>
      <c r="G49" s="126">
        <v>601807.11</v>
      </c>
      <c r="H49" s="126">
        <v>312244.17</v>
      </c>
      <c r="I49" s="126">
        <v>0</v>
      </c>
      <c r="J49" s="129">
        <v>0</v>
      </c>
      <c r="K49" s="126">
        <v>55019.07</v>
      </c>
      <c r="L49" s="246">
        <f t="shared" si="5"/>
        <v>969070.35</v>
      </c>
    </row>
    <row r="50" spans="1:12" ht="30.75" x14ac:dyDescent="0.25">
      <c r="A50" s="123"/>
      <c r="B50" s="262">
        <v>30</v>
      </c>
      <c r="C50" s="263">
        <f t="shared" si="4"/>
        <v>30</v>
      </c>
      <c r="D50" s="144" t="s">
        <v>850</v>
      </c>
      <c r="E50" s="144"/>
      <c r="F50" s="127" t="s">
        <v>95</v>
      </c>
      <c r="G50" s="126">
        <v>6669553.2399999993</v>
      </c>
      <c r="H50" s="126">
        <v>2266635.75</v>
      </c>
      <c r="I50" s="126">
        <v>0</v>
      </c>
      <c r="J50" s="129">
        <v>0</v>
      </c>
      <c r="K50" s="126">
        <v>239428.99999999994</v>
      </c>
      <c r="L50" s="246">
        <f t="shared" si="5"/>
        <v>9175617.9899999984</v>
      </c>
    </row>
    <row r="51" spans="1:12" ht="30.75" x14ac:dyDescent="0.25">
      <c r="A51" s="123"/>
      <c r="B51" s="262">
        <v>31</v>
      </c>
      <c r="C51" s="263">
        <f t="shared" si="4"/>
        <v>30</v>
      </c>
      <c r="D51" s="144" t="s">
        <v>852</v>
      </c>
      <c r="E51" s="144"/>
      <c r="F51" s="127" t="s">
        <v>95</v>
      </c>
      <c r="G51" s="126">
        <v>522957.66</v>
      </c>
      <c r="H51" s="126">
        <v>367341.48</v>
      </c>
      <c r="I51" s="126">
        <v>0</v>
      </c>
      <c r="J51" s="129">
        <f>-31.09+31.09</f>
        <v>0</v>
      </c>
      <c r="K51" s="126">
        <v>22075.32</v>
      </c>
      <c r="L51" s="246">
        <f t="shared" si="5"/>
        <v>912374.45999999985</v>
      </c>
    </row>
    <row r="52" spans="1:12" x14ac:dyDescent="0.25">
      <c r="A52" s="123"/>
      <c r="B52" s="262">
        <v>32</v>
      </c>
      <c r="C52" s="263">
        <f t="shared" si="4"/>
        <v>30</v>
      </c>
      <c r="D52" s="144" t="s">
        <v>803</v>
      </c>
      <c r="E52" s="144"/>
      <c r="F52" s="127" t="s">
        <v>95</v>
      </c>
      <c r="G52" s="126">
        <v>463798.80000000005</v>
      </c>
      <c r="H52" s="126">
        <v>934497.6100000001</v>
      </c>
      <c r="I52" s="126">
        <v>0</v>
      </c>
      <c r="J52" s="129">
        <v>8875.81</v>
      </c>
      <c r="K52" s="126">
        <v>103461.38</v>
      </c>
      <c r="L52" s="246">
        <f t="shared" si="5"/>
        <v>1510633.6</v>
      </c>
    </row>
    <row r="53" spans="1:12" ht="30.75" x14ac:dyDescent="0.25">
      <c r="A53" s="123"/>
      <c r="B53" s="262">
        <v>33</v>
      </c>
      <c r="C53" s="263">
        <f t="shared" si="4"/>
        <v>30</v>
      </c>
      <c r="D53" s="144" t="s">
        <v>853</v>
      </c>
      <c r="E53" s="144"/>
      <c r="F53" s="127" t="s">
        <v>95</v>
      </c>
      <c r="G53" s="126">
        <v>676374.51</v>
      </c>
      <c r="H53" s="126">
        <v>356292.97</v>
      </c>
      <c r="I53" s="126">
        <v>0</v>
      </c>
      <c r="J53" s="129">
        <v>0</v>
      </c>
      <c r="K53" s="126">
        <v>25887.97</v>
      </c>
      <c r="L53" s="246">
        <f t="shared" si="5"/>
        <v>1058555.45</v>
      </c>
    </row>
    <row r="54" spans="1:12" x14ac:dyDescent="0.25">
      <c r="A54" s="123"/>
      <c r="B54" s="262">
        <v>34</v>
      </c>
      <c r="C54" s="263">
        <f t="shared" si="4"/>
        <v>30</v>
      </c>
      <c r="D54" s="144" t="s">
        <v>854</v>
      </c>
      <c r="E54" s="144"/>
      <c r="F54" s="127" t="s">
        <v>95</v>
      </c>
      <c r="G54" s="126">
        <v>103060.15</v>
      </c>
      <c r="H54" s="126">
        <v>41223.079999999994</v>
      </c>
      <c r="I54" s="126">
        <v>0</v>
      </c>
      <c r="J54" s="129">
        <v>0</v>
      </c>
      <c r="K54" s="126">
        <v>1614.08</v>
      </c>
      <c r="L54" s="246">
        <f t="shared" si="5"/>
        <v>145897.30999999997</v>
      </c>
    </row>
    <row r="55" spans="1:12" ht="30.75" x14ac:dyDescent="0.25">
      <c r="A55" s="123"/>
      <c r="B55" s="262">
        <v>35</v>
      </c>
      <c r="C55" s="263">
        <f t="shared" si="4"/>
        <v>30</v>
      </c>
      <c r="D55" s="144" t="s">
        <v>832</v>
      </c>
      <c r="E55" s="144"/>
      <c r="F55" s="127" t="s">
        <v>95</v>
      </c>
      <c r="G55" s="126">
        <v>2451165.2000000002</v>
      </c>
      <c r="H55" s="126">
        <v>485156.03</v>
      </c>
      <c r="I55" s="126">
        <v>0</v>
      </c>
      <c r="J55" s="129">
        <v>0</v>
      </c>
      <c r="K55" s="126">
        <v>524700.52</v>
      </c>
      <c r="L55" s="246">
        <f t="shared" si="5"/>
        <v>3461021.7500000005</v>
      </c>
    </row>
    <row r="56" spans="1:12" x14ac:dyDescent="0.25">
      <c r="A56" s="123"/>
      <c r="B56" s="262">
        <v>36</v>
      </c>
      <c r="C56" s="263">
        <f t="shared" si="4"/>
        <v>30</v>
      </c>
      <c r="D56" s="144" t="s">
        <v>804</v>
      </c>
      <c r="E56" s="144"/>
      <c r="F56" s="127" t="s">
        <v>95</v>
      </c>
      <c r="G56" s="126">
        <v>99207</v>
      </c>
      <c r="H56" s="126">
        <v>0</v>
      </c>
      <c r="I56" s="126">
        <v>0</v>
      </c>
      <c r="J56" s="129">
        <v>0</v>
      </c>
      <c r="K56" s="126">
        <v>0</v>
      </c>
      <c r="L56" s="246">
        <f t="shared" si="5"/>
        <v>99207</v>
      </c>
    </row>
    <row r="57" spans="1:12" ht="30.75" x14ac:dyDescent="0.25">
      <c r="A57" s="123"/>
      <c r="B57" s="262">
        <v>37</v>
      </c>
      <c r="C57" s="263">
        <f t="shared" si="4"/>
        <v>30</v>
      </c>
      <c r="D57" s="144" t="s">
        <v>805</v>
      </c>
      <c r="E57" s="144"/>
      <c r="F57" s="127" t="s">
        <v>95</v>
      </c>
      <c r="G57" s="126">
        <v>17426.5</v>
      </c>
      <c r="H57" s="126">
        <v>0</v>
      </c>
      <c r="I57" s="126">
        <v>0</v>
      </c>
      <c r="J57" s="129">
        <v>0</v>
      </c>
      <c r="K57" s="126">
        <v>1316.5</v>
      </c>
      <c r="L57" s="246">
        <f t="shared" si="5"/>
        <v>18743</v>
      </c>
    </row>
    <row r="58" spans="1:12" x14ac:dyDescent="0.25">
      <c r="A58" s="123"/>
      <c r="B58" s="262">
        <v>38</v>
      </c>
      <c r="C58" s="263">
        <f t="shared" si="4"/>
        <v>30</v>
      </c>
      <c r="D58" s="144" t="s">
        <v>855</v>
      </c>
      <c r="E58" s="144"/>
      <c r="F58" s="127" t="s">
        <v>95</v>
      </c>
      <c r="G58" s="126">
        <v>1708600.34</v>
      </c>
      <c r="H58" s="126">
        <v>633378.16</v>
      </c>
      <c r="I58" s="126">
        <v>0</v>
      </c>
      <c r="J58" s="129">
        <v>0</v>
      </c>
      <c r="K58" s="126">
        <v>198025.76</v>
      </c>
      <c r="L58" s="246">
        <f t="shared" si="5"/>
        <v>2540004.2599999998</v>
      </c>
    </row>
    <row r="59" spans="1:12" ht="30.75" x14ac:dyDescent="0.25">
      <c r="A59" s="123"/>
      <c r="B59" s="262">
        <v>39</v>
      </c>
      <c r="C59" s="263">
        <f t="shared" si="4"/>
        <v>30</v>
      </c>
      <c r="D59" s="144" t="s">
        <v>856</v>
      </c>
      <c r="E59" s="144"/>
      <c r="F59" s="127" t="s">
        <v>95</v>
      </c>
      <c r="G59" s="126">
        <v>1155051.9099999997</v>
      </c>
      <c r="H59" s="126">
        <v>287921.47000000003</v>
      </c>
      <c r="I59" s="126">
        <v>0</v>
      </c>
      <c r="J59" s="129">
        <v>3237.38</v>
      </c>
      <c r="K59" s="126">
        <v>18536.86</v>
      </c>
      <c r="L59" s="246">
        <f t="shared" si="5"/>
        <v>1464747.6199999996</v>
      </c>
    </row>
    <row r="60" spans="1:12" x14ac:dyDescent="0.25">
      <c r="A60" s="123"/>
      <c r="B60" s="262">
        <v>40</v>
      </c>
      <c r="C60" s="263">
        <f t="shared" si="4"/>
        <v>30</v>
      </c>
      <c r="D60" s="144" t="s">
        <v>791</v>
      </c>
      <c r="E60" s="144"/>
      <c r="F60" s="127" t="s">
        <v>96</v>
      </c>
      <c r="G60" s="126">
        <v>576978.98</v>
      </c>
      <c r="H60" s="126">
        <v>0</v>
      </c>
      <c r="I60" s="126">
        <v>0</v>
      </c>
      <c r="J60" s="129">
        <v>0</v>
      </c>
      <c r="K60" s="126">
        <v>9396.34</v>
      </c>
      <c r="L60" s="246">
        <f t="shared" si="5"/>
        <v>586375.31999999995</v>
      </c>
    </row>
    <row r="61" spans="1:12" x14ac:dyDescent="0.25">
      <c r="A61" s="123"/>
      <c r="B61" s="262">
        <v>41</v>
      </c>
      <c r="C61" s="263">
        <f t="shared" si="4"/>
        <v>30</v>
      </c>
      <c r="D61" s="144" t="s">
        <v>834</v>
      </c>
      <c r="E61" s="144"/>
      <c r="F61" s="127" t="s">
        <v>96</v>
      </c>
      <c r="G61" s="126">
        <v>5747306.0999999996</v>
      </c>
      <c r="H61" s="126">
        <v>4915730.43</v>
      </c>
      <c r="I61" s="126">
        <v>0</v>
      </c>
      <c r="J61" s="129">
        <v>14775.1</v>
      </c>
      <c r="K61" s="126">
        <v>1110166.1499999999</v>
      </c>
      <c r="L61" s="246">
        <f t="shared" si="5"/>
        <v>11787977.779999999</v>
      </c>
    </row>
    <row r="62" spans="1:12" x14ac:dyDescent="0.25">
      <c r="A62" s="123"/>
      <c r="B62" s="262">
        <v>42</v>
      </c>
      <c r="C62" s="263">
        <f t="shared" si="4"/>
        <v>30</v>
      </c>
      <c r="D62" s="144" t="s">
        <v>857</v>
      </c>
      <c r="E62" s="144"/>
      <c r="F62" s="127" t="s">
        <v>96</v>
      </c>
      <c r="G62" s="126">
        <v>1614609.06</v>
      </c>
      <c r="H62" s="126">
        <v>645828.20000000007</v>
      </c>
      <c r="I62" s="126">
        <v>0</v>
      </c>
      <c r="J62" s="129">
        <v>0</v>
      </c>
      <c r="K62" s="126">
        <v>25287.38</v>
      </c>
      <c r="L62" s="246">
        <f t="shared" si="5"/>
        <v>2285724.64</v>
      </c>
    </row>
    <row r="63" spans="1:12" x14ac:dyDescent="0.25">
      <c r="A63" s="123"/>
      <c r="B63" s="262">
        <v>43</v>
      </c>
      <c r="C63" s="263">
        <f t="shared" si="4"/>
        <v>30</v>
      </c>
      <c r="D63" s="144" t="s">
        <v>836</v>
      </c>
      <c r="E63" s="144"/>
      <c r="F63" s="127" t="s">
        <v>96</v>
      </c>
      <c r="G63" s="126">
        <v>990611.74</v>
      </c>
      <c r="H63" s="126">
        <v>0</v>
      </c>
      <c r="I63" s="126">
        <v>0</v>
      </c>
      <c r="J63" s="129">
        <v>0</v>
      </c>
      <c r="K63" s="126">
        <v>9851.2199999999993</v>
      </c>
      <c r="L63" s="246">
        <f t="shared" si="5"/>
        <v>1000462.96</v>
      </c>
    </row>
    <row r="64" spans="1:12" x14ac:dyDescent="0.25">
      <c r="A64" s="123"/>
      <c r="B64" s="262">
        <v>44</v>
      </c>
      <c r="C64" s="263">
        <f t="shared" si="4"/>
        <v>30</v>
      </c>
      <c r="D64" s="144" t="s">
        <v>792</v>
      </c>
      <c r="E64" s="144"/>
      <c r="F64" s="127" t="s">
        <v>96</v>
      </c>
      <c r="G64" s="126">
        <f>1477872.36+1288871.92</f>
        <v>2766744.2800000003</v>
      </c>
      <c r="H64" s="126">
        <v>0</v>
      </c>
      <c r="I64" s="126">
        <v>0</v>
      </c>
      <c r="J64" s="129">
        <v>0</v>
      </c>
      <c r="K64" s="126">
        <v>1547.41</v>
      </c>
      <c r="L64" s="246">
        <f t="shared" si="5"/>
        <v>2768291.6900000004</v>
      </c>
    </row>
    <row r="65" spans="1:12" x14ac:dyDescent="0.25">
      <c r="A65" s="123"/>
      <c r="B65" s="262">
        <v>45</v>
      </c>
      <c r="C65" s="263">
        <f t="shared" si="4"/>
        <v>30</v>
      </c>
      <c r="D65" s="144" t="s">
        <v>849</v>
      </c>
      <c r="E65" s="144"/>
      <c r="F65" s="127" t="s">
        <v>96</v>
      </c>
      <c r="G65" s="126">
        <v>70593.740000000005</v>
      </c>
      <c r="H65" s="126">
        <v>0</v>
      </c>
      <c r="I65" s="126">
        <v>0</v>
      </c>
      <c r="J65" s="129">
        <v>0</v>
      </c>
      <c r="K65" s="126">
        <v>0</v>
      </c>
      <c r="L65" s="246">
        <f t="shared" si="5"/>
        <v>70593.740000000005</v>
      </c>
    </row>
    <row r="66" spans="1:12" x14ac:dyDescent="0.25">
      <c r="A66" s="123"/>
      <c r="B66" s="262">
        <v>46</v>
      </c>
      <c r="C66" s="263">
        <f t="shared" ref="C66:C97" si="6">IF(L66&lt;&gt;0,VLOOKUP($D$9,Info_County_Code,2,FALSE),"")</f>
        <v>30</v>
      </c>
      <c r="D66" s="144" t="s">
        <v>806</v>
      </c>
      <c r="E66" s="144"/>
      <c r="F66" s="127" t="s">
        <v>96</v>
      </c>
      <c r="G66" s="126">
        <v>4984.5</v>
      </c>
      <c r="H66" s="126">
        <v>0</v>
      </c>
      <c r="I66" s="126">
        <v>0</v>
      </c>
      <c r="J66" s="129">
        <v>0</v>
      </c>
      <c r="K66" s="126">
        <v>0</v>
      </c>
      <c r="L66" s="246">
        <f t="shared" si="5"/>
        <v>4984.5</v>
      </c>
    </row>
    <row r="67" spans="1:12" ht="30.75" x14ac:dyDescent="0.25">
      <c r="A67" s="123"/>
      <c r="B67" s="262">
        <v>47</v>
      </c>
      <c r="C67" s="263">
        <f t="shared" si="6"/>
        <v>30</v>
      </c>
      <c r="D67" s="144" t="s">
        <v>793</v>
      </c>
      <c r="E67" s="144"/>
      <c r="F67" s="127" t="s">
        <v>96</v>
      </c>
      <c r="G67" s="126">
        <v>1599759.81</v>
      </c>
      <c r="H67" s="126">
        <v>0</v>
      </c>
      <c r="I67" s="126">
        <v>0</v>
      </c>
      <c r="J67" s="129">
        <v>0</v>
      </c>
      <c r="K67" s="126">
        <v>0</v>
      </c>
      <c r="L67" s="246">
        <f t="shared" si="5"/>
        <v>1599759.81</v>
      </c>
    </row>
    <row r="68" spans="1:12" x14ac:dyDescent="0.25">
      <c r="A68" s="123"/>
      <c r="B68" s="262">
        <v>48</v>
      </c>
      <c r="C68" s="263">
        <f t="shared" si="6"/>
        <v>30</v>
      </c>
      <c r="D68" s="144" t="s">
        <v>794</v>
      </c>
      <c r="E68" s="144"/>
      <c r="F68" s="127" t="s">
        <v>96</v>
      </c>
      <c r="G68" s="126">
        <v>1258871.1500000001</v>
      </c>
      <c r="H68" s="126">
        <v>351808.39</v>
      </c>
      <c r="I68" s="126">
        <v>0</v>
      </c>
      <c r="J68" s="129">
        <v>175.31</v>
      </c>
      <c r="K68" s="126">
        <v>39685.39</v>
      </c>
      <c r="L68" s="246">
        <f t="shared" si="5"/>
        <v>1650540.24</v>
      </c>
    </row>
    <row r="69" spans="1:12" x14ac:dyDescent="0.25">
      <c r="A69" s="123"/>
      <c r="B69" s="262">
        <v>49</v>
      </c>
      <c r="C69" s="263">
        <f t="shared" si="6"/>
        <v>30</v>
      </c>
      <c r="D69" s="144" t="s">
        <v>795</v>
      </c>
      <c r="E69" s="144"/>
      <c r="F69" s="127" t="s">
        <v>96</v>
      </c>
      <c r="G69" s="126">
        <v>5604994.4699999997</v>
      </c>
      <c r="H69" s="126">
        <v>2355126.4699999997</v>
      </c>
      <c r="I69" s="126">
        <v>0</v>
      </c>
      <c r="J69" s="129">
        <v>0</v>
      </c>
      <c r="K69" s="126">
        <v>237973.15999999997</v>
      </c>
      <c r="L69" s="246">
        <f t="shared" si="5"/>
        <v>8198094.0999999996</v>
      </c>
    </row>
    <row r="70" spans="1:12" x14ac:dyDescent="0.25">
      <c r="A70" s="123"/>
      <c r="B70" s="262">
        <v>50</v>
      </c>
      <c r="C70" s="263">
        <f t="shared" si="6"/>
        <v>30</v>
      </c>
      <c r="D70" s="144" t="s">
        <v>800</v>
      </c>
      <c r="E70" s="144"/>
      <c r="F70" s="127" t="s">
        <v>96</v>
      </c>
      <c r="G70" s="126">
        <v>389899.71</v>
      </c>
      <c r="H70" s="126">
        <v>167743.51</v>
      </c>
      <c r="I70" s="126">
        <v>0</v>
      </c>
      <c r="J70" s="129">
        <v>0</v>
      </c>
      <c r="K70" s="126">
        <v>15321.65</v>
      </c>
      <c r="L70" s="246">
        <f t="shared" si="5"/>
        <v>572964.87</v>
      </c>
    </row>
    <row r="71" spans="1:12" ht="30.75" x14ac:dyDescent="0.25">
      <c r="A71" s="123"/>
      <c r="B71" s="262">
        <v>51</v>
      </c>
      <c r="C71" s="263">
        <f t="shared" si="6"/>
        <v>30</v>
      </c>
      <c r="D71" s="144" t="s">
        <v>801</v>
      </c>
      <c r="E71" s="144"/>
      <c r="F71" s="127" t="s">
        <v>96</v>
      </c>
      <c r="G71" s="126">
        <v>568671.97</v>
      </c>
      <c r="H71" s="126">
        <v>535727.86</v>
      </c>
      <c r="I71" s="126">
        <v>0</v>
      </c>
      <c r="J71" s="129">
        <f>-34.3+34.3</f>
        <v>0</v>
      </c>
      <c r="K71" s="126">
        <v>76641.2</v>
      </c>
      <c r="L71" s="246">
        <f t="shared" si="5"/>
        <v>1181041.03</v>
      </c>
    </row>
    <row r="72" spans="1:12" x14ac:dyDescent="0.25">
      <c r="A72" s="123"/>
      <c r="B72" s="262">
        <v>52</v>
      </c>
      <c r="C72" s="263">
        <f t="shared" si="6"/>
        <v>30</v>
      </c>
      <c r="D72" s="144" t="s">
        <v>802</v>
      </c>
      <c r="E72" s="144"/>
      <c r="F72" s="127" t="s">
        <v>96</v>
      </c>
      <c r="G72" s="126">
        <v>934531.31</v>
      </c>
      <c r="H72" s="126">
        <v>109541.77</v>
      </c>
      <c r="I72" s="126">
        <v>0</v>
      </c>
      <c r="J72" s="129">
        <v>0</v>
      </c>
      <c r="K72" s="126">
        <v>889.21</v>
      </c>
      <c r="L72" s="246">
        <f t="shared" si="5"/>
        <v>1044962.29</v>
      </c>
    </row>
    <row r="73" spans="1:12" ht="30.75" x14ac:dyDescent="0.25">
      <c r="A73" s="123"/>
      <c r="B73" s="262">
        <v>53</v>
      </c>
      <c r="C73" s="263">
        <f t="shared" si="6"/>
        <v>30</v>
      </c>
      <c r="D73" s="144" t="s">
        <v>807</v>
      </c>
      <c r="E73" s="144"/>
      <c r="F73" s="127" t="s">
        <v>96</v>
      </c>
      <c r="G73" s="126">
        <v>763928.7</v>
      </c>
      <c r="H73" s="126">
        <v>22560.83</v>
      </c>
      <c r="I73" s="126">
        <v>0</v>
      </c>
      <c r="J73" s="129">
        <f>-114.31+114.31</f>
        <v>0</v>
      </c>
      <c r="K73" s="126">
        <v>1972.12</v>
      </c>
      <c r="L73" s="246">
        <f t="shared" si="5"/>
        <v>788461.64999999991</v>
      </c>
    </row>
    <row r="74" spans="1:12" x14ac:dyDescent="0.25">
      <c r="A74" s="123"/>
      <c r="B74" s="262">
        <v>54</v>
      </c>
      <c r="C74" s="263">
        <f t="shared" si="6"/>
        <v>30</v>
      </c>
      <c r="D74" s="144" t="s">
        <v>835</v>
      </c>
      <c r="E74" s="144"/>
      <c r="F74" s="127" t="s">
        <v>96</v>
      </c>
      <c r="G74" s="126">
        <v>1855195.24</v>
      </c>
      <c r="H74" s="126">
        <v>3737990.43</v>
      </c>
      <c r="I74" s="126">
        <v>0</v>
      </c>
      <c r="J74" s="129">
        <v>35503.22</v>
      </c>
      <c r="K74" s="126">
        <v>413845.58999999997</v>
      </c>
      <c r="L74" s="246">
        <f t="shared" si="5"/>
        <v>6042534.4799999995</v>
      </c>
    </row>
    <row r="75" spans="1:12" x14ac:dyDescent="0.25">
      <c r="A75" s="123"/>
      <c r="B75" s="262">
        <v>55</v>
      </c>
      <c r="C75" s="263">
        <f t="shared" si="6"/>
        <v>30</v>
      </c>
      <c r="D75" s="144" t="s">
        <v>858</v>
      </c>
      <c r="E75" s="144"/>
      <c r="F75" s="127" t="s">
        <v>96</v>
      </c>
      <c r="G75" s="126">
        <v>1774777.14</v>
      </c>
      <c r="H75" s="126">
        <v>804152.84</v>
      </c>
      <c r="I75" s="126">
        <v>0</v>
      </c>
      <c r="J75" s="129">
        <v>0</v>
      </c>
      <c r="K75" s="126">
        <v>34314.550000000003</v>
      </c>
      <c r="L75" s="246">
        <f t="shared" si="5"/>
        <v>2613244.5299999998</v>
      </c>
    </row>
    <row r="76" spans="1:12" ht="30.75" x14ac:dyDescent="0.25">
      <c r="A76" s="123"/>
      <c r="B76" s="262">
        <v>56</v>
      </c>
      <c r="C76" s="263">
        <f t="shared" si="6"/>
        <v>30</v>
      </c>
      <c r="D76" s="144" t="s">
        <v>808</v>
      </c>
      <c r="E76" s="144"/>
      <c r="F76" s="127" t="s">
        <v>96</v>
      </c>
      <c r="G76" s="126">
        <v>5409611.5800000001</v>
      </c>
      <c r="H76" s="126">
        <v>2177909.11</v>
      </c>
      <c r="I76" s="126">
        <v>0</v>
      </c>
      <c r="J76" s="129">
        <v>0</v>
      </c>
      <c r="K76" s="126">
        <v>92904.68</v>
      </c>
      <c r="L76" s="246">
        <f t="shared" si="5"/>
        <v>7680425.3699999992</v>
      </c>
    </row>
    <row r="77" spans="1:12" ht="30.75" x14ac:dyDescent="0.25">
      <c r="A77" s="123"/>
      <c r="B77" s="262">
        <v>57</v>
      </c>
      <c r="C77" s="263">
        <f t="shared" si="6"/>
        <v>30</v>
      </c>
      <c r="D77" s="144" t="s">
        <v>853</v>
      </c>
      <c r="E77" s="144"/>
      <c r="F77" s="127" t="s">
        <v>96</v>
      </c>
      <c r="G77" s="126">
        <v>676374.51</v>
      </c>
      <c r="H77" s="126">
        <v>356292.97</v>
      </c>
      <c r="I77" s="126">
        <v>0</v>
      </c>
      <c r="J77" s="129">
        <v>0</v>
      </c>
      <c r="K77" s="126">
        <v>25887.97</v>
      </c>
      <c r="L77" s="246">
        <f t="shared" si="5"/>
        <v>1058555.45</v>
      </c>
    </row>
    <row r="78" spans="1:12" x14ac:dyDescent="0.25">
      <c r="A78" s="123"/>
      <c r="B78" s="262">
        <v>58</v>
      </c>
      <c r="C78" s="263">
        <f t="shared" si="6"/>
        <v>30</v>
      </c>
      <c r="D78" s="144" t="s">
        <v>809</v>
      </c>
      <c r="E78" s="144"/>
      <c r="F78" s="127" t="s">
        <v>96</v>
      </c>
      <c r="G78" s="126">
        <v>713762</v>
      </c>
      <c r="H78" s="126">
        <v>0</v>
      </c>
      <c r="I78" s="126">
        <v>0</v>
      </c>
      <c r="J78" s="129">
        <v>0</v>
      </c>
      <c r="K78" s="126">
        <v>0</v>
      </c>
      <c r="L78" s="246">
        <f>SUM(G78:K78)</f>
        <v>713762</v>
      </c>
    </row>
    <row r="79" spans="1:12" x14ac:dyDescent="0.25">
      <c r="A79" s="123"/>
      <c r="B79" s="262">
        <v>59</v>
      </c>
      <c r="C79" s="263">
        <f t="shared" si="6"/>
        <v>30</v>
      </c>
      <c r="D79" s="144" t="s">
        <v>810</v>
      </c>
      <c r="E79" s="144"/>
      <c r="F79" s="127" t="s">
        <v>96</v>
      </c>
      <c r="G79" s="126">
        <v>3360727.04</v>
      </c>
      <c r="H79" s="126">
        <v>0</v>
      </c>
      <c r="I79" s="126">
        <v>0</v>
      </c>
      <c r="J79" s="129">
        <v>0</v>
      </c>
      <c r="K79" s="126">
        <v>0</v>
      </c>
      <c r="L79" s="246">
        <f t="shared" si="5"/>
        <v>3360727.04</v>
      </c>
    </row>
    <row r="80" spans="1:12" x14ac:dyDescent="0.25">
      <c r="A80" s="123"/>
      <c r="B80" s="262">
        <v>60</v>
      </c>
      <c r="C80" s="263">
        <f t="shared" si="6"/>
        <v>30</v>
      </c>
      <c r="D80" s="144" t="s">
        <v>804</v>
      </c>
      <c r="E80" s="144"/>
      <c r="F80" s="127" t="s">
        <v>96</v>
      </c>
      <c r="G80" s="126">
        <v>231483</v>
      </c>
      <c r="H80" s="126">
        <v>0</v>
      </c>
      <c r="I80" s="126">
        <v>0</v>
      </c>
      <c r="J80" s="129">
        <v>0</v>
      </c>
      <c r="K80" s="126">
        <v>0</v>
      </c>
      <c r="L80" s="246">
        <f t="shared" si="5"/>
        <v>231483</v>
      </c>
    </row>
    <row r="81" spans="1:12" ht="30.75" x14ac:dyDescent="0.25">
      <c r="A81" s="123"/>
      <c r="B81" s="262">
        <v>61</v>
      </c>
      <c r="C81" s="263">
        <f t="shared" si="6"/>
        <v>30</v>
      </c>
      <c r="D81" s="144" t="s">
        <v>805</v>
      </c>
      <c r="E81" s="144"/>
      <c r="F81" s="127" t="s">
        <v>96</v>
      </c>
      <c r="G81" s="126">
        <v>331103.5</v>
      </c>
      <c r="H81" s="126">
        <v>0</v>
      </c>
      <c r="I81" s="126">
        <v>0</v>
      </c>
      <c r="J81" s="129">
        <v>0</v>
      </c>
      <c r="K81" s="126">
        <v>25013.5</v>
      </c>
      <c r="L81" s="246">
        <f t="shared" si="5"/>
        <v>356117</v>
      </c>
    </row>
    <row r="82" spans="1:12" x14ac:dyDescent="0.25">
      <c r="A82" s="123"/>
      <c r="B82" s="262">
        <v>62</v>
      </c>
      <c r="C82" s="263">
        <f t="shared" si="6"/>
        <v>30</v>
      </c>
      <c r="D82" s="144" t="s">
        <v>855</v>
      </c>
      <c r="E82" s="144"/>
      <c r="F82" s="127" t="s">
        <v>96</v>
      </c>
      <c r="G82" s="126">
        <v>1139066.8999999999</v>
      </c>
      <c r="H82" s="126">
        <v>422252.11</v>
      </c>
      <c r="I82" s="126">
        <v>0</v>
      </c>
      <c r="J82" s="129">
        <v>0</v>
      </c>
      <c r="K82" s="126">
        <v>132017.17000000001</v>
      </c>
      <c r="L82" s="246">
        <f t="shared" si="5"/>
        <v>1693336.1799999997</v>
      </c>
    </row>
    <row r="83" spans="1:12" ht="30.75" x14ac:dyDescent="0.25">
      <c r="A83" s="123"/>
      <c r="B83" s="262">
        <v>63</v>
      </c>
      <c r="C83" s="263">
        <f t="shared" si="6"/>
        <v>30</v>
      </c>
      <c r="D83" s="144" t="s">
        <v>856</v>
      </c>
      <c r="E83" s="144"/>
      <c r="F83" s="127" t="s">
        <v>96</v>
      </c>
      <c r="G83" s="126">
        <v>3287455.3699999996</v>
      </c>
      <c r="H83" s="126">
        <v>819468.84</v>
      </c>
      <c r="I83" s="126">
        <v>0</v>
      </c>
      <c r="J83" s="129">
        <v>9214.07</v>
      </c>
      <c r="K83" s="126">
        <v>52758.75</v>
      </c>
      <c r="L83" s="246">
        <f t="shared" si="5"/>
        <v>4168897.0299999993</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workbookViewId="0">
      <selection activeCell="A13" sqref="A1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tabSelected="1" view="pageBreakPreview" topLeftCell="A26" zoomScale="85" zoomScaleNormal="70" zoomScaleSheetLayoutView="85" workbookViewId="0">
      <selection activeCell="J51" sqref="J51"/>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Orange</v>
      </c>
      <c r="E9" s="27" t="str">
        <f>IF(ISBLANK('1. Information'!D11),"",'1. Information'!D11)</f>
        <v>Orange</v>
      </c>
      <c r="F9" s="226" t="s">
        <v>1</v>
      </c>
      <c r="G9" s="264">
        <f>IF(ISBLANK('1. Information'!D9),"",'1. Information'!D9)</f>
        <v>44956</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674535.41</v>
      </c>
      <c r="G15" s="136">
        <v>0</v>
      </c>
      <c r="H15" s="136">
        <v>0</v>
      </c>
      <c r="I15" s="136">
        <v>0</v>
      </c>
      <c r="J15" s="136">
        <v>0</v>
      </c>
      <c r="K15" s="241">
        <f>SUM(F15:J15)</f>
        <v>674535.41</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331254.82</v>
      </c>
      <c r="G16" s="136">
        <v>0</v>
      </c>
      <c r="H16" s="136">
        <v>0</v>
      </c>
      <c r="I16" s="136">
        <v>0</v>
      </c>
      <c r="J16" s="136">
        <v>0</v>
      </c>
      <c r="K16" s="241">
        <f t="shared" ref="K16:K22" si="0">SUM(F16:J16)</f>
        <v>331254.82</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f>7049277.17-674535.41-331254.82</f>
        <v>6043486.9399999995</v>
      </c>
      <c r="G17" s="136">
        <f>-0.62+0.62</f>
        <v>0</v>
      </c>
      <c r="H17" s="136">
        <v>0</v>
      </c>
      <c r="I17" s="136">
        <v>0</v>
      </c>
      <c r="J17" s="136">
        <v>78.63</v>
      </c>
      <c r="K17" s="241">
        <f t="shared" si="0"/>
        <v>6043565.5699999994</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0</v>
      </c>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f>3589571.92-2730370.92</f>
        <v>859201</v>
      </c>
      <c r="G19" s="244"/>
      <c r="H19" s="244"/>
      <c r="I19" s="244"/>
      <c r="J19" s="244"/>
      <c r="K19" s="241">
        <f t="shared" ref="K19:K20" si="1">F19</f>
        <v>859201</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703530.28</v>
      </c>
      <c r="G20" s="244"/>
      <c r="H20" s="244"/>
      <c r="I20" s="244"/>
      <c r="J20" s="244"/>
      <c r="K20" s="241">
        <f t="shared" si="1"/>
        <v>703530.28</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39002549.709999993</v>
      </c>
      <c r="G21" s="275">
        <f>SUMIF($G$34:$G$133,"Combined Summary",M$34:M$133) + SUMIF($F$34:$F$133,"Standalone",M$34:M$133)</f>
        <v>188287.39</v>
      </c>
      <c r="H21" s="275">
        <f>SUMIF($G$34:$G$133,"Combined Summary",N$34:N$133) + SUMIF($F$34:$F$133,"Standalone",N$34:N$133)</f>
        <v>0</v>
      </c>
      <c r="I21" s="275">
        <f>SUMIF($G$34:$G$133,"Combined Summary",O$34:O$133) + SUMIF($F$34:$F$133,"Standalone",O$34:O$133)</f>
        <v>836.76</v>
      </c>
      <c r="J21" s="275">
        <f>SUMIF($G$34:$G$133,"Combined Summary",P$34:P$133) + SUMIF($F$34:$F$133,"Standalone",P$34:P$133)</f>
        <v>186078.27</v>
      </c>
      <c r="K21" s="246">
        <f t="shared" si="0"/>
        <v>39377752.129999995</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46755357.159999996</v>
      </c>
      <c r="G22" s="279">
        <f t="shared" ref="G22:J22" si="2">SUM(G15:G17,G20:G21)</f>
        <v>188287.39</v>
      </c>
      <c r="H22" s="279">
        <f t="shared" si="2"/>
        <v>0</v>
      </c>
      <c r="I22" s="279">
        <f t="shared" si="2"/>
        <v>836.76</v>
      </c>
      <c r="J22" s="279">
        <f t="shared" si="2"/>
        <v>186156.9</v>
      </c>
      <c r="K22" s="279">
        <f t="shared" si="0"/>
        <v>47130638.209999993</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0.50401410126881818</v>
      </c>
      <c r="F28" s="18">
        <v>0.75</v>
      </c>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30</v>
      </c>
      <c r="D34" s="144" t="s">
        <v>811</v>
      </c>
      <c r="E34" s="144"/>
      <c r="F34" s="147" t="s">
        <v>125</v>
      </c>
      <c r="G34" s="148" t="s">
        <v>118</v>
      </c>
      <c r="H34" s="33"/>
      <c r="I34" s="36">
        <v>1</v>
      </c>
      <c r="J34" s="36">
        <v>0.3</v>
      </c>
      <c r="K34" s="302">
        <f>IF(OR(G34="Combined Summary",F34="Standalone"),(SUMPRODUCT(--(D$34:D$133=D34),I$34:I$133,J$34:J$133)),"")</f>
        <v>0.3</v>
      </c>
      <c r="L34" s="126">
        <v>2481343.29</v>
      </c>
      <c r="M34" s="133">
        <v>0</v>
      </c>
      <c r="N34" s="133">
        <v>0</v>
      </c>
      <c r="O34" s="133">
        <v>0</v>
      </c>
      <c r="P34" s="133">
        <v>0</v>
      </c>
      <c r="Q34" s="303">
        <f>SUM(L34:P34)</f>
        <v>2481343.29</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30</v>
      </c>
      <c r="D35" s="144" t="s">
        <v>844</v>
      </c>
      <c r="E35" s="144"/>
      <c r="F35" s="147" t="s">
        <v>125</v>
      </c>
      <c r="G35" s="148" t="s">
        <v>118</v>
      </c>
      <c r="H35" s="33"/>
      <c r="I35" s="36">
        <v>1</v>
      </c>
      <c r="J35" s="36">
        <v>0.02</v>
      </c>
      <c r="K35" s="302">
        <f t="shared" ref="K35:K98" si="4">IF(OR(G35="Combined Summary",F35="Standalone"),(SUMPRODUCT(--(D$34:D$133=D35),I$34:I$133,J$34:J$133)),"")</f>
        <v>0.02</v>
      </c>
      <c r="L35" s="126">
        <v>3618293.42</v>
      </c>
      <c r="M35" s="133">
        <v>0</v>
      </c>
      <c r="N35" s="133">
        <v>0</v>
      </c>
      <c r="O35" s="133">
        <v>0</v>
      </c>
      <c r="P35" s="133">
        <v>0</v>
      </c>
      <c r="Q35" s="303">
        <f t="shared" ref="Q35:Q98" si="5">SUM(L35:P35)</f>
        <v>3618293.42</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ht="30.75" x14ac:dyDescent="0.25">
      <c r="B36" s="300">
        <v>12</v>
      </c>
      <c r="C36" s="301">
        <f t="shared" si="3"/>
        <v>30</v>
      </c>
      <c r="D36" s="144" t="s">
        <v>842</v>
      </c>
      <c r="E36" s="144"/>
      <c r="F36" s="147" t="s">
        <v>125</v>
      </c>
      <c r="G36" s="148" t="s">
        <v>128</v>
      </c>
      <c r="H36" s="33"/>
      <c r="I36" s="36">
        <v>1</v>
      </c>
      <c r="J36" s="36">
        <v>0.69</v>
      </c>
      <c r="K36" s="302">
        <f t="shared" si="4"/>
        <v>0.69</v>
      </c>
      <c r="L36" s="126">
        <f>18438.47+1112960.28+850134.31+3389316.56+535772.86+2026400+2730370.92</f>
        <v>10663393.4</v>
      </c>
      <c r="M36" s="133">
        <v>0</v>
      </c>
      <c r="N36" s="133">
        <v>0</v>
      </c>
      <c r="O36" s="133">
        <v>0</v>
      </c>
      <c r="P36" s="133">
        <f>7485.44+5238+28</f>
        <v>12751.439999999999</v>
      </c>
      <c r="Q36" s="303">
        <f t="shared" si="5"/>
        <v>10676144.84</v>
      </c>
      <c r="R36" s="178">
        <f t="shared" si="6"/>
        <v>1</v>
      </c>
      <c r="S36" s="180" t="str">
        <f t="shared" si="7"/>
        <v/>
      </c>
      <c r="AL36" s="27"/>
      <c r="AM36" s="27"/>
      <c r="AN36" s="27"/>
    </row>
    <row r="37" spans="2:40" ht="30.75" x14ac:dyDescent="0.25">
      <c r="B37" s="300">
        <v>13</v>
      </c>
      <c r="C37" s="301">
        <f t="shared" si="3"/>
        <v>30</v>
      </c>
      <c r="D37" s="144" t="s">
        <v>812</v>
      </c>
      <c r="E37" s="144"/>
      <c r="F37" s="147" t="s">
        <v>125</v>
      </c>
      <c r="G37" s="148" t="s">
        <v>121</v>
      </c>
      <c r="H37" s="33"/>
      <c r="I37" s="36">
        <v>1</v>
      </c>
      <c r="J37" s="36">
        <v>1</v>
      </c>
      <c r="K37" s="302">
        <f t="shared" si="4"/>
        <v>1</v>
      </c>
      <c r="L37" s="126">
        <v>360660.94</v>
      </c>
      <c r="M37" s="133">
        <v>0</v>
      </c>
      <c r="N37" s="133">
        <v>0</v>
      </c>
      <c r="O37" s="133">
        <v>0</v>
      </c>
      <c r="P37" s="133">
        <v>0</v>
      </c>
      <c r="Q37" s="303">
        <f t="shared" si="5"/>
        <v>360660.94</v>
      </c>
      <c r="R37" s="178">
        <f t="shared" si="6"/>
        <v>1</v>
      </c>
      <c r="S37" s="180" t="str">
        <f t="shared" si="7"/>
        <v/>
      </c>
      <c r="AL37" s="27"/>
      <c r="AM37" s="27"/>
      <c r="AN37" s="27"/>
    </row>
    <row r="38" spans="2:40" x14ac:dyDescent="0.25">
      <c r="B38" s="300">
        <v>14</v>
      </c>
      <c r="C38" s="301">
        <f t="shared" si="3"/>
        <v>30</v>
      </c>
      <c r="D38" s="144" t="s">
        <v>813</v>
      </c>
      <c r="E38" s="144"/>
      <c r="F38" s="147" t="s">
        <v>125</v>
      </c>
      <c r="G38" s="148" t="s">
        <v>121</v>
      </c>
      <c r="H38" s="33"/>
      <c r="I38" s="36">
        <v>1</v>
      </c>
      <c r="J38" s="36">
        <v>0.5</v>
      </c>
      <c r="K38" s="302">
        <f t="shared" si="4"/>
        <v>0.5</v>
      </c>
      <c r="L38" s="126">
        <v>279996</v>
      </c>
      <c r="M38" s="133">
        <v>0</v>
      </c>
      <c r="N38" s="133">
        <v>0</v>
      </c>
      <c r="O38" s="133">
        <v>0</v>
      </c>
      <c r="P38" s="133">
        <v>0</v>
      </c>
      <c r="Q38" s="303">
        <f t="shared" si="5"/>
        <v>279996</v>
      </c>
      <c r="R38" s="178">
        <f t="shared" si="6"/>
        <v>1</v>
      </c>
      <c r="S38" s="180" t="str">
        <f t="shared" si="7"/>
        <v/>
      </c>
      <c r="AL38" s="27"/>
      <c r="AM38" s="27"/>
      <c r="AN38" s="27"/>
    </row>
    <row r="39" spans="2:40" x14ac:dyDescent="0.25">
      <c r="B39" s="300">
        <v>15</v>
      </c>
      <c r="C39" s="301">
        <f t="shared" si="3"/>
        <v>30</v>
      </c>
      <c r="D39" s="144" t="s">
        <v>845</v>
      </c>
      <c r="E39" s="144"/>
      <c r="F39" s="147" t="s">
        <v>125</v>
      </c>
      <c r="G39" s="148" t="s">
        <v>121</v>
      </c>
      <c r="H39" s="33"/>
      <c r="I39" s="36">
        <v>1</v>
      </c>
      <c r="J39" s="36">
        <v>1</v>
      </c>
      <c r="K39" s="302">
        <f t="shared" si="4"/>
        <v>1</v>
      </c>
      <c r="L39" s="126">
        <v>402169.28</v>
      </c>
      <c r="M39" s="133">
        <v>0</v>
      </c>
      <c r="N39" s="133">
        <v>0</v>
      </c>
      <c r="O39" s="133">
        <v>0</v>
      </c>
      <c r="P39" s="30">
        <v>286.75</v>
      </c>
      <c r="Q39" s="303">
        <f t="shared" si="5"/>
        <v>402456.03</v>
      </c>
      <c r="R39" s="178">
        <f t="shared" si="6"/>
        <v>1</v>
      </c>
      <c r="S39" s="180" t="str">
        <f t="shared" si="7"/>
        <v/>
      </c>
      <c r="AL39" s="27"/>
      <c r="AM39" s="27"/>
      <c r="AN39" s="27"/>
    </row>
    <row r="40" spans="2:40" x14ac:dyDescent="0.25">
      <c r="B40" s="300">
        <v>16</v>
      </c>
      <c r="C40" s="301">
        <f t="shared" si="3"/>
        <v>30</v>
      </c>
      <c r="D40" s="144" t="s">
        <v>814</v>
      </c>
      <c r="E40" s="144"/>
      <c r="F40" s="147" t="s">
        <v>125</v>
      </c>
      <c r="G40" s="148" t="s">
        <v>121</v>
      </c>
      <c r="H40" s="33"/>
      <c r="I40" s="36">
        <v>1</v>
      </c>
      <c r="J40" s="36">
        <v>1</v>
      </c>
      <c r="K40" s="302">
        <f t="shared" si="4"/>
        <v>1</v>
      </c>
      <c r="L40" s="126">
        <v>747884.4</v>
      </c>
      <c r="M40" s="133">
        <v>0</v>
      </c>
      <c r="N40" s="133">
        <v>0</v>
      </c>
      <c r="O40" s="133">
        <v>0</v>
      </c>
      <c r="P40" s="30">
        <v>26469.599999999999</v>
      </c>
      <c r="Q40" s="303">
        <f t="shared" si="5"/>
        <v>774354</v>
      </c>
      <c r="R40" s="178">
        <f t="shared" si="6"/>
        <v>1</v>
      </c>
      <c r="S40" s="180" t="str">
        <f t="shared" si="7"/>
        <v/>
      </c>
      <c r="AL40" s="27"/>
      <c r="AM40" s="27"/>
      <c r="AN40" s="27"/>
    </row>
    <row r="41" spans="2:40" x14ac:dyDescent="0.25">
      <c r="B41" s="300">
        <v>17</v>
      </c>
      <c r="C41" s="301">
        <f t="shared" si="3"/>
        <v>30</v>
      </c>
      <c r="D41" s="144" t="s">
        <v>815</v>
      </c>
      <c r="E41" s="144"/>
      <c r="F41" s="147" t="s">
        <v>125</v>
      </c>
      <c r="G41" s="148" t="s">
        <v>121</v>
      </c>
      <c r="H41" s="33"/>
      <c r="I41" s="36">
        <v>1</v>
      </c>
      <c r="J41" s="36">
        <v>1</v>
      </c>
      <c r="K41" s="302">
        <f t="shared" si="4"/>
        <v>1</v>
      </c>
      <c r="L41" s="126">
        <v>1294078.47</v>
      </c>
      <c r="M41" s="133">
        <v>0</v>
      </c>
      <c r="N41" s="133">
        <v>0</v>
      </c>
      <c r="O41" s="133">
        <v>0</v>
      </c>
      <c r="P41" s="30">
        <v>20149</v>
      </c>
      <c r="Q41" s="303">
        <f t="shared" si="5"/>
        <v>1314227.47</v>
      </c>
      <c r="R41" s="178">
        <f t="shared" si="6"/>
        <v>1</v>
      </c>
      <c r="S41" s="180" t="str">
        <f t="shared" si="7"/>
        <v/>
      </c>
      <c r="AL41" s="27"/>
      <c r="AM41" s="27"/>
      <c r="AN41" s="27"/>
    </row>
    <row r="42" spans="2:40" ht="30.75" x14ac:dyDescent="0.25">
      <c r="B42" s="300">
        <v>18</v>
      </c>
      <c r="C42" s="301">
        <f t="shared" si="3"/>
        <v>30</v>
      </c>
      <c r="D42" s="144" t="s">
        <v>816</v>
      </c>
      <c r="E42" s="144"/>
      <c r="F42" s="147" t="s">
        <v>125</v>
      </c>
      <c r="G42" s="148" t="s">
        <v>121</v>
      </c>
      <c r="H42" s="33"/>
      <c r="I42" s="36">
        <v>1</v>
      </c>
      <c r="J42" s="36">
        <v>1</v>
      </c>
      <c r="K42" s="302">
        <f t="shared" si="4"/>
        <v>1</v>
      </c>
      <c r="L42" s="126">
        <v>1898354.16</v>
      </c>
      <c r="M42" s="133">
        <v>0</v>
      </c>
      <c r="N42" s="133">
        <v>0</v>
      </c>
      <c r="O42" s="133">
        <v>0</v>
      </c>
      <c r="P42" s="30">
        <v>23776.93</v>
      </c>
      <c r="Q42" s="303">
        <f t="shared" si="5"/>
        <v>1922131.0899999999</v>
      </c>
      <c r="R42" s="178">
        <f t="shared" si="6"/>
        <v>1</v>
      </c>
      <c r="S42" s="180" t="str">
        <f t="shared" si="7"/>
        <v/>
      </c>
      <c r="AL42" s="27"/>
      <c r="AM42" s="27"/>
      <c r="AN42" s="27"/>
    </row>
    <row r="43" spans="2:40" x14ac:dyDescent="0.25">
      <c r="B43" s="300">
        <v>19</v>
      </c>
      <c r="C43" s="301">
        <f t="shared" si="3"/>
        <v>30</v>
      </c>
      <c r="D43" s="144" t="s">
        <v>817</v>
      </c>
      <c r="E43" s="144"/>
      <c r="F43" s="147" t="s">
        <v>125</v>
      </c>
      <c r="G43" s="148" t="s">
        <v>121</v>
      </c>
      <c r="H43" s="33"/>
      <c r="I43" s="36">
        <v>1</v>
      </c>
      <c r="J43" s="417">
        <v>1</v>
      </c>
      <c r="K43" s="302">
        <f t="shared" si="4"/>
        <v>1</v>
      </c>
      <c r="L43" s="126">
        <v>1329020.49</v>
      </c>
      <c r="M43" s="133">
        <v>0</v>
      </c>
      <c r="N43" s="133">
        <v>0</v>
      </c>
      <c r="O43" s="133">
        <v>0</v>
      </c>
      <c r="P43" s="30">
        <v>22518</v>
      </c>
      <c r="Q43" s="303">
        <f t="shared" si="5"/>
        <v>1351538.49</v>
      </c>
      <c r="R43" s="178">
        <f t="shared" si="6"/>
        <v>1</v>
      </c>
      <c r="S43" s="180" t="str">
        <f t="shared" si="7"/>
        <v/>
      </c>
      <c r="AL43" s="27"/>
      <c r="AM43" s="27"/>
      <c r="AN43" s="27"/>
    </row>
    <row r="44" spans="2:40" x14ac:dyDescent="0.25">
      <c r="B44" s="300">
        <v>20</v>
      </c>
      <c r="C44" s="301">
        <f t="shared" si="3"/>
        <v>30</v>
      </c>
      <c r="D44" s="144" t="s">
        <v>818</v>
      </c>
      <c r="E44" s="144"/>
      <c r="F44" s="147" t="s">
        <v>125</v>
      </c>
      <c r="G44" s="148" t="s">
        <v>129</v>
      </c>
      <c r="H44" s="33"/>
      <c r="I44" s="36">
        <v>1</v>
      </c>
      <c r="J44" s="36">
        <v>0.5</v>
      </c>
      <c r="K44" s="302">
        <f t="shared" si="4"/>
        <v>0.5</v>
      </c>
      <c r="L44" s="126">
        <f>482680.35+145358.95+500943.79+702307.95</f>
        <v>1831291.04</v>
      </c>
      <c r="M44" s="133">
        <v>0</v>
      </c>
      <c r="N44" s="133">
        <v>0</v>
      </c>
      <c r="O44" s="133">
        <v>0</v>
      </c>
      <c r="P44" s="30">
        <v>884.04</v>
      </c>
      <c r="Q44" s="303">
        <f t="shared" si="5"/>
        <v>1832175.08</v>
      </c>
      <c r="R44" s="178">
        <f t="shared" si="6"/>
        <v>1</v>
      </c>
      <c r="S44" s="180" t="str">
        <f t="shared" si="7"/>
        <v/>
      </c>
      <c r="AL44" s="27"/>
      <c r="AM44" s="27"/>
      <c r="AN44" s="27"/>
    </row>
    <row r="45" spans="2:40" x14ac:dyDescent="0.25">
      <c r="B45" s="300">
        <v>21</v>
      </c>
      <c r="C45" s="301">
        <f t="shared" si="3"/>
        <v>30</v>
      </c>
      <c r="D45" s="144" t="s">
        <v>819</v>
      </c>
      <c r="E45" s="144"/>
      <c r="F45" s="147" t="s">
        <v>125</v>
      </c>
      <c r="G45" s="148" t="s">
        <v>118</v>
      </c>
      <c r="H45" s="33"/>
      <c r="I45" s="36">
        <v>1</v>
      </c>
      <c r="J45" s="36">
        <v>0</v>
      </c>
      <c r="K45" s="302">
        <f t="shared" si="4"/>
        <v>0</v>
      </c>
      <c r="L45" s="126">
        <v>2494</v>
      </c>
      <c r="M45" s="133">
        <v>0</v>
      </c>
      <c r="N45" s="133">
        <v>0</v>
      </c>
      <c r="O45" s="133">
        <v>0</v>
      </c>
      <c r="P45" s="30">
        <v>0</v>
      </c>
      <c r="Q45" s="303">
        <f t="shared" si="5"/>
        <v>2494</v>
      </c>
      <c r="R45" s="178">
        <f t="shared" si="6"/>
        <v>1</v>
      </c>
      <c r="S45" s="180" t="str">
        <f t="shared" si="7"/>
        <v/>
      </c>
      <c r="AL45" s="27"/>
      <c r="AM45" s="27"/>
      <c r="AN45" s="27"/>
    </row>
    <row r="46" spans="2:40" ht="30.75" x14ac:dyDescent="0.25">
      <c r="B46" s="300">
        <v>22</v>
      </c>
      <c r="C46" s="301">
        <f t="shared" si="3"/>
        <v>30</v>
      </c>
      <c r="D46" s="144" t="s">
        <v>846</v>
      </c>
      <c r="E46" s="144"/>
      <c r="F46" s="147" t="s">
        <v>125</v>
      </c>
      <c r="G46" s="148" t="s">
        <v>128</v>
      </c>
      <c r="H46" s="33"/>
      <c r="I46" s="36">
        <v>1</v>
      </c>
      <c r="J46" s="36">
        <v>0.5</v>
      </c>
      <c r="K46" s="302">
        <f t="shared" si="4"/>
        <v>0.5</v>
      </c>
      <c r="L46" s="126">
        <v>432686</v>
      </c>
      <c r="M46" s="133">
        <v>0</v>
      </c>
      <c r="N46" s="133">
        <v>0</v>
      </c>
      <c r="O46" s="133">
        <v>0</v>
      </c>
      <c r="P46" s="30">
        <v>0</v>
      </c>
      <c r="Q46" s="303">
        <f t="shared" si="5"/>
        <v>432686</v>
      </c>
      <c r="R46" s="178">
        <f t="shared" si="6"/>
        <v>1</v>
      </c>
      <c r="S46" s="180" t="str">
        <f t="shared" si="7"/>
        <v/>
      </c>
      <c r="AL46" s="27"/>
      <c r="AM46" s="27"/>
      <c r="AN46" s="27"/>
    </row>
    <row r="47" spans="2:40" x14ac:dyDescent="0.25">
      <c r="B47" s="300">
        <v>23</v>
      </c>
      <c r="C47" s="301">
        <f t="shared" si="3"/>
        <v>30</v>
      </c>
      <c r="D47" s="144" t="s">
        <v>820</v>
      </c>
      <c r="E47" s="144"/>
      <c r="F47" s="147" t="s">
        <v>125</v>
      </c>
      <c r="G47" s="148" t="s">
        <v>129</v>
      </c>
      <c r="H47" s="33"/>
      <c r="I47" s="36">
        <v>1</v>
      </c>
      <c r="J47" s="36">
        <v>0.5</v>
      </c>
      <c r="K47" s="302">
        <f t="shared" si="4"/>
        <v>0.5</v>
      </c>
      <c r="L47" s="126">
        <v>1506303</v>
      </c>
      <c r="M47" s="133">
        <v>0</v>
      </c>
      <c r="N47" s="133">
        <v>0</v>
      </c>
      <c r="O47" s="133">
        <v>0</v>
      </c>
      <c r="P47" s="30">
        <v>0</v>
      </c>
      <c r="Q47" s="303">
        <f t="shared" si="5"/>
        <v>1506303</v>
      </c>
      <c r="R47" s="178">
        <f t="shared" si="6"/>
        <v>1</v>
      </c>
      <c r="S47" s="180" t="str">
        <f t="shared" si="7"/>
        <v/>
      </c>
      <c r="AL47" s="27"/>
      <c r="AM47" s="27"/>
      <c r="AN47" s="27"/>
    </row>
    <row r="48" spans="2:40" ht="30.75" x14ac:dyDescent="0.25">
      <c r="B48" s="300">
        <v>24</v>
      </c>
      <c r="C48" s="301">
        <f t="shared" si="3"/>
        <v>30</v>
      </c>
      <c r="D48" s="144" t="s">
        <v>821</v>
      </c>
      <c r="E48" s="144"/>
      <c r="F48" s="147" t="s">
        <v>125</v>
      </c>
      <c r="G48" s="148" t="s">
        <v>122</v>
      </c>
      <c r="H48" s="33"/>
      <c r="I48" s="36">
        <v>1</v>
      </c>
      <c r="J48" s="36">
        <v>0.39</v>
      </c>
      <c r="K48" s="302">
        <f t="shared" si="4"/>
        <v>0.39</v>
      </c>
      <c r="L48" s="126">
        <f>1892833.39+375419.42</f>
        <v>2268252.81</v>
      </c>
      <c r="M48" s="133">
        <v>0</v>
      </c>
      <c r="N48" s="133">
        <v>0</v>
      </c>
      <c r="O48" s="30">
        <v>0</v>
      </c>
      <c r="P48" s="30">
        <v>0</v>
      </c>
      <c r="Q48" s="303">
        <f t="shared" si="5"/>
        <v>2268252.81</v>
      </c>
      <c r="R48" s="178">
        <f t="shared" si="6"/>
        <v>1</v>
      </c>
      <c r="S48" s="180" t="str">
        <f t="shared" si="7"/>
        <v/>
      </c>
      <c r="AL48" s="27"/>
      <c r="AM48" s="27"/>
      <c r="AN48" s="27"/>
    </row>
    <row r="49" spans="2:40" x14ac:dyDescent="0.25">
      <c r="B49" s="300">
        <v>25</v>
      </c>
      <c r="C49" s="301">
        <f t="shared" si="3"/>
        <v>30</v>
      </c>
      <c r="D49" s="144" t="s">
        <v>822</v>
      </c>
      <c r="E49" s="144"/>
      <c r="F49" s="147" t="s">
        <v>125</v>
      </c>
      <c r="G49" s="148" t="s">
        <v>122</v>
      </c>
      <c r="H49" s="33"/>
      <c r="I49" s="36">
        <v>1</v>
      </c>
      <c r="J49" s="36">
        <v>0</v>
      </c>
      <c r="K49" s="302">
        <f t="shared" si="4"/>
        <v>0</v>
      </c>
      <c r="L49" s="126">
        <v>2468211.33</v>
      </c>
      <c r="M49" s="133">
        <v>0</v>
      </c>
      <c r="N49" s="133">
        <v>0</v>
      </c>
      <c r="O49" s="30">
        <v>0</v>
      </c>
      <c r="P49" s="30">
        <v>0</v>
      </c>
      <c r="Q49" s="303">
        <f t="shared" si="5"/>
        <v>2468211.33</v>
      </c>
      <c r="R49" s="178">
        <f t="shared" si="6"/>
        <v>1</v>
      </c>
      <c r="S49" s="180" t="str">
        <f t="shared" si="7"/>
        <v/>
      </c>
      <c r="AL49" s="27"/>
      <c r="AM49" s="27"/>
      <c r="AN49" s="27"/>
    </row>
    <row r="50" spans="2:40" x14ac:dyDescent="0.25">
      <c r="B50" s="300">
        <v>26</v>
      </c>
      <c r="C50" s="301">
        <f t="shared" si="3"/>
        <v>30</v>
      </c>
      <c r="D50" s="144" t="s">
        <v>823</v>
      </c>
      <c r="E50" s="144"/>
      <c r="F50" s="147" t="s">
        <v>125</v>
      </c>
      <c r="G50" s="148" t="s">
        <v>122</v>
      </c>
      <c r="H50" s="33"/>
      <c r="I50" s="36">
        <v>1</v>
      </c>
      <c r="J50" s="36">
        <v>1</v>
      </c>
      <c r="K50" s="302">
        <f t="shared" si="4"/>
        <v>1</v>
      </c>
      <c r="L50" s="126">
        <v>1068213.46</v>
      </c>
      <c r="M50" s="133">
        <v>47318.54</v>
      </c>
      <c r="N50" s="133">
        <v>0</v>
      </c>
      <c r="O50" s="30">
        <v>0</v>
      </c>
      <c r="P50" s="30">
        <v>1419.36</v>
      </c>
      <c r="Q50" s="303">
        <f t="shared" si="5"/>
        <v>1116951.3600000001</v>
      </c>
      <c r="R50" s="178">
        <f t="shared" si="6"/>
        <v>1</v>
      </c>
      <c r="S50" s="180" t="str">
        <f t="shared" si="7"/>
        <v/>
      </c>
      <c r="AL50" s="27"/>
      <c r="AM50" s="27"/>
      <c r="AN50" s="27"/>
    </row>
    <row r="51" spans="2:40" x14ac:dyDescent="0.25">
      <c r="B51" s="300">
        <v>27</v>
      </c>
      <c r="C51" s="301">
        <f t="shared" si="3"/>
        <v>30</v>
      </c>
      <c r="D51" s="144" t="s">
        <v>847</v>
      </c>
      <c r="E51" s="144"/>
      <c r="F51" s="147" t="s">
        <v>125</v>
      </c>
      <c r="G51" s="148" t="s">
        <v>122</v>
      </c>
      <c r="H51" s="33"/>
      <c r="I51" s="36">
        <v>1</v>
      </c>
      <c r="J51" s="36">
        <v>1</v>
      </c>
      <c r="K51" s="302">
        <f t="shared" si="4"/>
        <v>1</v>
      </c>
      <c r="L51" s="126">
        <f>1969514.12+678135.96+376212.54</f>
        <v>3023862.62</v>
      </c>
      <c r="M51" s="133">
        <v>0</v>
      </c>
      <c r="N51" s="133">
        <v>0</v>
      </c>
      <c r="O51" s="30">
        <v>836.76</v>
      </c>
      <c r="P51" s="30">
        <v>0</v>
      </c>
      <c r="Q51" s="303">
        <f t="shared" si="5"/>
        <v>3024699.38</v>
      </c>
      <c r="R51" s="178">
        <f t="shared" si="6"/>
        <v>1</v>
      </c>
      <c r="S51" s="180" t="str">
        <f t="shared" si="7"/>
        <v/>
      </c>
      <c r="AL51" s="27"/>
      <c r="AM51" s="27"/>
      <c r="AN51" s="27"/>
    </row>
    <row r="52" spans="2:40" x14ac:dyDescent="0.25">
      <c r="B52" s="300">
        <v>28</v>
      </c>
      <c r="C52" s="301">
        <f t="shared" si="3"/>
        <v>30</v>
      </c>
      <c r="D52" s="144" t="s">
        <v>843</v>
      </c>
      <c r="E52" s="144"/>
      <c r="F52" s="147" t="s">
        <v>125</v>
      </c>
      <c r="G52" s="148" t="s">
        <v>122</v>
      </c>
      <c r="H52" s="33"/>
      <c r="I52" s="36">
        <v>1</v>
      </c>
      <c r="J52" s="36">
        <v>0.38</v>
      </c>
      <c r="K52" s="302">
        <f t="shared" si="4"/>
        <v>0.38</v>
      </c>
      <c r="L52" s="126">
        <f>756425.34+810431.97+421406.63+425995.3</f>
        <v>2414259.2399999998</v>
      </c>
      <c r="M52" s="133">
        <v>0</v>
      </c>
      <c r="N52" s="133">
        <v>0</v>
      </c>
      <c r="O52" s="30">
        <f>-586.33+586.33</f>
        <v>0</v>
      </c>
      <c r="P52" s="30">
        <v>0</v>
      </c>
      <c r="Q52" s="303">
        <f t="shared" si="5"/>
        <v>2414259.2399999998</v>
      </c>
      <c r="R52" s="178">
        <f t="shared" si="6"/>
        <v>1</v>
      </c>
      <c r="S52" s="180" t="str">
        <f t="shared" si="7"/>
        <v/>
      </c>
      <c r="AL52" s="27"/>
      <c r="AM52" s="27"/>
      <c r="AN52" s="27"/>
    </row>
    <row r="53" spans="2:40" ht="30.75" x14ac:dyDescent="0.25">
      <c r="B53" s="300">
        <v>29</v>
      </c>
      <c r="C53" s="301">
        <f t="shared" si="3"/>
        <v>30</v>
      </c>
      <c r="D53" s="144" t="s">
        <v>841</v>
      </c>
      <c r="E53" s="144"/>
      <c r="F53" s="147" t="s">
        <v>125</v>
      </c>
      <c r="G53" s="148" t="s">
        <v>122</v>
      </c>
      <c r="H53" s="33"/>
      <c r="I53" s="36">
        <v>1</v>
      </c>
      <c r="J53" s="36">
        <v>1</v>
      </c>
      <c r="K53" s="302">
        <f t="shared" si="4"/>
        <v>1</v>
      </c>
      <c r="L53" s="126">
        <v>911782.36</v>
      </c>
      <c r="M53" s="133">
        <v>140968.85</v>
      </c>
      <c r="N53" s="133">
        <v>0</v>
      </c>
      <c r="O53" s="30">
        <v>0</v>
      </c>
      <c r="P53" s="30">
        <v>77823.149999999994</v>
      </c>
      <c r="Q53" s="303">
        <f t="shared" si="5"/>
        <v>1130574.3599999999</v>
      </c>
      <c r="R53" s="178">
        <f t="shared" si="6"/>
        <v>1</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9" workbookViewId="0">
      <selection activeCell="A36" sqref="A36"/>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DHCSDOC-1797567310-6316</_dlc_DocId>
    <_dlc_DocIdUrl xmlns="69bc34b3-1921-46c7-8c7a-d18363374b4b">
      <Url>https://dhcscagovauthoring/_layouts/15/DocIdRedir.aspx?ID=DHCSDOC-1797567310-6316</Url>
      <Description>DHCSDOC-1797567310-6316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schemas.microsoft.com/office/infopath/2007/PartnerControls"/>
    <ds:schemaRef ds:uri="http://schemas.microsoft.com/office/2006/documentManagement/types"/>
    <ds:schemaRef ds:uri="c1c1dc04-eeda-4b6e-b2df-40979f5da1d3"/>
    <ds:schemaRef ds:uri="http://www.w3.org/XML/1998/namespace"/>
    <ds:schemaRef ds:uri="http://schemas.openxmlformats.org/package/2006/metadata/core-properties"/>
    <ds:schemaRef ds:uri="69bc34b3-1921-46c7-8c7a-d18363374b4b"/>
    <ds:schemaRef ds:uri="http://purl.org/dc/terms/"/>
    <ds:schemaRef ds:uri="http://schemas.microsoft.com/office/2006/metadata/properties"/>
    <ds:schemaRef ds:uri="http://schemas.microsoft.com/sharepoint/v3"/>
    <ds:schemaRef ds:uri="http://purl.org/dc/dcmitype/"/>
    <ds:schemaRef ds:uri="http://purl.org/dc/elements/1.1/"/>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A4B626FE-148A-487D-BA58-16C5BB93E5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Orange-FY-21-22</dc:title>
  <dc:creator>Donna Ures</dc:creator>
  <cp:keywords/>
  <cp:lastModifiedBy>Sierra, Edgar</cp:lastModifiedBy>
  <cp:lastPrinted>2023-01-31T21:29:45Z</cp:lastPrinted>
  <dcterms:created xsi:type="dcterms:W3CDTF">2017-07-05T19:48:18Z</dcterms:created>
  <dcterms:modified xsi:type="dcterms:W3CDTF">2023-01-31T22:01:57Z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8a2740c6-3a1e-4ea4-a6c2-53bd435db9fb</vt:lpwstr>
  </property>
  <property fmtid="{D5CDD505-2E9C-101B-9397-08002B2CF9AE}" pid="4" name="Remediated">
    <vt:bool>false</vt:bool>
  </property>
  <property fmtid="{D5CDD505-2E9C-101B-9397-08002B2CF9AE}" pid="5" name="Division">
    <vt:lpwstr>11;#Community Services|c23dee46-a4de-4c29-8bbc-79830d9e7d7c</vt:lpwstr>
  </property>
</Properties>
</file>