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weiner\Downloads\"/>
    </mc:Choice>
  </mc:AlternateContent>
  <bookViews>
    <workbookView xWindow="0" yWindow="0" windowWidth="38400" windowHeight="12300" tabRatio="780"/>
  </bookViews>
  <sheets>
    <sheet name="D1. Member Months" sheetId="1" r:id="rId1"/>
    <sheet name="D2.S Services in Waiver Cost" sheetId="2" r:id="rId2"/>
    <sheet name="D2.A Admin in Waiver Cost" sheetId="8" r:id="rId3"/>
    <sheet name="D3. Actual Waiver Cost" sheetId="3" r:id="rId4"/>
    <sheet name="D4. Adjustments in Projection" sheetId="4" r:id="rId5"/>
    <sheet name="D5. Waiver Cost Projection" sheetId="5" r:id="rId6"/>
    <sheet name="D6. RO Targets" sheetId="6" r:id="rId7"/>
    <sheet name="D7. Summary" sheetId="7" r:id="rId8"/>
    <sheet name="Trend" sheetId="11" r:id="rId9"/>
    <sheet name="ESRI_MAPINFO_SHEET" sheetId="10" state="veryHidden" r:id="rId10"/>
  </sheets>
  <externalReferences>
    <externalReference r:id="rId11"/>
  </externalReferences>
  <definedNames>
    <definedName name="_xlnm.Print_Area" localSheetId="1">'D2.S Services in Waiver Cost'!$A$2:$K$42</definedName>
    <definedName name="_xlnm.Print_Area" localSheetId="3">'D3. Actual Waiver Cost'!$A$2:$O$51</definedName>
    <definedName name="_xlnm.Print_Area" localSheetId="5">'D5. Waiver Cost Projection'!$A$1:$AB$98</definedName>
    <definedName name="_xlnm.Print_Area" localSheetId="6">'D6. RO Targets'!$A$1:$AI$155</definedName>
    <definedName name="_xlnm.Print_Area" localSheetId="7">'D7. Summary'!$A$1:$O$150</definedName>
    <definedName name="_xlnm.Print_Titles" localSheetId="1">'D2.S Services in Waiver Cost'!$A:$D,'D2.S Services in Waiver Cost'!$2:$2</definedName>
    <definedName name="_xlnm.Print_Titles" localSheetId="3">'D3. Actual Waiver Cost'!$A:$C,'D3. Actual Waiver Cost'!$2:$4</definedName>
    <definedName name="_xlnm.Print_Titles" localSheetId="5">'D5. Waiver Cost Projection'!$A:$B,'D5. Waiver Cost Projection'!$1:$3</definedName>
    <definedName name="_xlnm.Print_Titles" localSheetId="6">'D6. RO Targets'!$1:$3</definedName>
    <definedName name="_xlnm.Print_Titles" localSheetId="7">'D7. Summary'!$A:$C,'D7. Summary'!$1:$3</definedName>
    <definedName name="TitleRegion1.b8.f36.3">'D2.A Admin in Waiver Cost'!$B$8:$F$36</definedName>
    <definedName name="TitleRegion1.b9.d15.4">'D4. Adjustments in Projection'!$B$9:$D$15</definedName>
    <definedName name="Z_12599F2F_0B91_11D7_BEB7_000629BE218C_.wvu.PrintArea" localSheetId="5" hidden="1">'D5. Waiver Cost Projection'!$A$1:$AB$44</definedName>
    <definedName name="Z_2CDD54E7_0D43_43D8_97AB_3E3C5310036F_.wvu.PrintArea" localSheetId="1" hidden="1">'D2.S Services in Waiver Cost'!$A$2:$K$48</definedName>
    <definedName name="Z_2CDD54E7_0D43_43D8_97AB_3E3C5310036F_.wvu.PrintArea" localSheetId="3" hidden="1">'D3. Actual Waiver Cost'!$A$2:$O$51</definedName>
    <definedName name="Z_2CDD54E7_0D43_43D8_97AB_3E3C5310036F_.wvu.PrintArea" localSheetId="5" hidden="1">'D5. Waiver Cost Projection'!$A$1:$AB$46</definedName>
    <definedName name="Z_2CDD54E7_0D43_43D8_97AB_3E3C5310036F_.wvu.PrintArea" localSheetId="7" hidden="1">'D7. Summary'!$A$1:$R$76</definedName>
    <definedName name="Z_2CDD54E7_0D43_43D8_97AB_3E3C5310036F_.wvu.PrintTitles" localSheetId="1" hidden="1">'D2.S Services in Waiver Cost'!$A:$D,'D2.S Services in Waiver Cost'!$2:$2</definedName>
    <definedName name="Z_2CDD54E7_0D43_43D8_97AB_3E3C5310036F_.wvu.PrintTitles" localSheetId="3" hidden="1">'D3. Actual Waiver Cost'!$A:$C,'D3. Actual Waiver Cost'!$2:$4</definedName>
    <definedName name="Z_2CDD54E7_0D43_43D8_97AB_3E3C5310036F_.wvu.PrintTitles" localSheetId="5" hidden="1">'D5. Waiver Cost Projection'!$A:$B,'D5. Waiver Cost Projection'!$1:$3</definedName>
    <definedName name="Z_2CDD54E7_0D43_43D8_97AB_3E3C5310036F_.wvu.PrintTitles" localSheetId="6" hidden="1">'D6. RO Targets'!$A:$C,'D6. RO Targets'!$1:$3</definedName>
    <definedName name="Z_2CDD54E7_0D43_43D8_97AB_3E3C5310036F_.wvu.PrintTitles" localSheetId="7" hidden="1">'D7. Summary'!$A:$C,'D7. Summary'!$1:$3</definedName>
    <definedName name="Z_7D0B3912_65FA_42B8_B35F_0FF40989CBC0_.wvu.PrintArea" localSheetId="1" hidden="1">'D2.S Services in Waiver Cost'!$A$2:$K$48</definedName>
    <definedName name="Z_7D0B3912_65FA_42B8_B35F_0FF40989CBC0_.wvu.PrintArea" localSheetId="3" hidden="1">'D3. Actual Waiver Cost'!$A$2:$O$51</definedName>
    <definedName name="Z_7D0B3912_65FA_42B8_B35F_0FF40989CBC0_.wvu.PrintArea" localSheetId="5" hidden="1">'D5. Waiver Cost Projection'!$A$1:$AB$46</definedName>
    <definedName name="Z_7D0B3912_65FA_42B8_B35F_0FF40989CBC0_.wvu.PrintArea" localSheetId="7" hidden="1">'D7. Summary'!$A$1:$R$76</definedName>
    <definedName name="Z_7D0B3912_65FA_42B8_B35F_0FF40989CBC0_.wvu.PrintTitles" localSheetId="1" hidden="1">'D2.S Services in Waiver Cost'!$A:$D,'D2.S Services in Waiver Cost'!$2:$2</definedName>
    <definedName name="Z_7D0B3912_65FA_42B8_B35F_0FF40989CBC0_.wvu.PrintTitles" localSheetId="3" hidden="1">'D3. Actual Waiver Cost'!$A:$C,'D3. Actual Waiver Cost'!$2:$4</definedName>
    <definedName name="Z_7D0B3912_65FA_42B8_B35F_0FF40989CBC0_.wvu.PrintTitles" localSheetId="5" hidden="1">'D5. Waiver Cost Projection'!$A:$B,'D5. Waiver Cost Projection'!$1:$3</definedName>
    <definedName name="Z_7D0B3912_65FA_42B8_B35F_0FF40989CBC0_.wvu.PrintTitles" localSheetId="6" hidden="1">'D6. RO Targets'!$A:$C,'D6. RO Targets'!$1:$3</definedName>
    <definedName name="Z_7D0B3912_65FA_42B8_B35F_0FF40989CBC0_.wvu.PrintTitles" localSheetId="7" hidden="1">'D7. Summary'!$A:$C,'D7. Summary'!$1:$3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8" l="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 i="8"/>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D15" i="3" l="1"/>
  <c r="D16" i="3"/>
  <c r="D17" i="3"/>
  <c r="D18" i="3"/>
  <c r="D19" i="3"/>
  <c r="D20" i="3"/>
  <c r="D37" i="3" s="1"/>
  <c r="D21" i="3"/>
  <c r="D14" i="3"/>
  <c r="D31" i="3" s="1"/>
  <c r="F31" i="3" s="1"/>
  <c r="Y96" i="5"/>
  <c r="Y95" i="5"/>
  <c r="Y94" i="5"/>
  <c r="Y93" i="5"/>
  <c r="Y92" i="5"/>
  <c r="Y89" i="5"/>
  <c r="Y77" i="5"/>
  <c r="Y76" i="5"/>
  <c r="Y75" i="5"/>
  <c r="Y74" i="5"/>
  <c r="Y73" i="5"/>
  <c r="Y70" i="5"/>
  <c r="Y58" i="5"/>
  <c r="Y57" i="5"/>
  <c r="Y56" i="5"/>
  <c r="Y55" i="5"/>
  <c r="Y54" i="5"/>
  <c r="Y51" i="5"/>
  <c r="Y36" i="5"/>
  <c r="Y37" i="5"/>
  <c r="Y38" i="5"/>
  <c r="Y39" i="5"/>
  <c r="Y35" i="5"/>
  <c r="Y32" i="5"/>
  <c r="Y14" i="5"/>
  <c r="Y15" i="5"/>
  <c r="Y16" i="5"/>
  <c r="Y17" i="5"/>
  <c r="Y18" i="5"/>
  <c r="Y19" i="5"/>
  <c r="Y20" i="5"/>
  <c r="Y13" i="5"/>
  <c r="L90" i="5"/>
  <c r="L91" i="5"/>
  <c r="L71" i="5"/>
  <c r="L72" i="5"/>
  <c r="L52" i="5"/>
  <c r="L53" i="5"/>
  <c r="L33" i="5"/>
  <c r="L34" i="5"/>
  <c r="J14" i="5"/>
  <c r="J15" i="5"/>
  <c r="J16" i="5"/>
  <c r="J17" i="5"/>
  <c r="J18" i="5"/>
  <c r="J19" i="5"/>
  <c r="J20" i="5"/>
  <c r="J13" i="5"/>
  <c r="T9" i="1"/>
  <c r="T15" i="1"/>
  <c r="T8" i="1"/>
  <c r="J39" i="5"/>
  <c r="J77" i="5"/>
  <c r="C56" i="6"/>
  <c r="C57" i="6"/>
  <c r="J96" i="5"/>
  <c r="J95" i="5"/>
  <c r="J94" i="5"/>
  <c r="J93" i="5"/>
  <c r="J92" i="5"/>
  <c r="J89" i="5"/>
  <c r="J76" i="5"/>
  <c r="J75" i="5"/>
  <c r="J74" i="5"/>
  <c r="J73" i="5"/>
  <c r="J70" i="5"/>
  <c r="J58" i="5"/>
  <c r="J57" i="5"/>
  <c r="J56" i="5"/>
  <c r="J55" i="5"/>
  <c r="J54" i="5"/>
  <c r="J51" i="5"/>
  <c r="J35" i="5"/>
  <c r="J36" i="5"/>
  <c r="J37" i="5"/>
  <c r="J38" i="5"/>
  <c r="J32" i="5"/>
  <c r="H32" i="3"/>
  <c r="H33" i="3"/>
  <c r="H34" i="3"/>
  <c r="H39" i="3" s="1"/>
  <c r="H35" i="3"/>
  <c r="H36" i="3"/>
  <c r="H37" i="3"/>
  <c r="H38" i="3"/>
  <c r="H31" i="3"/>
  <c r="E32" i="3"/>
  <c r="E33" i="3"/>
  <c r="E34" i="3"/>
  <c r="E35" i="3"/>
  <c r="E36" i="3"/>
  <c r="E37" i="3"/>
  <c r="E38" i="3"/>
  <c r="E31" i="3"/>
  <c r="Z40" i="5"/>
  <c r="AA40" i="5" s="1"/>
  <c r="K11" i="1"/>
  <c r="F56" i="6" s="1"/>
  <c r="K12" i="1"/>
  <c r="F57" i="6" s="1"/>
  <c r="D11" i="1"/>
  <c r="F12" i="1"/>
  <c r="F27" i="6"/>
  <c r="C17" i="3"/>
  <c r="C16" i="7"/>
  <c r="F15" i="1"/>
  <c r="F30" i="6" s="1"/>
  <c r="G16" i="1"/>
  <c r="A4" i="4"/>
  <c r="A5" i="4" s="1"/>
  <c r="A6" i="4" s="1"/>
  <c r="A7" i="4" s="1"/>
  <c r="A8" i="4" s="1"/>
  <c r="A9" i="4" s="1"/>
  <c r="A10" i="4" s="1"/>
  <c r="A11" i="4" s="1"/>
  <c r="A12" i="4" s="1"/>
  <c r="A13" i="4" s="1"/>
  <c r="A14" i="4" s="1"/>
  <c r="A15" i="4" s="1"/>
  <c r="A16" i="4" s="1"/>
  <c r="A17" i="4" s="1"/>
  <c r="Z146" i="6"/>
  <c r="AC146" i="6"/>
  <c r="AF146" i="6"/>
  <c r="AI146" i="6"/>
  <c r="Z147" i="6"/>
  <c r="AC147" i="6"/>
  <c r="AF147" i="6"/>
  <c r="AI147" i="6"/>
  <c r="Z148" i="6"/>
  <c r="AC148" i="6"/>
  <c r="AF148" i="6"/>
  <c r="AI148" i="6"/>
  <c r="Z149" i="6"/>
  <c r="AC149" i="6"/>
  <c r="AF149" i="6"/>
  <c r="AI149" i="6"/>
  <c r="Z150" i="6"/>
  <c r="AC150" i="6"/>
  <c r="AF150" i="6"/>
  <c r="AI150" i="6"/>
  <c r="Z152" i="6"/>
  <c r="AC152" i="6"/>
  <c r="AF152" i="6"/>
  <c r="AI152" i="6"/>
  <c r="Z116" i="6"/>
  <c r="AC116" i="6"/>
  <c r="AF116" i="6"/>
  <c r="AI116" i="6"/>
  <c r="Z117" i="6"/>
  <c r="AC117" i="6"/>
  <c r="AF117" i="6"/>
  <c r="AI117" i="6"/>
  <c r="Z118" i="6"/>
  <c r="AC118" i="6"/>
  <c r="AF118" i="6"/>
  <c r="AI118" i="6"/>
  <c r="Z119" i="6"/>
  <c r="AC119" i="6"/>
  <c r="AF119" i="6"/>
  <c r="AI119" i="6"/>
  <c r="Z120" i="6"/>
  <c r="AC120" i="6"/>
  <c r="AF120" i="6"/>
  <c r="AI120" i="6"/>
  <c r="Z122" i="6"/>
  <c r="AC122" i="6"/>
  <c r="AF122" i="6"/>
  <c r="AI122" i="6"/>
  <c r="Z86" i="6"/>
  <c r="AC86" i="6"/>
  <c r="AF86" i="6"/>
  <c r="AI86" i="6"/>
  <c r="Z87" i="6"/>
  <c r="AC87" i="6"/>
  <c r="AF87" i="6"/>
  <c r="AI87" i="6"/>
  <c r="Z88" i="6"/>
  <c r="AC88" i="6"/>
  <c r="AF88" i="6"/>
  <c r="AI88" i="6"/>
  <c r="Z89" i="6"/>
  <c r="AC89" i="6"/>
  <c r="AF89" i="6"/>
  <c r="AI89" i="6"/>
  <c r="Z90" i="6"/>
  <c r="AC90" i="6"/>
  <c r="AF90" i="6"/>
  <c r="AI90" i="6"/>
  <c r="Z92" i="6"/>
  <c r="AC92" i="6"/>
  <c r="AF92" i="6"/>
  <c r="AI92" i="6"/>
  <c r="Z93" i="6"/>
  <c r="AC93" i="6"/>
  <c r="AF93" i="6"/>
  <c r="AI93" i="6"/>
  <c r="Z56" i="6"/>
  <c r="AC56" i="6"/>
  <c r="AF56" i="6"/>
  <c r="AI56" i="6"/>
  <c r="Z57" i="6"/>
  <c r="AC57" i="6"/>
  <c r="AF57" i="6"/>
  <c r="AI57" i="6"/>
  <c r="Z58" i="6"/>
  <c r="AC58" i="6"/>
  <c r="AF58" i="6"/>
  <c r="AI58" i="6"/>
  <c r="Z59" i="6"/>
  <c r="AC59" i="6"/>
  <c r="AF59" i="6"/>
  <c r="AI59" i="6"/>
  <c r="Z60" i="6"/>
  <c r="AC60" i="6"/>
  <c r="AF60" i="6"/>
  <c r="AI60" i="6"/>
  <c r="Z62" i="6"/>
  <c r="AC62" i="6"/>
  <c r="AF62" i="6"/>
  <c r="AI62" i="6"/>
  <c r="Z63" i="6"/>
  <c r="AC63" i="6"/>
  <c r="AF63" i="6"/>
  <c r="AI63" i="6"/>
  <c r="AC26" i="6"/>
  <c r="AF26" i="6"/>
  <c r="AI26" i="6"/>
  <c r="AC27" i="6"/>
  <c r="AF27" i="6"/>
  <c r="AI27" i="6"/>
  <c r="AC28" i="6"/>
  <c r="AF28" i="6"/>
  <c r="AI28" i="6"/>
  <c r="AC29" i="6"/>
  <c r="AF29" i="6"/>
  <c r="AI29" i="6"/>
  <c r="AC30" i="6"/>
  <c r="AF30" i="6"/>
  <c r="AI30" i="6"/>
  <c r="AC32" i="6"/>
  <c r="AF32" i="6"/>
  <c r="AI32" i="6"/>
  <c r="AC33" i="6"/>
  <c r="AF33" i="6"/>
  <c r="AI33" i="6"/>
  <c r="Z26" i="6"/>
  <c r="Z27" i="6"/>
  <c r="Z28" i="6"/>
  <c r="Z29" i="6"/>
  <c r="Z30" i="6"/>
  <c r="Z32" i="6"/>
  <c r="Z33" i="6"/>
  <c r="F36" i="8"/>
  <c r="T18" i="1"/>
  <c r="T17" i="1"/>
  <c r="T13" i="1"/>
  <c r="T10" i="1"/>
  <c r="U144" i="6"/>
  <c r="AG144" i="6" s="1"/>
  <c r="U114" i="6"/>
  <c r="AG114" i="6" s="1"/>
  <c r="U84" i="6"/>
  <c r="AG84" i="6" s="1"/>
  <c r="H39" i="1"/>
  <c r="I39" i="1"/>
  <c r="J39" i="1" s="1"/>
  <c r="M39" i="1"/>
  <c r="N39" i="1" s="1"/>
  <c r="R144" i="6" s="1"/>
  <c r="X144" i="6" s="1"/>
  <c r="C39" i="1"/>
  <c r="D39" i="1" s="1"/>
  <c r="S140" i="6"/>
  <c r="Q140" i="6"/>
  <c r="S110" i="6"/>
  <c r="Q110" i="6"/>
  <c r="S80" i="6"/>
  <c r="Q80" i="6"/>
  <c r="AI153" i="6"/>
  <c r="AF153" i="6"/>
  <c r="AC153" i="6"/>
  <c r="Z153" i="6"/>
  <c r="AI145" i="6"/>
  <c r="AF145" i="6"/>
  <c r="AC145" i="6"/>
  <c r="Z145" i="6"/>
  <c r="V140" i="6"/>
  <c r="V126" i="6"/>
  <c r="AI123" i="6"/>
  <c r="AF123" i="6"/>
  <c r="AC123" i="6"/>
  <c r="Z123" i="6"/>
  <c r="AI115" i="6"/>
  <c r="AF115" i="6"/>
  <c r="AC115" i="6"/>
  <c r="Z115" i="6"/>
  <c r="V110" i="6"/>
  <c r="V96" i="6"/>
  <c r="AI85" i="6"/>
  <c r="AF85" i="6"/>
  <c r="AC85" i="6"/>
  <c r="Z85" i="6"/>
  <c r="V80" i="6"/>
  <c r="V66" i="6"/>
  <c r="S50" i="6"/>
  <c r="Q50" i="6"/>
  <c r="U24" i="6"/>
  <c r="AG24" i="6"/>
  <c r="U54" i="6"/>
  <c r="AG54" i="6" s="1"/>
  <c r="J9" i="1"/>
  <c r="K9" i="1"/>
  <c r="R54" i="6" s="1"/>
  <c r="X54" i="6" s="1"/>
  <c r="D9" i="1"/>
  <c r="C9" i="1"/>
  <c r="E3" i="7"/>
  <c r="AA3" i="6"/>
  <c r="S3" i="6"/>
  <c r="H3" i="6"/>
  <c r="S20" i="6"/>
  <c r="Q20" i="6"/>
  <c r="W3" i="5"/>
  <c r="H3" i="5"/>
  <c r="D4" i="4"/>
  <c r="M4" i="3"/>
  <c r="F4" i="3"/>
  <c r="E4" i="8"/>
  <c r="F4" i="2"/>
  <c r="H22" i="3"/>
  <c r="G22" i="3"/>
  <c r="E22" i="3"/>
  <c r="G39" i="3"/>
  <c r="V50" i="6"/>
  <c r="V36" i="6"/>
  <c r="V20" i="6"/>
  <c r="V6" i="6"/>
  <c r="AI55" i="6"/>
  <c r="AF55" i="6"/>
  <c r="AC55" i="6"/>
  <c r="Z55" i="6"/>
  <c r="AI25" i="6"/>
  <c r="AF25" i="6"/>
  <c r="AC25" i="6"/>
  <c r="Z25" i="6"/>
  <c r="G9" i="1"/>
  <c r="H9" i="1" s="1"/>
  <c r="T24" i="6" s="1"/>
  <c r="AD24" i="6" s="1"/>
  <c r="R24" i="6"/>
  <c r="X24" i="6" s="1"/>
  <c r="D12" i="1"/>
  <c r="C33" i="3" s="1"/>
  <c r="D14" i="1"/>
  <c r="C32" i="7" s="1"/>
  <c r="G14" i="1"/>
  <c r="I29" i="6" s="1"/>
  <c r="C19" i="3"/>
  <c r="C17" i="7"/>
  <c r="H12" i="1"/>
  <c r="E14" i="1"/>
  <c r="C29" i="6" s="1"/>
  <c r="H14" i="1"/>
  <c r="J14" i="1" s="1"/>
  <c r="C59" i="6" s="1"/>
  <c r="C14" i="7"/>
  <c r="F14" i="1"/>
  <c r="F29" i="6" s="1"/>
  <c r="C18" i="3"/>
  <c r="C30" i="7"/>
  <c r="E12" i="1"/>
  <c r="C27" i="6" s="1"/>
  <c r="H16" i="1"/>
  <c r="L31" i="6" s="1"/>
  <c r="J16" i="1"/>
  <c r="C20" i="3"/>
  <c r="M20" i="3" s="1"/>
  <c r="D16" i="1"/>
  <c r="C95" i="5" s="1"/>
  <c r="F11" i="1"/>
  <c r="F26" i="6" s="1"/>
  <c r="G10" i="1"/>
  <c r="I10" i="1" s="1"/>
  <c r="F10" i="1"/>
  <c r="H10" i="1"/>
  <c r="J10" i="1" s="1"/>
  <c r="C55" i="6" s="1"/>
  <c r="E10" i="1"/>
  <c r="C12" i="7"/>
  <c r="C14" i="3"/>
  <c r="L14" i="3" s="1"/>
  <c r="E12" i="7" s="1"/>
  <c r="D10" i="1"/>
  <c r="C70" i="5" s="1"/>
  <c r="E15" i="1"/>
  <c r="G15" i="1"/>
  <c r="I30" i="6" s="1"/>
  <c r="C25" i="6"/>
  <c r="C55" i="5"/>
  <c r="C74" i="5"/>
  <c r="C93" i="5"/>
  <c r="C17" i="5"/>
  <c r="C38" i="5"/>
  <c r="D17" i="1"/>
  <c r="C21" i="3"/>
  <c r="L21" i="3" s="1"/>
  <c r="E19" i="7" s="1"/>
  <c r="H17" i="1"/>
  <c r="C18" i="7"/>
  <c r="F16" i="1"/>
  <c r="E16" i="1"/>
  <c r="C16" i="3"/>
  <c r="G12" i="1"/>
  <c r="I27" i="6" s="1"/>
  <c r="C14" i="5"/>
  <c r="O39" i="1"/>
  <c r="L29" i="6"/>
  <c r="I14" i="1"/>
  <c r="C53" i="7" s="1"/>
  <c r="R114" i="6"/>
  <c r="X114" i="6" s="1"/>
  <c r="C77" i="5"/>
  <c r="C32" i="5"/>
  <c r="C89" i="5"/>
  <c r="L25" i="6"/>
  <c r="L9" i="1"/>
  <c r="S54" i="6" s="1"/>
  <c r="AA54" i="6" s="1"/>
  <c r="I31" i="6"/>
  <c r="L32" i="6"/>
  <c r="E11" i="1"/>
  <c r="F13" i="1"/>
  <c r="F28" i="6" s="1"/>
  <c r="D15" i="1"/>
  <c r="G17" i="1"/>
  <c r="C19" i="7"/>
  <c r="H15" i="1"/>
  <c r="L30" i="6" s="1"/>
  <c r="C18" i="1"/>
  <c r="C20" i="7" s="1"/>
  <c r="C15" i="5"/>
  <c r="C15" i="3"/>
  <c r="L15" i="3" s="1"/>
  <c r="E13" i="7" s="1"/>
  <c r="C13" i="7"/>
  <c r="G11" i="1"/>
  <c r="I26" i="6" s="1"/>
  <c r="G13" i="1"/>
  <c r="H13" i="1"/>
  <c r="J13" i="1" s="1"/>
  <c r="F17" i="1"/>
  <c r="F32" i="6" s="1"/>
  <c r="H11" i="1"/>
  <c r="L26" i="6" s="1"/>
  <c r="T21" i="1"/>
  <c r="T22" i="1" s="1"/>
  <c r="T23" i="1"/>
  <c r="T24" i="1" s="1"/>
  <c r="E13" i="1"/>
  <c r="C28" i="6" s="1"/>
  <c r="D13" i="1"/>
  <c r="C92" i="5" s="1"/>
  <c r="E17" i="1"/>
  <c r="C32" i="6" s="1"/>
  <c r="C15" i="7"/>
  <c r="M21" i="3"/>
  <c r="F19" i="7" s="1"/>
  <c r="C35" i="5"/>
  <c r="C34" i="3"/>
  <c r="L34" i="3" s="1"/>
  <c r="L28" i="6"/>
  <c r="C26" i="6"/>
  <c r="M9" i="1"/>
  <c r="T54" i="6" s="1"/>
  <c r="AD54" i="6" s="1"/>
  <c r="C33" i="7"/>
  <c r="C75" i="5"/>
  <c r="C37" i="5"/>
  <c r="I28" i="6"/>
  <c r="M15" i="3"/>
  <c r="F13" i="7" s="1"/>
  <c r="J15" i="1"/>
  <c r="C60" i="6" s="1"/>
  <c r="I12" i="1"/>
  <c r="L27" i="6"/>
  <c r="H18" i="1"/>
  <c r="K14" i="1"/>
  <c r="F59" i="6" s="1"/>
  <c r="I32" i="6"/>
  <c r="F31" i="6"/>
  <c r="C58" i="5"/>
  <c r="C35" i="7"/>
  <c r="C96" i="5"/>
  <c r="C39" i="5"/>
  <c r="C30" i="6"/>
  <c r="L20" i="3"/>
  <c r="E18" i="7" s="1"/>
  <c r="F18" i="7"/>
  <c r="L19" i="3"/>
  <c r="E17" i="7" s="1"/>
  <c r="M19" i="3"/>
  <c r="F17" i="7" s="1"/>
  <c r="C32" i="3"/>
  <c r="L32" i="3" s="1"/>
  <c r="E14" i="5" s="1"/>
  <c r="P14" i="5" s="1"/>
  <c r="R14" i="5" s="1"/>
  <c r="C29" i="7"/>
  <c r="C31" i="6"/>
  <c r="I16" i="1"/>
  <c r="C16" i="6" s="1"/>
  <c r="L14" i="1"/>
  <c r="M14" i="1" s="1"/>
  <c r="C44" i="1" s="1"/>
  <c r="C55" i="7"/>
  <c r="C12" i="6"/>
  <c r="C51" i="7"/>
  <c r="K15" i="1"/>
  <c r="L15" i="1" s="1"/>
  <c r="E29" i="7"/>
  <c r="L59" i="6"/>
  <c r="D44" i="1"/>
  <c r="E44" i="1" s="1"/>
  <c r="F15" i="3"/>
  <c r="K15" i="3" s="1"/>
  <c r="D13" i="7" s="1"/>
  <c r="D32" i="3"/>
  <c r="F32" i="3" s="1"/>
  <c r="D33" i="3"/>
  <c r="F33" i="3" s="1"/>
  <c r="F16" i="3"/>
  <c r="K16" i="3" s="1"/>
  <c r="D14" i="7" s="1"/>
  <c r="F20" i="3"/>
  <c r="K20" i="3" s="1"/>
  <c r="D18" i="7" s="1"/>
  <c r="D36" i="3"/>
  <c r="F36" i="3" s="1"/>
  <c r="F19" i="3"/>
  <c r="L20" i="5"/>
  <c r="L15" i="5"/>
  <c r="L14" i="5"/>
  <c r="L18" i="5"/>
  <c r="L13" i="5"/>
  <c r="L19" i="5"/>
  <c r="L17" i="5"/>
  <c r="L16" i="5"/>
  <c r="F18" i="3"/>
  <c r="D35" i="3"/>
  <c r="F35" i="3"/>
  <c r="F17" i="3"/>
  <c r="K17" i="3" s="1"/>
  <c r="D15" i="7" s="1"/>
  <c r="D34" i="3"/>
  <c r="F34" i="3" s="1"/>
  <c r="K34" i="3" s="1"/>
  <c r="D16" i="5" s="1"/>
  <c r="I16" i="5" s="1"/>
  <c r="K16" i="5" s="1"/>
  <c r="L37" i="5"/>
  <c r="L36" i="5"/>
  <c r="L35" i="5"/>
  <c r="L56" i="5"/>
  <c r="L39" i="5"/>
  <c r="L38" i="5"/>
  <c r="L32" i="5"/>
  <c r="L55" i="5"/>
  <c r="L54" i="5"/>
  <c r="L75" i="5"/>
  <c r="L58" i="5"/>
  <c r="L57" i="5"/>
  <c r="L74" i="5"/>
  <c r="L73" i="5"/>
  <c r="L51" i="5"/>
  <c r="L94" i="5"/>
  <c r="L77" i="5"/>
  <c r="L76" i="5"/>
  <c r="L93" i="5"/>
  <c r="L92" i="5"/>
  <c r="L96" i="5"/>
  <c r="L70" i="5"/>
  <c r="L95" i="5"/>
  <c r="L89" i="5"/>
  <c r="M15" i="1" l="1"/>
  <c r="I60" i="6"/>
  <c r="C10" i="6"/>
  <c r="C49" i="7"/>
  <c r="E39" i="1"/>
  <c r="R84" i="6"/>
  <c r="X84" i="6" s="1"/>
  <c r="F44" i="1"/>
  <c r="I89" i="6"/>
  <c r="L33" i="3"/>
  <c r="M33" i="3"/>
  <c r="F30" i="7" s="1"/>
  <c r="F14" i="3"/>
  <c r="F89" i="6"/>
  <c r="C54" i="5"/>
  <c r="M14" i="3"/>
  <c r="F12" i="7" s="1"/>
  <c r="L11" i="1"/>
  <c r="I59" i="6"/>
  <c r="I17" i="1"/>
  <c r="C14" i="6"/>
  <c r="S24" i="6"/>
  <c r="AA24" i="6" s="1"/>
  <c r="F60" i="6"/>
  <c r="I15" i="1"/>
  <c r="K33" i="3"/>
  <c r="D15" i="5" s="1"/>
  <c r="I15" i="5" s="1"/>
  <c r="K18" i="3"/>
  <c r="D16" i="7" s="1"/>
  <c r="K32" i="3"/>
  <c r="D29" i="7" s="1"/>
  <c r="C33" i="6"/>
  <c r="G18" i="1"/>
  <c r="H19" i="1" s="1"/>
  <c r="C36" i="5"/>
  <c r="I25" i="6"/>
  <c r="I33" i="6" s="1"/>
  <c r="C57" i="5"/>
  <c r="C13" i="5"/>
  <c r="I13" i="1"/>
  <c r="D31" i="7"/>
  <c r="M32" i="3"/>
  <c r="C31" i="7"/>
  <c r="C19" i="5"/>
  <c r="J17" i="1"/>
  <c r="F37" i="3"/>
  <c r="F15" i="5"/>
  <c r="T15" i="5" s="1"/>
  <c r="V15" i="5" s="1"/>
  <c r="E39" i="3"/>
  <c r="M16" i="5"/>
  <c r="N16" i="5" s="1"/>
  <c r="O16" i="5" s="1"/>
  <c r="K19" i="3"/>
  <c r="D17" i="7" s="1"/>
  <c r="N11" i="1"/>
  <c r="I56" i="6"/>
  <c r="M11" i="1"/>
  <c r="D30" i="7"/>
  <c r="K14" i="3"/>
  <c r="D12" i="7" s="1"/>
  <c r="D22" i="3"/>
  <c r="D38" i="3"/>
  <c r="F38" i="3" s="1"/>
  <c r="M17" i="3"/>
  <c r="F15" i="7" s="1"/>
  <c r="L17" i="3"/>
  <c r="E15" i="7" s="1"/>
  <c r="E21" i="7" s="1"/>
  <c r="D14" i="5"/>
  <c r="I14" i="5" s="1"/>
  <c r="F21" i="3"/>
  <c r="I21" i="3"/>
  <c r="W15" i="5"/>
  <c r="C58" i="6"/>
  <c r="K13" i="1"/>
  <c r="E16" i="5"/>
  <c r="P16" i="5" s="1"/>
  <c r="E31" i="7"/>
  <c r="L18" i="3"/>
  <c r="E16" i="7" s="1"/>
  <c r="M18" i="3"/>
  <c r="F16" i="7" s="1"/>
  <c r="M21" i="7"/>
  <c r="N21" i="7"/>
  <c r="S14" i="5"/>
  <c r="N15" i="1"/>
  <c r="G44" i="1"/>
  <c r="C89" i="6"/>
  <c r="N14" i="1"/>
  <c r="L16" i="3"/>
  <c r="E14" i="7" s="1"/>
  <c r="M16" i="3"/>
  <c r="F14" i="7" s="1"/>
  <c r="F21" i="7" s="1"/>
  <c r="C22" i="3"/>
  <c r="C20" i="5"/>
  <c r="C38" i="3"/>
  <c r="L33" i="6"/>
  <c r="P39" i="1"/>
  <c r="T144" i="6" s="1"/>
  <c r="AD144" i="6" s="1"/>
  <c r="S144" i="6"/>
  <c r="AA144" i="6" s="1"/>
  <c r="C61" i="6"/>
  <c r="K16" i="1"/>
  <c r="T28" i="1"/>
  <c r="T29" i="1" s="1"/>
  <c r="K21" i="7"/>
  <c r="O21" i="7"/>
  <c r="O22" i="7" s="1"/>
  <c r="L21" i="7"/>
  <c r="C56" i="5"/>
  <c r="C18" i="5"/>
  <c r="C36" i="3"/>
  <c r="C94" i="5"/>
  <c r="C97" i="5" s="1"/>
  <c r="C40" i="5"/>
  <c r="K10" i="1"/>
  <c r="J18" i="1"/>
  <c r="J19" i="1" s="1"/>
  <c r="S114" i="6"/>
  <c r="AA114" i="6" s="1"/>
  <c r="K39" i="1"/>
  <c r="T114" i="6" s="1"/>
  <c r="AD114" i="6" s="1"/>
  <c r="T31" i="1"/>
  <c r="T32" i="1" s="1"/>
  <c r="T19" i="1"/>
  <c r="T20" i="1" s="1"/>
  <c r="I11" i="1"/>
  <c r="E18" i="1"/>
  <c r="C51" i="5"/>
  <c r="C31" i="3"/>
  <c r="D18" i="1"/>
  <c r="C28" i="7"/>
  <c r="F18" i="1"/>
  <c r="F25" i="6"/>
  <c r="C37" i="3"/>
  <c r="C76" i="5"/>
  <c r="L12" i="1"/>
  <c r="M34" i="3"/>
  <c r="C73" i="5"/>
  <c r="C78" i="5" s="1"/>
  <c r="C34" i="7"/>
  <c r="C16" i="5"/>
  <c r="C21" i="5" s="1"/>
  <c r="C35" i="3"/>
  <c r="C52" i="7" l="1"/>
  <c r="C13" i="6"/>
  <c r="L89" i="6"/>
  <c r="H44" i="1"/>
  <c r="C15" i="6"/>
  <c r="C54" i="7"/>
  <c r="C62" i="6"/>
  <c r="K17" i="1"/>
  <c r="K18" i="1" s="1"/>
  <c r="K19" i="1" s="1"/>
  <c r="F39" i="1"/>
  <c r="T84" i="6" s="1"/>
  <c r="AD84" i="6" s="1"/>
  <c r="S84" i="6"/>
  <c r="AA84" i="6" s="1"/>
  <c r="F14" i="5"/>
  <c r="T14" i="5" s="1"/>
  <c r="F29" i="7"/>
  <c r="C59" i="5"/>
  <c r="C17" i="6"/>
  <c r="C56" i="7"/>
  <c r="E30" i="7"/>
  <c r="E15" i="5"/>
  <c r="P15" i="5" s="1"/>
  <c r="C45" i="1"/>
  <c r="L60" i="6"/>
  <c r="D13" i="6"/>
  <c r="D35" i="5"/>
  <c r="I35" i="5" s="1"/>
  <c r="D52" i="7"/>
  <c r="C67" i="7"/>
  <c r="C41" i="6"/>
  <c r="F58" i="6"/>
  <c r="L13" i="1"/>
  <c r="I38" i="3"/>
  <c r="N38" i="3" s="1"/>
  <c r="N21" i="3"/>
  <c r="G19" i="7" s="1"/>
  <c r="F55" i="6"/>
  <c r="L10" i="1"/>
  <c r="L37" i="3"/>
  <c r="K37" i="3"/>
  <c r="M37" i="3"/>
  <c r="L35" i="3"/>
  <c r="M35" i="3"/>
  <c r="K35" i="3"/>
  <c r="C87" i="7"/>
  <c r="C74" i="6"/>
  <c r="J21" i="3"/>
  <c r="O21" i="3" s="1"/>
  <c r="H19" i="7" s="1"/>
  <c r="K21" i="3"/>
  <c r="D19" i="7" s="1"/>
  <c r="D21" i="7" s="1"/>
  <c r="F39" i="3"/>
  <c r="F16" i="5"/>
  <c r="T16" i="5" s="1"/>
  <c r="F31" i="7"/>
  <c r="J28" i="1"/>
  <c r="C138" i="7" s="1"/>
  <c r="C70" i="7"/>
  <c r="C44" i="6"/>
  <c r="J25" i="1"/>
  <c r="C135" i="7" s="1"/>
  <c r="C11" i="6"/>
  <c r="C18" i="6" s="1"/>
  <c r="C50" i="7"/>
  <c r="I18" i="1"/>
  <c r="D55" i="1" s="1"/>
  <c r="D54" i="1" s="1"/>
  <c r="F33" i="6"/>
  <c r="G19" i="1"/>
  <c r="F19" i="1"/>
  <c r="M36" i="3"/>
  <c r="L36" i="3"/>
  <c r="K36" i="3"/>
  <c r="F61" i="6"/>
  <c r="L16" i="1"/>
  <c r="L38" i="3"/>
  <c r="M38" i="3"/>
  <c r="K38" i="3"/>
  <c r="I16" i="3"/>
  <c r="I18" i="3"/>
  <c r="I15" i="3"/>
  <c r="I20" i="3"/>
  <c r="I14" i="3"/>
  <c r="I19" i="3"/>
  <c r="I17" i="3"/>
  <c r="L31" i="3"/>
  <c r="M31" i="3"/>
  <c r="C39" i="3"/>
  <c r="K31" i="3"/>
  <c r="C36" i="7"/>
  <c r="C71" i="7"/>
  <c r="C45" i="6"/>
  <c r="J29" i="1"/>
  <c r="C139" i="7" s="1"/>
  <c r="F22" i="3"/>
  <c r="K23" i="3" s="1"/>
  <c r="K15" i="5"/>
  <c r="M15" i="5" s="1"/>
  <c r="C63" i="6"/>
  <c r="M12" i="1"/>
  <c r="N12" i="1" s="1"/>
  <c r="I57" i="6"/>
  <c r="F34" i="5"/>
  <c r="T34" i="5" s="1"/>
  <c r="V34" i="5" s="1"/>
  <c r="W34" i="5" s="1"/>
  <c r="F51" i="7"/>
  <c r="F12" i="6"/>
  <c r="C54" i="1"/>
  <c r="C55" i="1"/>
  <c r="L23" i="3"/>
  <c r="M23" i="3"/>
  <c r="E11" i="6"/>
  <c r="E33" i="5"/>
  <c r="P33" i="5" s="1"/>
  <c r="E50" i="7"/>
  <c r="R16" i="5"/>
  <c r="S16" i="5" s="1"/>
  <c r="K14" i="5"/>
  <c r="L56" i="6"/>
  <c r="C41" i="1"/>
  <c r="D39" i="3"/>
  <c r="C119" i="6" l="1"/>
  <c r="I44" i="1"/>
  <c r="V14" i="5"/>
  <c r="W14" i="5" s="1"/>
  <c r="F62" i="6"/>
  <c r="L17" i="1"/>
  <c r="C90" i="6"/>
  <c r="D45" i="1"/>
  <c r="C57" i="7"/>
  <c r="R15" i="5"/>
  <c r="S15" i="5" s="1"/>
  <c r="J38" i="3"/>
  <c r="O38" i="3" s="1"/>
  <c r="H20" i="5" s="1"/>
  <c r="C42" i="6"/>
  <c r="C68" i="7"/>
  <c r="J26" i="1"/>
  <c r="C136" i="7" s="1"/>
  <c r="E52" i="7"/>
  <c r="E35" i="5"/>
  <c r="P35" i="5" s="1"/>
  <c r="E13" i="6"/>
  <c r="G35" i="7"/>
  <c r="G20" i="5"/>
  <c r="X20" i="5" s="1"/>
  <c r="N16" i="3"/>
  <c r="G14" i="7" s="1"/>
  <c r="J16" i="3"/>
  <c r="O16" i="3" s="1"/>
  <c r="H14" i="7" s="1"/>
  <c r="I33" i="3"/>
  <c r="E19" i="5"/>
  <c r="P19" i="5" s="1"/>
  <c r="E34" i="7"/>
  <c r="I34" i="3"/>
  <c r="N17" i="3"/>
  <c r="G15" i="7" s="1"/>
  <c r="J17" i="3"/>
  <c r="O17" i="3" s="1"/>
  <c r="H15" i="7" s="1"/>
  <c r="F35" i="7"/>
  <c r="F20" i="5"/>
  <c r="T20" i="5" s="1"/>
  <c r="E33" i="7"/>
  <c r="E18" i="5"/>
  <c r="P18" i="5" s="1"/>
  <c r="F17" i="5"/>
  <c r="T17" i="5" s="1"/>
  <c r="F32" i="7"/>
  <c r="F13" i="5"/>
  <c r="T13" i="5" s="1"/>
  <c r="F28" i="7"/>
  <c r="M14" i="5"/>
  <c r="N14" i="5" s="1"/>
  <c r="O14" i="5" s="1"/>
  <c r="L38" i="7"/>
  <c r="N38" i="7"/>
  <c r="O38" i="7"/>
  <c r="O39" i="7" s="1"/>
  <c r="O41" i="7" s="1"/>
  <c r="K38" i="7"/>
  <c r="M38" i="7"/>
  <c r="N19" i="3"/>
  <c r="G17" i="7" s="1"/>
  <c r="I36" i="3"/>
  <c r="J19" i="3"/>
  <c r="O19" i="3" s="1"/>
  <c r="H17" i="7" s="1"/>
  <c r="E20" i="5"/>
  <c r="P20" i="5" s="1"/>
  <c r="E35" i="7"/>
  <c r="F33" i="7"/>
  <c r="F18" i="5"/>
  <c r="T18" i="5" s="1"/>
  <c r="E17" i="5"/>
  <c r="P17" i="5" s="1"/>
  <c r="E32" i="7"/>
  <c r="C86" i="6"/>
  <c r="D41" i="1"/>
  <c r="I37" i="3"/>
  <c r="N20" i="3"/>
  <c r="G18" i="7" s="1"/>
  <c r="J20" i="3"/>
  <c r="O20" i="3" s="1"/>
  <c r="H18" i="7" s="1"/>
  <c r="M16" i="1"/>
  <c r="I61" i="6"/>
  <c r="F34" i="7"/>
  <c r="F19" i="5"/>
  <c r="T19" i="5" s="1"/>
  <c r="N15" i="5"/>
  <c r="O15" i="5" s="1"/>
  <c r="D28" i="7"/>
  <c r="D13" i="5"/>
  <c r="I13" i="5" s="1"/>
  <c r="N15" i="3"/>
  <c r="G13" i="7" s="1"/>
  <c r="I32" i="3"/>
  <c r="J15" i="3"/>
  <c r="O15" i="3" s="1"/>
  <c r="H13" i="7" s="1"/>
  <c r="V16" i="5"/>
  <c r="W16" i="5" s="1"/>
  <c r="M13" i="1"/>
  <c r="I58" i="6"/>
  <c r="L57" i="6"/>
  <c r="C42" i="1"/>
  <c r="I22" i="3"/>
  <c r="N23" i="3" s="1"/>
  <c r="I31" i="3"/>
  <c r="N14" i="3"/>
  <c r="G12" i="7" s="1"/>
  <c r="J14" i="3"/>
  <c r="F63" i="6"/>
  <c r="R33" i="5"/>
  <c r="S33" i="5"/>
  <c r="L40" i="3"/>
  <c r="E22" i="5" s="1"/>
  <c r="P22" i="5" s="1"/>
  <c r="M40" i="3"/>
  <c r="F22" i="5" s="1"/>
  <c r="T22" i="5" s="1"/>
  <c r="U22" i="5" s="1"/>
  <c r="J18" i="3"/>
  <c r="O18" i="3" s="1"/>
  <c r="H16" i="7" s="1"/>
  <c r="I35" i="3"/>
  <c r="N18" i="3"/>
  <c r="G16" i="7" s="1"/>
  <c r="D33" i="7"/>
  <c r="D18" i="5"/>
  <c r="I18" i="5" s="1"/>
  <c r="K40" i="3"/>
  <c r="D22" i="5" s="1"/>
  <c r="I22" i="5" s="1"/>
  <c r="D34" i="7"/>
  <c r="D19" i="5"/>
  <c r="I19" i="5" s="1"/>
  <c r="K35" i="5"/>
  <c r="M35" i="5" s="1"/>
  <c r="F42" i="6"/>
  <c r="F68" i="7"/>
  <c r="F53" i="5"/>
  <c r="T53" i="5" s="1"/>
  <c r="V53" i="5" s="1"/>
  <c r="W53" i="5" s="1"/>
  <c r="E13" i="5"/>
  <c r="P13" i="5" s="1"/>
  <c r="E28" i="7"/>
  <c r="E38" i="7" s="1"/>
  <c r="D35" i="7"/>
  <c r="D20" i="5"/>
  <c r="I20" i="5" s="1"/>
  <c r="D17" i="5"/>
  <c r="I17" i="5" s="1"/>
  <c r="D32" i="7"/>
  <c r="M10" i="1"/>
  <c r="I55" i="6"/>
  <c r="L18" i="1"/>
  <c r="L19" i="1" s="1"/>
  <c r="F11" i="6" l="1"/>
  <c r="F50" i="7"/>
  <c r="F33" i="5"/>
  <c r="T33" i="5" s="1"/>
  <c r="V33" i="5" s="1"/>
  <c r="W33" i="5" s="1"/>
  <c r="E34" i="5"/>
  <c r="P34" i="5" s="1"/>
  <c r="R34" i="5" s="1"/>
  <c r="S34" i="5" s="1"/>
  <c r="E12" i="6"/>
  <c r="E51" i="7"/>
  <c r="I62" i="6"/>
  <c r="M17" i="1"/>
  <c r="M18" i="1" s="1"/>
  <c r="M19" i="1" s="1"/>
  <c r="E45" i="1"/>
  <c r="F90" i="6"/>
  <c r="H35" i="7"/>
  <c r="I35" i="7" s="1"/>
  <c r="F119" i="6"/>
  <c r="J44" i="1"/>
  <c r="F38" i="7"/>
  <c r="D38" i="7"/>
  <c r="G21" i="7"/>
  <c r="D50" i="7"/>
  <c r="D33" i="5"/>
  <c r="I33" i="5" s="1"/>
  <c r="D11" i="6"/>
  <c r="F52" i="7"/>
  <c r="F13" i="6"/>
  <c r="F35" i="5"/>
  <c r="T35" i="5" s="1"/>
  <c r="V35" i="5" s="1"/>
  <c r="W35" i="5" s="1"/>
  <c r="F72" i="5"/>
  <c r="T72" i="5" s="1"/>
  <c r="V72" i="5" s="1"/>
  <c r="W72" i="5" s="1"/>
  <c r="F72" i="6"/>
  <c r="F85" i="7"/>
  <c r="V20" i="5"/>
  <c r="W20" i="5" s="1"/>
  <c r="R19" i="5"/>
  <c r="S19" i="5"/>
  <c r="C40" i="1"/>
  <c r="L55" i="6"/>
  <c r="N10" i="1"/>
  <c r="Q22" i="5"/>
  <c r="V18" i="5"/>
  <c r="W18" i="5" s="1"/>
  <c r="V13" i="5"/>
  <c r="W13" i="5" s="1"/>
  <c r="N33" i="3"/>
  <c r="J33" i="3"/>
  <c r="O33" i="3" s="1"/>
  <c r="J34" i="3"/>
  <c r="O34" i="3" s="1"/>
  <c r="N34" i="3"/>
  <c r="L58" i="6"/>
  <c r="C43" i="1"/>
  <c r="N13" i="1"/>
  <c r="K17" i="5"/>
  <c r="K18" i="5"/>
  <c r="M18" i="5" s="1"/>
  <c r="J22" i="3"/>
  <c r="O23" i="3" s="1"/>
  <c r="O14" i="3"/>
  <c r="H12" i="7" s="1"/>
  <c r="H21" i="7" s="1"/>
  <c r="H22" i="7" s="1"/>
  <c r="K20" i="5"/>
  <c r="E53" i="5"/>
  <c r="P53" i="5" s="1"/>
  <c r="E42" i="6"/>
  <c r="E68" i="7"/>
  <c r="D12" i="6"/>
  <c r="D34" i="5"/>
  <c r="I34" i="5" s="1"/>
  <c r="D51" i="7"/>
  <c r="R20" i="5"/>
  <c r="S20" i="5"/>
  <c r="K19" i="5"/>
  <c r="M19" i="5" s="1"/>
  <c r="I39" i="3"/>
  <c r="N40" i="3" s="1"/>
  <c r="G22" i="5" s="1"/>
  <c r="X22" i="5" s="1"/>
  <c r="J31" i="3"/>
  <c r="N31" i="3"/>
  <c r="J37" i="3"/>
  <c r="O37" i="3" s="1"/>
  <c r="N37" i="3"/>
  <c r="V17" i="5"/>
  <c r="W17" i="5" s="1"/>
  <c r="I63" i="6"/>
  <c r="J32" i="3"/>
  <c r="O32" i="3" s="1"/>
  <c r="N32" i="3"/>
  <c r="N35" i="5"/>
  <c r="O35" i="5" s="1"/>
  <c r="R17" i="5"/>
  <c r="S17" i="5" s="1"/>
  <c r="E67" i="7"/>
  <c r="E52" i="5"/>
  <c r="P52" i="5" s="1"/>
  <c r="E41" i="6"/>
  <c r="K13" i="5"/>
  <c r="M13" i="5" s="1"/>
  <c r="C46" i="1"/>
  <c r="L61" i="6"/>
  <c r="N16" i="1"/>
  <c r="J36" i="3"/>
  <c r="O36" i="3" s="1"/>
  <c r="N36" i="3"/>
  <c r="R35" i="5"/>
  <c r="S35" i="5" s="1"/>
  <c r="J35" i="3"/>
  <c r="O35" i="3" s="1"/>
  <c r="N35" i="3"/>
  <c r="E41" i="1"/>
  <c r="F86" i="6"/>
  <c r="R18" i="5"/>
  <c r="S18" i="5" s="1"/>
  <c r="R13" i="5"/>
  <c r="S13" i="5" s="1"/>
  <c r="C87" i="6"/>
  <c r="D42" i="1"/>
  <c r="V19" i="5"/>
  <c r="W19" i="5" s="1"/>
  <c r="Z20" i="5"/>
  <c r="AA20" i="5" s="1"/>
  <c r="N17" i="1" l="1"/>
  <c r="K44" i="1"/>
  <c r="I119" i="6"/>
  <c r="L62" i="6"/>
  <c r="C47" i="1"/>
  <c r="F41" i="6"/>
  <c r="F67" i="7"/>
  <c r="F52" i="5"/>
  <c r="T52" i="5" s="1"/>
  <c r="V52" i="5" s="1"/>
  <c r="W52" i="5" s="1"/>
  <c r="I90" i="6"/>
  <c r="F45" i="1"/>
  <c r="E15" i="6"/>
  <c r="E37" i="5"/>
  <c r="P37" i="5" s="1"/>
  <c r="E54" i="7"/>
  <c r="G56" i="7"/>
  <c r="G17" i="6"/>
  <c r="F49" i="7"/>
  <c r="F32" i="5"/>
  <c r="T32" i="5" s="1"/>
  <c r="V32" i="5" s="1"/>
  <c r="F10" i="6"/>
  <c r="F54" i="7"/>
  <c r="F15" i="6"/>
  <c r="F37" i="5"/>
  <c r="T37" i="5" s="1"/>
  <c r="V37" i="5" s="1"/>
  <c r="W37" i="5" s="1"/>
  <c r="F17" i="6"/>
  <c r="F56" i="7"/>
  <c r="F39" i="5"/>
  <c r="T39" i="5" s="1"/>
  <c r="V39" i="5" s="1"/>
  <c r="W39" i="5" s="1"/>
  <c r="E10" i="6"/>
  <c r="E32" i="5"/>
  <c r="P32" i="5" s="1"/>
  <c r="E49" i="7"/>
  <c r="F36" i="5"/>
  <c r="T36" i="5" s="1"/>
  <c r="V36" i="5" s="1"/>
  <c r="W36" i="5" s="1"/>
  <c r="F53" i="7"/>
  <c r="F14" i="6"/>
  <c r="E53" i="7"/>
  <c r="E36" i="5"/>
  <c r="P36" i="5" s="1"/>
  <c r="E14" i="6"/>
  <c r="F43" i="6"/>
  <c r="F54" i="5"/>
  <c r="T54" i="5" s="1"/>
  <c r="V54" i="5" s="1"/>
  <c r="W54" i="5" s="1"/>
  <c r="F69" i="7"/>
  <c r="R52" i="5"/>
  <c r="S52" i="5" s="1"/>
  <c r="E56" i="7"/>
  <c r="E17" i="6"/>
  <c r="E39" i="5"/>
  <c r="P39" i="5" s="1"/>
  <c r="C43" i="6"/>
  <c r="C69" i="7"/>
  <c r="J27" i="1"/>
  <c r="C137" i="7" s="1"/>
  <c r="H30" i="7"/>
  <c r="I30" i="7" s="1"/>
  <c r="H15" i="5"/>
  <c r="D40" i="1"/>
  <c r="C85" i="6"/>
  <c r="C48" i="1"/>
  <c r="C49" i="1" s="1"/>
  <c r="F91" i="5"/>
  <c r="T91" i="5" s="1"/>
  <c r="V91" i="5" s="1"/>
  <c r="W91" i="5" s="1"/>
  <c r="F102" i="6"/>
  <c r="F102" i="7"/>
  <c r="E43" i="6"/>
  <c r="E69" i="7"/>
  <c r="E54" i="5"/>
  <c r="P54" i="5" s="1"/>
  <c r="N19" i="5"/>
  <c r="O19" i="5" s="1"/>
  <c r="H18" i="5"/>
  <c r="H33" i="7"/>
  <c r="I33" i="7" s="1"/>
  <c r="G19" i="5"/>
  <c r="X19" i="5" s="1"/>
  <c r="G34" i="7"/>
  <c r="H19" i="5"/>
  <c r="H34" i="7"/>
  <c r="I34" i="7" s="1"/>
  <c r="N18" i="5"/>
  <c r="O18" i="5" s="1"/>
  <c r="D43" i="1"/>
  <c r="C88" i="6"/>
  <c r="G15" i="5"/>
  <c r="X15" i="5" s="1"/>
  <c r="G30" i="7"/>
  <c r="E38" i="5"/>
  <c r="P38" i="5" s="1"/>
  <c r="E55" i="7"/>
  <c r="E16" i="6"/>
  <c r="J26" i="6"/>
  <c r="T26" i="6" s="1"/>
  <c r="G26" i="6"/>
  <c r="S26" i="6" s="1"/>
  <c r="D26" i="6"/>
  <c r="M26" i="6"/>
  <c r="U26" i="6" s="1"/>
  <c r="G27" i="6"/>
  <c r="S27" i="6" s="1"/>
  <c r="D27" i="6"/>
  <c r="J27" i="6"/>
  <c r="T27" i="6" s="1"/>
  <c r="M27" i="6"/>
  <c r="U27" i="6" s="1"/>
  <c r="H16" i="5"/>
  <c r="H31" i="7"/>
  <c r="I31" i="7" s="1"/>
  <c r="K22" i="5"/>
  <c r="N13" i="5"/>
  <c r="O13" i="5" s="1"/>
  <c r="M17" i="5"/>
  <c r="N17" i="5" s="1"/>
  <c r="O17" i="5" s="1"/>
  <c r="C40" i="6"/>
  <c r="J24" i="1"/>
  <c r="C66" i="7"/>
  <c r="N18" i="1"/>
  <c r="F38" i="5"/>
  <c r="T38" i="5" s="1"/>
  <c r="V38" i="5" s="1"/>
  <c r="W38" i="5" s="1"/>
  <c r="F16" i="6"/>
  <c r="F55" i="7"/>
  <c r="D43" i="6"/>
  <c r="D54" i="5"/>
  <c r="I54" i="5" s="1"/>
  <c r="D69" i="7"/>
  <c r="M28" i="6"/>
  <c r="U28" i="6" s="1"/>
  <c r="J28" i="6"/>
  <c r="T28" i="6" s="1"/>
  <c r="G28" i="6"/>
  <c r="S28" i="6" s="1"/>
  <c r="D28" i="6"/>
  <c r="G18" i="5"/>
  <c r="X18" i="5" s="1"/>
  <c r="G33" i="7"/>
  <c r="G29" i="7"/>
  <c r="G14" i="5"/>
  <c r="X14" i="5" s="1"/>
  <c r="R53" i="5"/>
  <c r="S53" i="5" s="1"/>
  <c r="H14" i="5"/>
  <c r="H29" i="7"/>
  <c r="I29" i="7" s="1"/>
  <c r="C46" i="6"/>
  <c r="C72" i="7"/>
  <c r="J30" i="1"/>
  <c r="C140" i="7" s="1"/>
  <c r="I86" i="6"/>
  <c r="F41" i="1"/>
  <c r="G41" i="1"/>
  <c r="G28" i="7"/>
  <c r="G13" i="5"/>
  <c r="X13" i="5" s="1"/>
  <c r="M20" i="5"/>
  <c r="N20" i="5" s="1"/>
  <c r="O20" i="5" s="1"/>
  <c r="K33" i="5"/>
  <c r="M33" i="5" s="1"/>
  <c r="H32" i="7"/>
  <c r="I32" i="7" s="1"/>
  <c r="H17" i="5"/>
  <c r="R22" i="5"/>
  <c r="S22" i="5" s="1"/>
  <c r="E41" i="5" s="1"/>
  <c r="P41" i="5" s="1"/>
  <c r="L63" i="6"/>
  <c r="F87" i="6"/>
  <c r="E42" i="1"/>
  <c r="G32" i="7"/>
  <c r="G17" i="5"/>
  <c r="X17" i="5" s="1"/>
  <c r="D46" i="1"/>
  <c r="C91" i="6"/>
  <c r="J39" i="3"/>
  <c r="O40" i="3" s="1"/>
  <c r="H22" i="5" s="1"/>
  <c r="O31" i="3"/>
  <c r="K34" i="5"/>
  <c r="M34" i="5" s="1"/>
  <c r="G31" i="7"/>
  <c r="G16" i="5"/>
  <c r="X16" i="5" s="1"/>
  <c r="V22" i="5"/>
  <c r="W22" i="5" s="1"/>
  <c r="F41" i="5" s="1"/>
  <c r="T41" i="5" s="1"/>
  <c r="U41" i="5" s="1"/>
  <c r="M58" i="6" l="1"/>
  <c r="U58" i="6" s="1"/>
  <c r="D47" i="1"/>
  <c r="C92" i="6"/>
  <c r="F71" i="5"/>
  <c r="T71" i="5" s="1"/>
  <c r="V71" i="5" s="1"/>
  <c r="W71" i="5" s="1"/>
  <c r="F84" i="7"/>
  <c r="F71" i="6"/>
  <c r="G45" i="1"/>
  <c r="L90" i="6"/>
  <c r="H45" i="1"/>
  <c r="L44" i="1"/>
  <c r="L119" i="6"/>
  <c r="M44" i="1"/>
  <c r="J31" i="1"/>
  <c r="C141" i="7" s="1"/>
  <c r="C47" i="6"/>
  <c r="C73" i="7"/>
  <c r="C74" i="7" s="1"/>
  <c r="M22" i="5"/>
  <c r="L22" i="5" s="1"/>
  <c r="D17" i="6"/>
  <c r="D56" i="7"/>
  <c r="D39" i="5"/>
  <c r="I39" i="5" s="1"/>
  <c r="AB20" i="5"/>
  <c r="E84" i="7"/>
  <c r="E71" i="5"/>
  <c r="P71" i="5" s="1"/>
  <c r="E71" i="6"/>
  <c r="D53" i="7"/>
  <c r="D36" i="5"/>
  <c r="I36" i="5" s="1"/>
  <c r="D14" i="6"/>
  <c r="E72" i="5"/>
  <c r="P72" i="5" s="1"/>
  <c r="E85" i="7"/>
  <c r="E72" i="6"/>
  <c r="R28" i="6"/>
  <c r="R36" i="5"/>
  <c r="S36" i="5"/>
  <c r="F73" i="7"/>
  <c r="F58" i="5"/>
  <c r="T58" i="5" s="1"/>
  <c r="V58" i="5" s="1"/>
  <c r="W58" i="5" s="1"/>
  <c r="F47" i="6"/>
  <c r="F59" i="7"/>
  <c r="F58" i="7"/>
  <c r="E46" i="1"/>
  <c r="F91" i="6"/>
  <c r="R27" i="6"/>
  <c r="R38" i="5"/>
  <c r="S38" i="5"/>
  <c r="H32" i="6"/>
  <c r="E32" i="6"/>
  <c r="N32" i="6"/>
  <c r="K32" i="6"/>
  <c r="R54" i="5"/>
  <c r="S54" i="5" s="1"/>
  <c r="Z17" i="5"/>
  <c r="AA17" i="5" s="1"/>
  <c r="Z13" i="5"/>
  <c r="AA13" i="5" s="1"/>
  <c r="F72" i="7"/>
  <c r="F46" i="6"/>
  <c r="F57" i="5"/>
  <c r="T57" i="5" s="1"/>
  <c r="V57" i="5" s="1"/>
  <c r="W57" i="5" s="1"/>
  <c r="D16" i="6"/>
  <c r="D55" i="7"/>
  <c r="D38" i="5"/>
  <c r="I38" i="5" s="1"/>
  <c r="G38" i="7"/>
  <c r="D10" i="6"/>
  <c r="D49" i="7"/>
  <c r="D32" i="5"/>
  <c r="I32" i="5" s="1"/>
  <c r="Z15" i="5"/>
  <c r="AA15" i="5" s="1"/>
  <c r="C93" i="6"/>
  <c r="R39" i="5"/>
  <c r="S39" i="5" s="1"/>
  <c r="F73" i="5"/>
  <c r="T73" i="5" s="1"/>
  <c r="V73" i="5" s="1"/>
  <c r="W73" i="5" s="1"/>
  <c r="F73" i="6"/>
  <c r="F86" i="7"/>
  <c r="F71" i="7"/>
  <c r="F45" i="6"/>
  <c r="F56" i="5"/>
  <c r="T56" i="5" s="1"/>
  <c r="V56" i="5" s="1"/>
  <c r="W56" i="5" s="1"/>
  <c r="N34" i="5"/>
  <c r="O34" i="5" s="1"/>
  <c r="I87" i="6"/>
  <c r="F42" i="1"/>
  <c r="Z14" i="5"/>
  <c r="AA14" i="5" s="1"/>
  <c r="E55" i="1"/>
  <c r="I55" i="1"/>
  <c r="I54" i="1" s="1"/>
  <c r="J22" i="5"/>
  <c r="R26" i="6"/>
  <c r="E40" i="1"/>
  <c r="F85" i="6"/>
  <c r="D48" i="1"/>
  <c r="D49" i="1" s="1"/>
  <c r="F44" i="6"/>
  <c r="F55" i="5"/>
  <c r="T55" i="5" s="1"/>
  <c r="V55" i="5" s="1"/>
  <c r="W55" i="5" s="1"/>
  <c r="F70" i="7"/>
  <c r="Z16" i="5"/>
  <c r="AA16" i="5" s="1"/>
  <c r="C71" i="6"/>
  <c r="C84" i="7"/>
  <c r="Q41" i="5"/>
  <c r="H13" i="5"/>
  <c r="H28" i="7"/>
  <c r="F88" i="6"/>
  <c r="E43" i="1"/>
  <c r="Z19" i="5"/>
  <c r="AA19" i="5" s="1"/>
  <c r="F119" i="7"/>
  <c r="F132" i="6"/>
  <c r="E58" i="7"/>
  <c r="E59" i="7"/>
  <c r="R37" i="5"/>
  <c r="S37" i="5" s="1"/>
  <c r="N33" i="5"/>
  <c r="O33" i="5" s="1"/>
  <c r="K54" i="5"/>
  <c r="M54" i="5" s="1"/>
  <c r="J32" i="1"/>
  <c r="C134" i="7"/>
  <c r="C142" i="7" s="1"/>
  <c r="R32" i="5"/>
  <c r="S32" i="5" s="1"/>
  <c r="F19" i="6"/>
  <c r="L86" i="6"/>
  <c r="H41" i="1"/>
  <c r="Z18" i="5"/>
  <c r="AA18" i="5" s="1"/>
  <c r="D58" i="6"/>
  <c r="G58" i="6"/>
  <c r="S58" i="6" s="1"/>
  <c r="J58" i="6"/>
  <c r="T58" i="6" s="1"/>
  <c r="C48" i="6"/>
  <c r="D54" i="7"/>
  <c r="D37" i="5"/>
  <c r="I37" i="5" s="1"/>
  <c r="D15" i="6"/>
  <c r="E19" i="6"/>
  <c r="W32" i="5"/>
  <c r="V41" i="5"/>
  <c r="W41" i="5" s="1"/>
  <c r="F60" i="5" s="1"/>
  <c r="T60" i="5" s="1"/>
  <c r="U60" i="5" s="1"/>
  <c r="G42" i="1"/>
  <c r="C88" i="7" l="1"/>
  <c r="C75" i="6"/>
  <c r="C149" i="6"/>
  <c r="N44" i="1"/>
  <c r="F90" i="5"/>
  <c r="T90" i="5" s="1"/>
  <c r="V90" i="5" s="1"/>
  <c r="W90" i="5" s="1"/>
  <c r="F101" i="7"/>
  <c r="F101" i="6"/>
  <c r="N22" i="5"/>
  <c r="O22" i="5" s="1"/>
  <c r="D41" i="5" s="1"/>
  <c r="I41" i="5" s="1"/>
  <c r="C104" i="6"/>
  <c r="C104" i="7"/>
  <c r="F92" i="6"/>
  <c r="E47" i="1"/>
  <c r="C120" i="6"/>
  <c r="I45" i="1"/>
  <c r="Z22" i="5"/>
  <c r="G50" i="7"/>
  <c r="G39" i="5"/>
  <c r="X39" i="5" s="1"/>
  <c r="G33" i="5"/>
  <c r="X33" i="5" s="1"/>
  <c r="AB14" i="5"/>
  <c r="G11" i="6"/>
  <c r="E86" i="7"/>
  <c r="E73" i="5"/>
  <c r="P73" i="5" s="1"/>
  <c r="E73" i="6"/>
  <c r="G38" i="5"/>
  <c r="X38" i="5" s="1"/>
  <c r="G16" i="6"/>
  <c r="AB19" i="5"/>
  <c r="G55" i="7"/>
  <c r="G52" i="7"/>
  <c r="AB16" i="5"/>
  <c r="G35" i="5"/>
  <c r="X35" i="5" s="1"/>
  <c r="G13" i="6"/>
  <c r="G51" i="7"/>
  <c r="G12" i="6"/>
  <c r="G34" i="5"/>
  <c r="X34" i="5" s="1"/>
  <c r="AB15" i="5"/>
  <c r="E66" i="7"/>
  <c r="E40" i="6"/>
  <c r="E51" i="5"/>
  <c r="P51" i="5" s="1"/>
  <c r="E56" i="5"/>
  <c r="P56" i="5" s="1"/>
  <c r="E45" i="6"/>
  <c r="E71" i="7"/>
  <c r="J25" i="6"/>
  <c r="D19" i="6"/>
  <c r="D25" i="6"/>
  <c r="M25" i="6"/>
  <c r="G25" i="6"/>
  <c r="F40" i="6"/>
  <c r="F49" i="6" s="1"/>
  <c r="F51" i="5"/>
  <c r="T51" i="5" s="1"/>
  <c r="V51" i="5" s="1"/>
  <c r="F66" i="7"/>
  <c r="G53" i="7"/>
  <c r="G36" i="5"/>
  <c r="X36" i="5" s="1"/>
  <c r="AB17" i="5"/>
  <c r="G14" i="6"/>
  <c r="D31" i="6"/>
  <c r="J31" i="6"/>
  <c r="T31" i="6" s="1"/>
  <c r="M31" i="6"/>
  <c r="U31" i="6" s="1"/>
  <c r="G31" i="6"/>
  <c r="S31" i="6" s="1"/>
  <c r="F77" i="6"/>
  <c r="F90" i="7"/>
  <c r="F77" i="5"/>
  <c r="T77" i="5" s="1"/>
  <c r="V77" i="5" s="1"/>
  <c r="W77" i="5" s="1"/>
  <c r="R72" i="5"/>
  <c r="S72" i="5" s="1"/>
  <c r="K39" i="5"/>
  <c r="M39" i="5"/>
  <c r="D42" i="6"/>
  <c r="D68" i="7"/>
  <c r="D53" i="5"/>
  <c r="I53" i="5" s="1"/>
  <c r="AA22" i="5"/>
  <c r="Y22" i="5"/>
  <c r="R71" i="5"/>
  <c r="S71" i="5" s="1"/>
  <c r="D41" i="6"/>
  <c r="D67" i="7"/>
  <c r="D52" i="5"/>
  <c r="I52" i="5" s="1"/>
  <c r="R41" i="5"/>
  <c r="S41" i="5" s="1"/>
  <c r="E60" i="5" s="1"/>
  <c r="P60" i="5" s="1"/>
  <c r="I88" i="6"/>
  <c r="F43" i="1"/>
  <c r="G43" i="1" s="1"/>
  <c r="F76" i="5"/>
  <c r="T76" i="5" s="1"/>
  <c r="V76" i="5" s="1"/>
  <c r="W76" i="5" s="1"/>
  <c r="F76" i="6"/>
  <c r="F89" i="7"/>
  <c r="D29" i="6"/>
  <c r="G29" i="6"/>
  <c r="S29" i="6" s="1"/>
  <c r="J29" i="6"/>
  <c r="T29" i="6" s="1"/>
  <c r="M29" i="6"/>
  <c r="U29" i="6" s="1"/>
  <c r="E47" i="6"/>
  <c r="E58" i="5"/>
  <c r="P58" i="5" s="1"/>
  <c r="E73" i="7"/>
  <c r="G49" i="7"/>
  <c r="AB13" i="5"/>
  <c r="G10" i="6"/>
  <c r="G32" i="5"/>
  <c r="X32" i="5" s="1"/>
  <c r="F46" i="1"/>
  <c r="I91" i="6"/>
  <c r="G46" i="1"/>
  <c r="F75" i="6"/>
  <c r="F88" i="7"/>
  <c r="F75" i="5"/>
  <c r="T75" i="5" s="1"/>
  <c r="V75" i="5" s="1"/>
  <c r="W75" i="5" s="1"/>
  <c r="H38" i="7"/>
  <c r="H39" i="7" s="1"/>
  <c r="H41" i="7" s="1"/>
  <c r="H42" i="7" s="1"/>
  <c r="I28" i="7"/>
  <c r="F40" i="1"/>
  <c r="I85" i="6"/>
  <c r="E48" i="1"/>
  <c r="E49" i="1" s="1"/>
  <c r="G40" i="1"/>
  <c r="K38" i="5"/>
  <c r="M38" i="5" s="1"/>
  <c r="H56" i="7"/>
  <c r="I56" i="7" s="1"/>
  <c r="H17" i="6"/>
  <c r="I17" i="6" s="1"/>
  <c r="X18" i="6" s="1"/>
  <c r="D30" i="6"/>
  <c r="M30" i="6"/>
  <c r="U30" i="6" s="1"/>
  <c r="J30" i="6"/>
  <c r="T30" i="6" s="1"/>
  <c r="G30" i="6"/>
  <c r="S30" i="6" s="1"/>
  <c r="F87" i="7"/>
  <c r="F74" i="5"/>
  <c r="T74" i="5" s="1"/>
  <c r="V74" i="5" s="1"/>
  <c r="W74" i="5" s="1"/>
  <c r="F74" i="6"/>
  <c r="H42" i="1"/>
  <c r="L87" i="6"/>
  <c r="F92" i="5"/>
  <c r="T92" i="5" s="1"/>
  <c r="V92" i="5" s="1"/>
  <c r="W92" i="5" s="1"/>
  <c r="F103" i="6"/>
  <c r="F103" i="7"/>
  <c r="K32" i="5"/>
  <c r="M32" i="5" s="1"/>
  <c r="E70" i="7"/>
  <c r="E55" i="5"/>
  <c r="P55" i="5" s="1"/>
  <c r="E44" i="6"/>
  <c r="K36" i="5"/>
  <c r="M36" i="5" s="1"/>
  <c r="G32" i="6"/>
  <c r="S32" i="6" s="1"/>
  <c r="J32" i="6"/>
  <c r="T32" i="6" s="1"/>
  <c r="D32" i="6"/>
  <c r="M32" i="6"/>
  <c r="U32" i="6" s="1"/>
  <c r="C85" i="7"/>
  <c r="C72" i="6"/>
  <c r="N54" i="5"/>
  <c r="O54" i="5" s="1"/>
  <c r="F93" i="6"/>
  <c r="E72" i="7"/>
  <c r="E57" i="5"/>
  <c r="P57" i="5" s="1"/>
  <c r="E46" i="6"/>
  <c r="R58" i="6"/>
  <c r="G54" i="7"/>
  <c r="G15" i="6"/>
  <c r="AB18" i="5"/>
  <c r="G37" i="5"/>
  <c r="X37" i="5" s="1"/>
  <c r="K37" i="5"/>
  <c r="M37" i="5" s="1"/>
  <c r="I41" i="1"/>
  <c r="C116" i="6"/>
  <c r="D58" i="7"/>
  <c r="D59" i="7"/>
  <c r="J45" i="1" l="1"/>
  <c r="F120" i="6"/>
  <c r="F131" i="6"/>
  <c r="F118" i="7"/>
  <c r="I92" i="6"/>
  <c r="F47" i="1"/>
  <c r="G47" i="1"/>
  <c r="O44" i="1"/>
  <c r="F149" i="6"/>
  <c r="M41" i="5"/>
  <c r="E91" i="5"/>
  <c r="P91" i="5" s="1"/>
  <c r="E102" i="7"/>
  <c r="E102" i="6"/>
  <c r="E30" i="6"/>
  <c r="K30" i="6"/>
  <c r="N30" i="6"/>
  <c r="H30" i="6"/>
  <c r="F120" i="7"/>
  <c r="F133" i="6"/>
  <c r="C83" i="7"/>
  <c r="C70" i="6"/>
  <c r="F105" i="6"/>
  <c r="F94" i="5"/>
  <c r="T94" i="5" s="1"/>
  <c r="V94" i="5" s="1"/>
  <c r="W94" i="5" s="1"/>
  <c r="F105" i="7"/>
  <c r="Z32" i="5"/>
  <c r="AA32" i="5" s="1"/>
  <c r="E101" i="6"/>
  <c r="E101" i="7"/>
  <c r="E90" i="5"/>
  <c r="P90" i="5" s="1"/>
  <c r="R31" i="6"/>
  <c r="W51" i="5"/>
  <c r="V60" i="5"/>
  <c r="W60" i="5" s="1"/>
  <c r="F79" i="5" s="1"/>
  <c r="T79" i="5" s="1"/>
  <c r="U79" i="5" s="1"/>
  <c r="E76" i="7"/>
  <c r="E75" i="7"/>
  <c r="O32" i="6"/>
  <c r="R32" i="6"/>
  <c r="E25" i="6"/>
  <c r="K25" i="6"/>
  <c r="N25" i="6"/>
  <c r="G19" i="6"/>
  <c r="X19" i="6" s="1"/>
  <c r="H25" i="6"/>
  <c r="Q60" i="5"/>
  <c r="H34" i="5"/>
  <c r="H51" i="7"/>
  <c r="I51" i="7" s="1"/>
  <c r="H12" i="6"/>
  <c r="I12" i="6" s="1"/>
  <c r="X13" i="6" s="1"/>
  <c r="I93" i="6"/>
  <c r="H49" i="7"/>
  <c r="H10" i="6"/>
  <c r="H32" i="5"/>
  <c r="AB22" i="5"/>
  <c r="H41" i="5" s="1"/>
  <c r="G41" i="5"/>
  <c r="X41" i="5" s="1"/>
  <c r="S25" i="6"/>
  <c r="S33" i="6" s="1"/>
  <c r="G33" i="6"/>
  <c r="F116" i="6"/>
  <c r="J41" i="1"/>
  <c r="R30" i="6"/>
  <c r="H40" i="1"/>
  <c r="F48" i="1"/>
  <c r="F49" i="1" s="1"/>
  <c r="L85" i="6"/>
  <c r="C76" i="6"/>
  <c r="C89" i="7"/>
  <c r="G58" i="7"/>
  <c r="G59" i="7"/>
  <c r="K53" i="5"/>
  <c r="E29" i="6"/>
  <c r="H29" i="6"/>
  <c r="K29" i="6"/>
  <c r="N29" i="6"/>
  <c r="U25" i="6"/>
  <c r="U33" i="6" s="1"/>
  <c r="M33" i="6"/>
  <c r="N27" i="6"/>
  <c r="E27" i="6"/>
  <c r="K27" i="6"/>
  <c r="H27" i="6"/>
  <c r="H31" i="6"/>
  <c r="N31" i="6"/>
  <c r="E31" i="6"/>
  <c r="K31" i="6"/>
  <c r="H26" i="6"/>
  <c r="N26" i="6"/>
  <c r="E26" i="6"/>
  <c r="K26" i="6"/>
  <c r="D73" i="5"/>
  <c r="I73" i="5" s="1"/>
  <c r="D86" i="7"/>
  <c r="D73" i="6"/>
  <c r="F93" i="5"/>
  <c r="T93" i="5" s="1"/>
  <c r="V93" i="5" s="1"/>
  <c r="W93" i="5" s="1"/>
  <c r="F104" i="7"/>
  <c r="F104" i="6"/>
  <c r="K52" i="5"/>
  <c r="H53" i="7"/>
  <c r="I53" i="7" s="1"/>
  <c r="H36" i="5"/>
  <c r="H14" i="6"/>
  <c r="I14" i="6" s="1"/>
  <c r="X15" i="6" s="1"/>
  <c r="R25" i="6"/>
  <c r="D33" i="6"/>
  <c r="Z38" i="5"/>
  <c r="AA38" i="5" s="1"/>
  <c r="H39" i="5"/>
  <c r="H11" i="6"/>
  <c r="I11" i="6" s="1"/>
  <c r="X12" i="6" s="1"/>
  <c r="H50" i="7"/>
  <c r="I50" i="7" s="1"/>
  <c r="H33" i="5"/>
  <c r="R29" i="6"/>
  <c r="H55" i="7"/>
  <c r="I55" i="7" s="1"/>
  <c r="H38" i="5"/>
  <c r="H16" i="6"/>
  <c r="I16" i="6" s="1"/>
  <c r="X17" i="6" s="1"/>
  <c r="N37" i="5"/>
  <c r="O37" i="5" s="1"/>
  <c r="N36" i="5"/>
  <c r="O36" i="5" s="1"/>
  <c r="K41" i="5"/>
  <c r="N32" i="5"/>
  <c r="O32" i="5" s="1"/>
  <c r="H46" i="1"/>
  <c r="L91" i="6"/>
  <c r="R58" i="5"/>
  <c r="S58" i="5" s="1"/>
  <c r="F106" i="6"/>
  <c r="F95" i="5"/>
  <c r="T95" i="5" s="1"/>
  <c r="V95" i="5" s="1"/>
  <c r="W95" i="5" s="1"/>
  <c r="F106" i="7"/>
  <c r="G57" i="6"/>
  <c r="S57" i="6" s="1"/>
  <c r="D57" i="6"/>
  <c r="J57" i="6"/>
  <c r="T57" i="6" s="1"/>
  <c r="M57" i="6"/>
  <c r="U57" i="6" s="1"/>
  <c r="Z36" i="5"/>
  <c r="AA36" i="5" s="1"/>
  <c r="R56" i="5"/>
  <c r="S56" i="5"/>
  <c r="K28" i="6"/>
  <c r="N28" i="6"/>
  <c r="E28" i="6"/>
  <c r="H28" i="6"/>
  <c r="Z33" i="5"/>
  <c r="AA33" i="5" s="1"/>
  <c r="C117" i="6"/>
  <c r="I42" i="1"/>
  <c r="F107" i="7"/>
  <c r="F107" i="6"/>
  <c r="F96" i="5"/>
  <c r="T96" i="5" s="1"/>
  <c r="V96" i="5" s="1"/>
  <c r="W96" i="5" s="1"/>
  <c r="Z34" i="5"/>
  <c r="AA34" i="5" s="1"/>
  <c r="Z37" i="5"/>
  <c r="AA37" i="5" s="1"/>
  <c r="C86" i="7"/>
  <c r="C73" i="6"/>
  <c r="D56" i="6"/>
  <c r="G56" i="6"/>
  <c r="S56" i="6" s="1"/>
  <c r="J56" i="6"/>
  <c r="T56" i="6" s="1"/>
  <c r="M56" i="6"/>
  <c r="U56" i="6" s="1"/>
  <c r="T25" i="6"/>
  <c r="T33" i="6" s="1"/>
  <c r="J33" i="6"/>
  <c r="R51" i="5"/>
  <c r="S51" i="5"/>
  <c r="Z35" i="5"/>
  <c r="AA35" i="5" s="1"/>
  <c r="R73" i="5"/>
  <c r="S73" i="5" s="1"/>
  <c r="Z39" i="5"/>
  <c r="AA39" i="5" s="1"/>
  <c r="H15" i="6"/>
  <c r="I15" i="6" s="1"/>
  <c r="X16" i="6" s="1"/>
  <c r="H54" i="7"/>
  <c r="I54" i="7" s="1"/>
  <c r="H37" i="5"/>
  <c r="R57" i="5"/>
  <c r="S57" i="5" s="1"/>
  <c r="R55" i="5"/>
  <c r="S55" i="5" s="1"/>
  <c r="N38" i="5"/>
  <c r="O38" i="5" s="1"/>
  <c r="H43" i="1"/>
  <c r="L88" i="6"/>
  <c r="N39" i="5"/>
  <c r="O39" i="5" s="1"/>
  <c r="F76" i="7"/>
  <c r="F75" i="7"/>
  <c r="E49" i="6"/>
  <c r="H35" i="5"/>
  <c r="H52" i="7"/>
  <c r="I52" i="7" s="1"/>
  <c r="H13" i="6"/>
  <c r="I13" i="6" s="1"/>
  <c r="X14" i="6" s="1"/>
  <c r="P44" i="1" l="1"/>
  <c r="L149" i="6" s="1"/>
  <c r="Q44" i="1"/>
  <c r="I149" i="6"/>
  <c r="C90" i="7"/>
  <c r="C77" i="6"/>
  <c r="G48" i="1"/>
  <c r="F55" i="1" s="1"/>
  <c r="L92" i="6"/>
  <c r="L93" i="6" s="1"/>
  <c r="H47" i="1"/>
  <c r="K45" i="1"/>
  <c r="I120" i="6"/>
  <c r="R33" i="6"/>
  <c r="O31" i="6"/>
  <c r="N33" i="6"/>
  <c r="O27" i="6"/>
  <c r="O30" i="6"/>
  <c r="O29" i="6"/>
  <c r="G43" i="6"/>
  <c r="G69" i="7"/>
  <c r="AB35" i="5"/>
  <c r="G54" i="5"/>
  <c r="X54" i="5" s="1"/>
  <c r="Z54" i="5" s="1"/>
  <c r="AA54" i="5" s="1"/>
  <c r="E76" i="5"/>
  <c r="P76" i="5" s="1"/>
  <c r="E89" i="7"/>
  <c r="E76" i="6"/>
  <c r="G67" i="7"/>
  <c r="G52" i="5"/>
  <c r="X52" i="5" s="1"/>
  <c r="Z52" i="5" s="1"/>
  <c r="AA52" i="5" s="1"/>
  <c r="G41" i="6"/>
  <c r="AB33" i="5"/>
  <c r="E77" i="5"/>
  <c r="P77" i="5" s="1"/>
  <c r="E90" i="7"/>
  <c r="E77" i="6"/>
  <c r="H19" i="6"/>
  <c r="I10" i="6"/>
  <c r="X11" i="6" s="1"/>
  <c r="E74" i="5"/>
  <c r="P74" i="5" s="1"/>
  <c r="E74" i="6"/>
  <c r="E87" i="7"/>
  <c r="E70" i="6"/>
  <c r="E70" i="5"/>
  <c r="P70" i="5" s="1"/>
  <c r="E83" i="7"/>
  <c r="AB34" i="5"/>
  <c r="G53" i="5"/>
  <c r="X53" i="5" s="1"/>
  <c r="Z53" i="5" s="1"/>
  <c r="AA53" i="5" s="1"/>
  <c r="G68" i="7"/>
  <c r="G42" i="6"/>
  <c r="G44" i="6"/>
  <c r="G55" i="5"/>
  <c r="X55" i="5" s="1"/>
  <c r="Z55" i="5" s="1"/>
  <c r="AA55" i="5" s="1"/>
  <c r="G70" i="7"/>
  <c r="AB36" i="5"/>
  <c r="D71" i="7"/>
  <c r="D56" i="5"/>
  <c r="I56" i="5" s="1"/>
  <c r="D45" i="6"/>
  <c r="H33" i="6"/>
  <c r="R60" i="5"/>
  <c r="S60" i="5" s="1"/>
  <c r="E79" i="5" s="1"/>
  <c r="P79" i="5" s="1"/>
  <c r="M53" i="5"/>
  <c r="N53" i="5" s="1"/>
  <c r="O53" i="5" s="1"/>
  <c r="F137" i="6"/>
  <c r="F124" i="7"/>
  <c r="O28" i="6"/>
  <c r="D88" i="6"/>
  <c r="G88" i="6"/>
  <c r="S88" i="6" s="1"/>
  <c r="I40" i="1"/>
  <c r="C115" i="6"/>
  <c r="H58" i="7"/>
  <c r="I58" i="7" s="1"/>
  <c r="H59" i="7"/>
  <c r="I49" i="7"/>
  <c r="K33" i="6"/>
  <c r="C78" i="6"/>
  <c r="D73" i="7"/>
  <c r="D47" i="6"/>
  <c r="D58" i="5"/>
  <c r="I58" i="5" s="1"/>
  <c r="E103" i="6"/>
  <c r="E103" i="7"/>
  <c r="E92" i="5"/>
  <c r="P92" i="5" s="1"/>
  <c r="R57" i="6"/>
  <c r="C121" i="6"/>
  <c r="I46" i="1"/>
  <c r="G57" i="5"/>
  <c r="X57" i="5" s="1"/>
  <c r="Z57" i="5" s="1"/>
  <c r="AA57" i="5" s="1"/>
  <c r="AB38" i="5"/>
  <c r="G46" i="6"/>
  <c r="G72" i="7"/>
  <c r="E33" i="6"/>
  <c r="F83" i="7"/>
  <c r="F70" i="6"/>
  <c r="F79" i="6" s="1"/>
  <c r="F70" i="5"/>
  <c r="T70" i="5" s="1"/>
  <c r="V70" i="5" s="1"/>
  <c r="G66" i="7"/>
  <c r="G40" i="6"/>
  <c r="G51" i="5"/>
  <c r="X51" i="5" s="1"/>
  <c r="Z51" i="5" s="1"/>
  <c r="AB32" i="5"/>
  <c r="C91" i="7"/>
  <c r="F134" i="6"/>
  <c r="F121" i="7"/>
  <c r="J88" i="6"/>
  <c r="T88" i="6" s="1"/>
  <c r="M88" i="6"/>
  <c r="U88" i="6" s="1"/>
  <c r="J42" i="1"/>
  <c r="F117" i="6"/>
  <c r="D66" i="7"/>
  <c r="D40" i="6"/>
  <c r="D51" i="5"/>
  <c r="I51" i="5" s="1"/>
  <c r="M52" i="5"/>
  <c r="N52" i="5" s="1"/>
  <c r="O52" i="5" s="1"/>
  <c r="K73" i="5"/>
  <c r="Z41" i="5"/>
  <c r="AA41" i="5" s="1"/>
  <c r="R91" i="5"/>
  <c r="S91" i="5"/>
  <c r="G47" i="6"/>
  <c r="G73" i="7"/>
  <c r="G58" i="5"/>
  <c r="X58" i="5" s="1"/>
  <c r="Z58" i="5" s="1"/>
  <c r="AA58" i="5" s="1"/>
  <c r="AB39" i="5"/>
  <c r="G45" i="6"/>
  <c r="G56" i="5"/>
  <c r="X56" i="5" s="1"/>
  <c r="Z56" i="5" s="1"/>
  <c r="AA56" i="5" s="1"/>
  <c r="AB37" i="5"/>
  <c r="G71" i="7"/>
  <c r="I43" i="1"/>
  <c r="C118" i="6"/>
  <c r="E88" i="7"/>
  <c r="E75" i="5"/>
  <c r="P75" i="5" s="1"/>
  <c r="E75" i="6"/>
  <c r="N41" i="5"/>
  <c r="O41" i="5" s="1"/>
  <c r="D60" i="5" s="1"/>
  <c r="I60" i="5" s="1"/>
  <c r="J41" i="5"/>
  <c r="K41" i="1"/>
  <c r="L41" i="1" s="1"/>
  <c r="I116" i="6"/>
  <c r="D72" i="7"/>
  <c r="D46" i="6"/>
  <c r="D57" i="5"/>
  <c r="I57" i="5" s="1"/>
  <c r="R56" i="6"/>
  <c r="F123" i="7"/>
  <c r="F136" i="6"/>
  <c r="D70" i="7"/>
  <c r="D55" i="5"/>
  <c r="I55" i="5" s="1"/>
  <c r="D44" i="6"/>
  <c r="O25" i="6"/>
  <c r="O26" i="6"/>
  <c r="R90" i="5"/>
  <c r="S90" i="5" s="1"/>
  <c r="F135" i="6"/>
  <c r="F122" i="7"/>
  <c r="L41" i="5"/>
  <c r="I47" i="1" l="1"/>
  <c r="C122" i="6"/>
  <c r="H48" i="1"/>
  <c r="H49" i="1" s="1"/>
  <c r="K28" i="1"/>
  <c r="D138" i="7" s="1"/>
  <c r="C134" i="6"/>
  <c r="C121" i="7"/>
  <c r="L45" i="1"/>
  <c r="L120" i="6"/>
  <c r="M45" i="1"/>
  <c r="E131" i="6"/>
  <c r="E118" i="7"/>
  <c r="D71" i="6"/>
  <c r="D71" i="5"/>
  <c r="I71" i="5" s="1"/>
  <c r="D84" i="7"/>
  <c r="E57" i="6"/>
  <c r="H57" i="6"/>
  <c r="K57" i="6"/>
  <c r="N57" i="6"/>
  <c r="H58" i="5"/>
  <c r="H73" i="7"/>
  <c r="H47" i="6"/>
  <c r="I47" i="6" s="1"/>
  <c r="X48" i="6" s="1"/>
  <c r="F115" i="6"/>
  <c r="J40" i="1"/>
  <c r="I48" i="1"/>
  <c r="I49" i="1" s="1"/>
  <c r="E56" i="6"/>
  <c r="H56" i="6"/>
  <c r="K56" i="6"/>
  <c r="N56" i="6"/>
  <c r="C101" i="7"/>
  <c r="C101" i="6"/>
  <c r="G77" i="5"/>
  <c r="X77" i="5" s="1"/>
  <c r="Z77" i="5" s="1"/>
  <c r="AA77" i="5" s="1"/>
  <c r="G77" i="6"/>
  <c r="G90" i="7"/>
  <c r="G49" i="6"/>
  <c r="X49" i="6" s="1"/>
  <c r="E55" i="6"/>
  <c r="H55" i="6"/>
  <c r="K55" i="6"/>
  <c r="N55" i="6"/>
  <c r="D60" i="6"/>
  <c r="G60" i="6"/>
  <c r="S60" i="6" s="1"/>
  <c r="M60" i="6"/>
  <c r="U60" i="6" s="1"/>
  <c r="J60" i="6"/>
  <c r="T60" i="6" s="1"/>
  <c r="R74" i="5"/>
  <c r="S74" i="5" s="1"/>
  <c r="G84" i="7"/>
  <c r="G71" i="6"/>
  <c r="AB52" i="5"/>
  <c r="G71" i="5"/>
  <c r="X71" i="5" s="1"/>
  <c r="Z71" i="5" s="1"/>
  <c r="AA71" i="5" s="1"/>
  <c r="E58" i="6"/>
  <c r="H58" i="6"/>
  <c r="K58" i="6"/>
  <c r="N58" i="6"/>
  <c r="O33" i="6"/>
  <c r="J43" i="1"/>
  <c r="F118" i="6"/>
  <c r="K51" i="5"/>
  <c r="M51" i="5"/>
  <c r="G76" i="7"/>
  <c r="G75" i="7"/>
  <c r="E61" i="6"/>
  <c r="H61" i="6"/>
  <c r="K61" i="6"/>
  <c r="N61" i="6"/>
  <c r="R92" i="5"/>
  <c r="S92" i="5"/>
  <c r="R88" i="6"/>
  <c r="K56" i="5"/>
  <c r="M56" i="5" s="1"/>
  <c r="AB53" i="5"/>
  <c r="G72" i="5"/>
  <c r="X72" i="5" s="1"/>
  <c r="Z72" i="5" s="1"/>
  <c r="AA72" i="5" s="1"/>
  <c r="G72" i="6"/>
  <c r="G85" i="7"/>
  <c r="D59" i="6"/>
  <c r="M59" i="6"/>
  <c r="U59" i="6" s="1"/>
  <c r="G59" i="6"/>
  <c r="S59" i="6" s="1"/>
  <c r="J59" i="6"/>
  <c r="T59" i="6" s="1"/>
  <c r="M41" i="1"/>
  <c r="L116" i="6"/>
  <c r="H62" i="6"/>
  <c r="E62" i="6"/>
  <c r="K62" i="6"/>
  <c r="N62" i="6"/>
  <c r="D55" i="6"/>
  <c r="D49" i="6"/>
  <c r="G55" i="6"/>
  <c r="J55" i="6"/>
  <c r="M55" i="6"/>
  <c r="W70" i="5"/>
  <c r="V79" i="5"/>
  <c r="W79" i="5" s="1"/>
  <c r="F98" i="5" s="1"/>
  <c r="T98" i="5" s="1"/>
  <c r="U98" i="5" s="1"/>
  <c r="H72" i="7"/>
  <c r="I72" i="7" s="1"/>
  <c r="H46" i="6"/>
  <c r="I46" i="6" s="1"/>
  <c r="X47" i="6" s="1"/>
  <c r="H57" i="5"/>
  <c r="H60" i="7"/>
  <c r="I59" i="7"/>
  <c r="H53" i="5"/>
  <c r="H42" i="6"/>
  <c r="I42" i="6" s="1"/>
  <c r="X43" i="6" s="1"/>
  <c r="H68" i="7"/>
  <c r="AA51" i="5"/>
  <c r="Z60" i="5"/>
  <c r="D72" i="6"/>
  <c r="D72" i="5"/>
  <c r="I72" i="5" s="1"/>
  <c r="D85" i="7"/>
  <c r="K55" i="5"/>
  <c r="M55" i="5" s="1"/>
  <c r="E132" i="6"/>
  <c r="E119" i="7"/>
  <c r="D76" i="7"/>
  <c r="D75" i="7"/>
  <c r="H70" i="7"/>
  <c r="H44" i="6"/>
  <c r="I44" i="6" s="1"/>
  <c r="X45" i="6" s="1"/>
  <c r="H55" i="5"/>
  <c r="K57" i="5"/>
  <c r="M57" i="5" s="1"/>
  <c r="G88" i="7"/>
  <c r="G75" i="5"/>
  <c r="X75" i="5" s="1"/>
  <c r="Z75" i="5" s="1"/>
  <c r="AA75" i="5" s="1"/>
  <c r="G75" i="6"/>
  <c r="G62" i="6"/>
  <c r="S62" i="6" s="1"/>
  <c r="D62" i="6"/>
  <c r="J62" i="6"/>
  <c r="T62" i="6" s="1"/>
  <c r="M62" i="6"/>
  <c r="U62" i="6" s="1"/>
  <c r="G74" i="6"/>
  <c r="G87" i="7"/>
  <c r="G74" i="5"/>
  <c r="X74" i="5" s="1"/>
  <c r="Z74" i="5" s="1"/>
  <c r="AA74" i="5" s="1"/>
  <c r="E79" i="6"/>
  <c r="R77" i="5"/>
  <c r="S77" i="5" s="1"/>
  <c r="G73" i="6"/>
  <c r="G73" i="5"/>
  <c r="X73" i="5" s="1"/>
  <c r="Z73" i="5" s="1"/>
  <c r="AA73" i="5" s="1"/>
  <c r="G86" i="7"/>
  <c r="AB54" i="5"/>
  <c r="G89" i="7"/>
  <c r="G76" i="6"/>
  <c r="G76" i="5"/>
  <c r="X76" i="5" s="1"/>
  <c r="Z76" i="5" s="1"/>
  <c r="AA76" i="5" s="1"/>
  <c r="Q79" i="5"/>
  <c r="E92" i="7"/>
  <c r="E93" i="7"/>
  <c r="H56" i="5"/>
  <c r="H71" i="7"/>
  <c r="H45" i="6"/>
  <c r="I45" i="6" s="1"/>
  <c r="X46" i="6" s="1"/>
  <c r="F93" i="7"/>
  <c r="F92" i="7"/>
  <c r="K58" i="5"/>
  <c r="C123" i="6"/>
  <c r="R70" i="5"/>
  <c r="S70" i="5"/>
  <c r="R76" i="5"/>
  <c r="S76" i="5" s="1"/>
  <c r="G60" i="5"/>
  <c r="X60" i="5" s="1"/>
  <c r="AB41" i="5"/>
  <c r="H60" i="5" s="1"/>
  <c r="I117" i="6"/>
  <c r="K42" i="1"/>
  <c r="L42" i="1"/>
  <c r="J46" i="1"/>
  <c r="F121" i="6"/>
  <c r="D61" i="6"/>
  <c r="G61" i="6"/>
  <c r="S61" i="6" s="1"/>
  <c r="J61" i="6"/>
  <c r="T61" i="6" s="1"/>
  <c r="M61" i="6"/>
  <c r="U61" i="6" s="1"/>
  <c r="R75" i="5"/>
  <c r="S75" i="5" s="1"/>
  <c r="K60" i="6"/>
  <c r="E60" i="6"/>
  <c r="H60" i="6"/>
  <c r="N60" i="6"/>
  <c r="M73" i="5"/>
  <c r="N73" i="5" s="1"/>
  <c r="O73" i="5" s="1"/>
  <c r="H66" i="7"/>
  <c r="H51" i="5"/>
  <c r="H40" i="6"/>
  <c r="Y41" i="5"/>
  <c r="K59" i="6"/>
  <c r="H59" i="6"/>
  <c r="E59" i="6"/>
  <c r="N59" i="6"/>
  <c r="H41" i="6"/>
  <c r="I41" i="6" s="1"/>
  <c r="X42" i="6" s="1"/>
  <c r="H52" i="5"/>
  <c r="H67" i="7"/>
  <c r="H43" i="6"/>
  <c r="I43" i="6" s="1"/>
  <c r="X44" i="6" s="1"/>
  <c r="H54" i="5"/>
  <c r="H69" i="7"/>
  <c r="C105" i="6" l="1"/>
  <c r="C105" i="7"/>
  <c r="C150" i="6"/>
  <c r="N45" i="1"/>
  <c r="F122" i="6"/>
  <c r="J47" i="1"/>
  <c r="O57" i="6"/>
  <c r="AA60" i="5"/>
  <c r="G79" i="5" s="1"/>
  <c r="X79" i="5" s="1"/>
  <c r="K63" i="6"/>
  <c r="H63" i="6"/>
  <c r="D92" i="5"/>
  <c r="I92" i="5" s="1"/>
  <c r="D103" i="7"/>
  <c r="D103" i="6"/>
  <c r="D118" i="6" s="1"/>
  <c r="E95" i="5"/>
  <c r="P95" i="5" s="1"/>
  <c r="E106" i="7"/>
  <c r="E106" i="6"/>
  <c r="E105" i="6"/>
  <c r="E105" i="7"/>
  <c r="E94" i="5"/>
  <c r="P94" i="5" s="1"/>
  <c r="G95" i="5"/>
  <c r="X95" i="5" s="1"/>
  <c r="Z95" i="5" s="1"/>
  <c r="AA95" i="5" s="1"/>
  <c r="G106" i="6"/>
  <c r="E121" i="6" s="1"/>
  <c r="G106" i="7"/>
  <c r="D87" i="6"/>
  <c r="G87" i="6"/>
  <c r="S87" i="6" s="1"/>
  <c r="J87" i="6"/>
  <c r="T87" i="6" s="1"/>
  <c r="M87" i="6"/>
  <c r="U87" i="6" s="1"/>
  <c r="T55" i="6"/>
  <c r="T63" i="6" s="1"/>
  <c r="J63" i="6"/>
  <c r="H71" i="5"/>
  <c r="H84" i="7"/>
  <c r="I84" i="7" s="1"/>
  <c r="H71" i="6"/>
  <c r="I71" i="6" s="1"/>
  <c r="X72" i="6" s="1"/>
  <c r="R60" i="6"/>
  <c r="O60" i="6"/>
  <c r="E92" i="6"/>
  <c r="H92" i="6"/>
  <c r="K92" i="6"/>
  <c r="N92" i="6"/>
  <c r="O56" i="6"/>
  <c r="G103" i="7"/>
  <c r="G92" i="5"/>
  <c r="X92" i="5" s="1"/>
  <c r="Z92" i="5" s="1"/>
  <c r="AA92" i="5" s="1"/>
  <c r="G103" i="6"/>
  <c r="E118" i="6" s="1"/>
  <c r="AB73" i="5"/>
  <c r="N89" i="6"/>
  <c r="K89" i="6"/>
  <c r="H89" i="6"/>
  <c r="E89" i="6"/>
  <c r="I121" i="6"/>
  <c r="K46" i="1"/>
  <c r="L46" i="1" s="1"/>
  <c r="E88" i="6"/>
  <c r="H88" i="6"/>
  <c r="K88" i="6"/>
  <c r="N88" i="6"/>
  <c r="N57" i="5"/>
  <c r="O57" i="5" s="1"/>
  <c r="K72" i="5"/>
  <c r="M72" i="5" s="1"/>
  <c r="G63" i="6"/>
  <c r="S55" i="6"/>
  <c r="S63" i="6" s="1"/>
  <c r="R59" i="6"/>
  <c r="O59" i="6"/>
  <c r="E86" i="6"/>
  <c r="H86" i="6"/>
  <c r="K86" i="6"/>
  <c r="N86" i="6"/>
  <c r="N63" i="6"/>
  <c r="G107" i="7"/>
  <c r="G107" i="6"/>
  <c r="G96" i="5"/>
  <c r="X96" i="5" s="1"/>
  <c r="Z96" i="5" s="1"/>
  <c r="AA96" i="5" s="1"/>
  <c r="C146" i="6"/>
  <c r="N41" i="1"/>
  <c r="E120" i="7"/>
  <c r="E133" i="6"/>
  <c r="K40" i="1"/>
  <c r="I115" i="6"/>
  <c r="J48" i="1"/>
  <c r="J49" i="1" s="1"/>
  <c r="R79" i="5"/>
  <c r="S79" i="5" s="1"/>
  <c r="E98" i="5" s="1"/>
  <c r="P98" i="5" s="1"/>
  <c r="E91" i="6"/>
  <c r="H91" i="6"/>
  <c r="K91" i="6"/>
  <c r="N91" i="6"/>
  <c r="O62" i="6"/>
  <c r="R62" i="6"/>
  <c r="N51" i="5"/>
  <c r="O51" i="5" s="1"/>
  <c r="K60" i="5"/>
  <c r="F123" i="6"/>
  <c r="I69" i="7"/>
  <c r="I137" i="7"/>
  <c r="L137" i="7" s="1"/>
  <c r="I143" i="7"/>
  <c r="L143" i="7" s="1"/>
  <c r="H75" i="7"/>
  <c r="I75" i="7" s="1"/>
  <c r="H76" i="7"/>
  <c r="I66" i="7"/>
  <c r="I134" i="7"/>
  <c r="L134" i="7" s="1"/>
  <c r="M42" i="1"/>
  <c r="L117" i="6"/>
  <c r="G70" i="5"/>
  <c r="X70" i="5" s="1"/>
  <c r="Z70" i="5" s="1"/>
  <c r="G70" i="6"/>
  <c r="G83" i="7"/>
  <c r="AB51" i="5"/>
  <c r="G91" i="5"/>
  <c r="X91" i="5" s="1"/>
  <c r="Z91" i="5" s="1"/>
  <c r="AA91" i="5" s="1"/>
  <c r="G102" i="6"/>
  <c r="G102" i="7"/>
  <c r="G118" i="6"/>
  <c r="S118" i="6" s="1"/>
  <c r="E63" i="6"/>
  <c r="M71" i="5"/>
  <c r="K71" i="5"/>
  <c r="I40" i="6"/>
  <c r="X41" i="6" s="1"/>
  <c r="H49" i="6"/>
  <c r="E89" i="5"/>
  <c r="P89" i="5" s="1"/>
  <c r="E100" i="7"/>
  <c r="E100" i="6"/>
  <c r="E107" i="6"/>
  <c r="E96" i="5"/>
  <c r="P96" i="5" s="1"/>
  <c r="E107" i="7"/>
  <c r="C102" i="7"/>
  <c r="C102" i="6"/>
  <c r="R55" i="6"/>
  <c r="O55" i="6"/>
  <c r="D63" i="6"/>
  <c r="E87" i="6"/>
  <c r="H87" i="6"/>
  <c r="K87" i="6"/>
  <c r="N87" i="6"/>
  <c r="E104" i="6"/>
  <c r="E93" i="5"/>
  <c r="P93" i="5" s="1"/>
  <c r="E104" i="7"/>
  <c r="G104" i="7"/>
  <c r="G104" i="6"/>
  <c r="G93" i="5"/>
  <c r="X93" i="5" s="1"/>
  <c r="Z93" i="5" s="1"/>
  <c r="AA93" i="5" s="1"/>
  <c r="E90" i="6"/>
  <c r="H90" i="6"/>
  <c r="K90" i="6"/>
  <c r="N90" i="6"/>
  <c r="N55" i="5"/>
  <c r="O55" i="5" s="1"/>
  <c r="I68" i="7"/>
  <c r="I136" i="7"/>
  <c r="L136" i="7" s="1"/>
  <c r="H85" i="7"/>
  <c r="I85" i="7" s="1"/>
  <c r="H72" i="6"/>
  <c r="I72" i="6" s="1"/>
  <c r="X73" i="6" s="1"/>
  <c r="H72" i="5"/>
  <c r="K43" i="1"/>
  <c r="I118" i="6"/>
  <c r="I73" i="7"/>
  <c r="I141" i="7"/>
  <c r="L141" i="7" s="1"/>
  <c r="D86" i="6"/>
  <c r="G86" i="6"/>
  <c r="S86" i="6" s="1"/>
  <c r="J86" i="6"/>
  <c r="T86" i="6" s="1"/>
  <c r="M86" i="6"/>
  <c r="U86" i="6" s="1"/>
  <c r="I139" i="7"/>
  <c r="L139" i="7" s="1"/>
  <c r="I71" i="7"/>
  <c r="H86" i="7"/>
  <c r="I86" i="7" s="1"/>
  <c r="H73" i="5"/>
  <c r="H73" i="6"/>
  <c r="I73" i="6" s="1"/>
  <c r="X74" i="6" s="1"/>
  <c r="F100" i="7"/>
  <c r="F89" i="5"/>
  <c r="T89" i="5" s="1"/>
  <c r="V89" i="5" s="1"/>
  <c r="F100" i="6"/>
  <c r="F109" i="6" s="1"/>
  <c r="O58" i="6"/>
  <c r="I135" i="7"/>
  <c r="L135" i="7" s="1"/>
  <c r="I67" i="7"/>
  <c r="O61" i="6"/>
  <c r="R61" i="6"/>
  <c r="Y60" i="5"/>
  <c r="M58" i="5"/>
  <c r="N58" i="5" s="1"/>
  <c r="O58" i="5" s="1"/>
  <c r="G94" i="5"/>
  <c r="X94" i="5" s="1"/>
  <c r="Z94" i="5" s="1"/>
  <c r="AA94" i="5" s="1"/>
  <c r="G105" i="7"/>
  <c r="G105" i="6"/>
  <c r="I138" i="7"/>
  <c r="L138" i="7" s="1"/>
  <c r="I70" i="7"/>
  <c r="U55" i="6"/>
  <c r="U63" i="6" s="1"/>
  <c r="M63" i="6"/>
  <c r="N56" i="5"/>
  <c r="O56" i="5" s="1"/>
  <c r="G90" i="5"/>
  <c r="X90" i="5" s="1"/>
  <c r="Z90" i="5" s="1"/>
  <c r="AA90" i="5" s="1"/>
  <c r="G101" i="6"/>
  <c r="G101" i="7"/>
  <c r="I122" i="6" l="1"/>
  <c r="K122" i="6" s="1"/>
  <c r="K47" i="1"/>
  <c r="L47" i="1"/>
  <c r="O45" i="1"/>
  <c r="F150" i="6"/>
  <c r="M60" i="5"/>
  <c r="L60" i="5" s="1"/>
  <c r="D77" i="5"/>
  <c r="I77" i="5" s="1"/>
  <c r="D90" i="7"/>
  <c r="D77" i="6"/>
  <c r="AB58" i="5"/>
  <c r="E117" i="6"/>
  <c r="H117" i="6"/>
  <c r="F146" i="6"/>
  <c r="O41" i="1"/>
  <c r="E116" i="6"/>
  <c r="H116" i="6"/>
  <c r="K116" i="6"/>
  <c r="G134" i="6"/>
  <c r="G121" i="7"/>
  <c r="O86" i="6"/>
  <c r="R86" i="6"/>
  <c r="R93" i="5"/>
  <c r="S93" i="5" s="1"/>
  <c r="R63" i="6"/>
  <c r="N71" i="5"/>
  <c r="O71" i="5" s="1"/>
  <c r="G132" i="6"/>
  <c r="G119" i="7"/>
  <c r="Q98" i="5"/>
  <c r="O88" i="6"/>
  <c r="H92" i="5"/>
  <c r="H103" i="7"/>
  <c r="I103" i="7" s="1"/>
  <c r="H103" i="6"/>
  <c r="I103" i="6" s="1"/>
  <c r="X104" i="6" s="1"/>
  <c r="E120" i="6"/>
  <c r="H120" i="6"/>
  <c r="K120" i="6"/>
  <c r="N120" i="6"/>
  <c r="K118" i="6"/>
  <c r="J118" i="6"/>
  <c r="T118" i="6" s="1"/>
  <c r="E119" i="6"/>
  <c r="H119" i="6"/>
  <c r="K119" i="6"/>
  <c r="N119" i="6"/>
  <c r="I123" i="6"/>
  <c r="E109" i="6"/>
  <c r="H83" i="7"/>
  <c r="H70" i="6"/>
  <c r="H70" i="5"/>
  <c r="L115" i="6"/>
  <c r="K48" i="1"/>
  <c r="K49" i="1" s="1"/>
  <c r="M40" i="1"/>
  <c r="L40" i="1"/>
  <c r="E122" i="6"/>
  <c r="H122" i="6"/>
  <c r="K121" i="6"/>
  <c r="R95" i="5"/>
  <c r="S95" i="5" s="1"/>
  <c r="G118" i="7"/>
  <c r="G131" i="6"/>
  <c r="E146" i="6" s="1"/>
  <c r="N72" i="5"/>
  <c r="O72" i="5" s="1"/>
  <c r="M43" i="1"/>
  <c r="L118" i="6"/>
  <c r="L43" i="1"/>
  <c r="D74" i="6"/>
  <c r="D74" i="5"/>
  <c r="I74" i="5" s="1"/>
  <c r="D87" i="7"/>
  <c r="AB55" i="5"/>
  <c r="D75" i="5"/>
  <c r="I75" i="5" s="1"/>
  <c r="D88" i="7"/>
  <c r="D75" i="6"/>
  <c r="AB56" i="5"/>
  <c r="G122" i="7"/>
  <c r="G135" i="6"/>
  <c r="E109" i="7"/>
  <c r="H118" i="6"/>
  <c r="G92" i="7"/>
  <c r="G93" i="7"/>
  <c r="D76" i="6"/>
  <c r="D76" i="5"/>
  <c r="I76" i="5" s="1"/>
  <c r="D89" i="7"/>
  <c r="AB57" i="5"/>
  <c r="R118" i="6"/>
  <c r="R96" i="5"/>
  <c r="S96" i="5"/>
  <c r="C106" i="7"/>
  <c r="C106" i="6"/>
  <c r="R87" i="6"/>
  <c r="O87" i="6"/>
  <c r="C147" i="6"/>
  <c r="N42" i="1"/>
  <c r="G133" i="6"/>
  <c r="G120" i="7"/>
  <c r="K117" i="6"/>
  <c r="R89" i="5"/>
  <c r="G79" i="6"/>
  <c r="X79" i="6" s="1"/>
  <c r="E85" i="6"/>
  <c r="E93" i="6" s="1"/>
  <c r="H85" i="6"/>
  <c r="H93" i="6" s="1"/>
  <c r="K85" i="6"/>
  <c r="K93" i="6" s="1"/>
  <c r="N85" i="6"/>
  <c r="N93" i="6" s="1"/>
  <c r="I144" i="7"/>
  <c r="L144" i="7" s="1"/>
  <c r="I76" i="7"/>
  <c r="H77" i="7"/>
  <c r="N60" i="5"/>
  <c r="O60" i="5" s="1"/>
  <c r="J60" i="5"/>
  <c r="N116" i="6"/>
  <c r="G136" i="6"/>
  <c r="G123" i="7"/>
  <c r="N117" i="6"/>
  <c r="G124" i="7"/>
  <c r="G137" i="6"/>
  <c r="L121" i="6"/>
  <c r="M46" i="1"/>
  <c r="W89" i="5"/>
  <c r="V98" i="5"/>
  <c r="W98" i="5" s="1"/>
  <c r="F109" i="7"/>
  <c r="O63" i="6"/>
  <c r="Z79" i="5"/>
  <c r="AA79" i="5" s="1"/>
  <c r="AA70" i="5"/>
  <c r="D70" i="6"/>
  <c r="D83" i="7"/>
  <c r="D70" i="5"/>
  <c r="I70" i="5" s="1"/>
  <c r="H121" i="6"/>
  <c r="R94" i="5"/>
  <c r="S94" i="5" s="1"/>
  <c r="K92" i="5"/>
  <c r="M92" i="5" s="1"/>
  <c r="I150" i="6" l="1"/>
  <c r="P45" i="1"/>
  <c r="C107" i="7"/>
  <c r="C107" i="6"/>
  <c r="L122" i="6"/>
  <c r="N122" i="6" s="1"/>
  <c r="M47" i="1"/>
  <c r="R98" i="5"/>
  <c r="S98" i="5" s="1"/>
  <c r="E135" i="6"/>
  <c r="E122" i="7"/>
  <c r="H76" i="5"/>
  <c r="H89" i="7"/>
  <c r="I89" i="7" s="1"/>
  <c r="H76" i="6"/>
  <c r="I76" i="6" s="1"/>
  <c r="X77" i="6" s="1"/>
  <c r="H74" i="6"/>
  <c r="I74" i="6" s="1"/>
  <c r="X75" i="6" s="1"/>
  <c r="H74" i="5"/>
  <c r="H87" i="7"/>
  <c r="I87" i="7" s="1"/>
  <c r="H146" i="6"/>
  <c r="D102" i="7"/>
  <c r="D91" i="5"/>
  <c r="I91" i="5" s="1"/>
  <c r="D102" i="6"/>
  <c r="AB72" i="5"/>
  <c r="K76" i="5"/>
  <c r="M76" i="5" s="1"/>
  <c r="E150" i="6"/>
  <c r="H150" i="6"/>
  <c r="K150" i="6"/>
  <c r="K74" i="5"/>
  <c r="M74" i="5"/>
  <c r="M48" i="1"/>
  <c r="M49" i="1" s="1"/>
  <c r="C145" i="6"/>
  <c r="N40" i="1"/>
  <c r="G98" i="5"/>
  <c r="X98" i="5" s="1"/>
  <c r="K75" i="5"/>
  <c r="M75" i="5" s="1"/>
  <c r="I83" i="7"/>
  <c r="I146" i="6"/>
  <c r="P41" i="1"/>
  <c r="L146" i="6" s="1"/>
  <c r="Q41" i="1"/>
  <c r="K70" i="5"/>
  <c r="M70" i="5" s="1"/>
  <c r="D91" i="6"/>
  <c r="G91" i="6"/>
  <c r="S91" i="6" s="1"/>
  <c r="J91" i="6"/>
  <c r="T91" i="6" s="1"/>
  <c r="M91" i="6"/>
  <c r="U91" i="6" s="1"/>
  <c r="M89" i="6"/>
  <c r="U89" i="6" s="1"/>
  <c r="J89" i="6"/>
  <c r="T89" i="6" s="1"/>
  <c r="G89" i="6"/>
  <c r="S89" i="6" s="1"/>
  <c r="D89" i="6"/>
  <c r="E136" i="6"/>
  <c r="E123" i="7"/>
  <c r="D101" i="7"/>
  <c r="D90" i="5"/>
  <c r="I90" i="5" s="1"/>
  <c r="D101" i="6"/>
  <c r="AB71" i="5"/>
  <c r="E149" i="6"/>
  <c r="H149" i="6"/>
  <c r="N149" i="6"/>
  <c r="K149" i="6"/>
  <c r="H77" i="5"/>
  <c r="H77" i="6"/>
  <c r="I77" i="6" s="1"/>
  <c r="X78" i="6" s="1"/>
  <c r="H90" i="7"/>
  <c r="I90" i="7" s="1"/>
  <c r="F130" i="6"/>
  <c r="F139" i="6" s="1"/>
  <c r="F117" i="7"/>
  <c r="O42" i="1"/>
  <c r="F147" i="6"/>
  <c r="E124" i="7"/>
  <c r="E137" i="6"/>
  <c r="H75" i="5"/>
  <c r="H88" i="7"/>
  <c r="I88" i="7" s="1"/>
  <c r="H75" i="6"/>
  <c r="I75" i="6" s="1"/>
  <c r="X76" i="6" s="1"/>
  <c r="C103" i="7"/>
  <c r="C103" i="6"/>
  <c r="D92" i="6"/>
  <c r="G92" i="6"/>
  <c r="S92" i="6" s="1"/>
  <c r="J92" i="6"/>
  <c r="T92" i="6" s="1"/>
  <c r="M92" i="6"/>
  <c r="U92" i="6" s="1"/>
  <c r="Y79" i="5"/>
  <c r="C151" i="6"/>
  <c r="N46" i="1"/>
  <c r="D79" i="5"/>
  <c r="I79" i="5" s="1"/>
  <c r="AB60" i="5"/>
  <c r="H79" i="5" s="1"/>
  <c r="D90" i="6"/>
  <c r="G90" i="6"/>
  <c r="S90" i="6" s="1"/>
  <c r="J90" i="6"/>
  <c r="T90" i="6" s="1"/>
  <c r="M90" i="6"/>
  <c r="U90" i="6" s="1"/>
  <c r="N118" i="6"/>
  <c r="M118" i="6"/>
  <c r="U118" i="6" s="1"/>
  <c r="E121" i="7"/>
  <c r="E134" i="6"/>
  <c r="L48" i="1"/>
  <c r="G55" i="1" s="1"/>
  <c r="C100" i="7"/>
  <c r="C100" i="6"/>
  <c r="D93" i="7"/>
  <c r="D92" i="7"/>
  <c r="D79" i="6"/>
  <c r="D85" i="6"/>
  <c r="G85" i="6"/>
  <c r="J85" i="6"/>
  <c r="M85" i="6"/>
  <c r="N92" i="5"/>
  <c r="O92" i="5" s="1"/>
  <c r="G89" i="5"/>
  <c r="X89" i="5" s="1"/>
  <c r="Z89" i="5" s="1"/>
  <c r="G100" i="7"/>
  <c r="G100" i="6"/>
  <c r="N115" i="6" s="1"/>
  <c r="N121" i="6"/>
  <c r="H145" i="7"/>
  <c r="S89" i="5"/>
  <c r="E147" i="6"/>
  <c r="C148" i="6"/>
  <c r="N43" i="1"/>
  <c r="I70" i="6"/>
  <c r="X71" i="6" s="1"/>
  <c r="K77" i="5"/>
  <c r="N47" i="1" l="1"/>
  <c r="C152" i="6"/>
  <c r="E152" i="6" s="1"/>
  <c r="L150" i="6"/>
  <c r="N150" i="6" s="1"/>
  <c r="Q45" i="1"/>
  <c r="C108" i="6"/>
  <c r="L123" i="6"/>
  <c r="H93" i="7"/>
  <c r="I93" i="7" s="1"/>
  <c r="H79" i="6"/>
  <c r="H101" i="7"/>
  <c r="I101" i="7" s="1"/>
  <c r="H90" i="5"/>
  <c r="H101" i="6"/>
  <c r="I101" i="6" s="1"/>
  <c r="X102" i="6" s="1"/>
  <c r="H92" i="7"/>
  <c r="I92" i="7" s="1"/>
  <c r="N76" i="5"/>
  <c r="O76" i="5" s="1"/>
  <c r="G109" i="7"/>
  <c r="AA89" i="5"/>
  <c r="Z98" i="5"/>
  <c r="AA98" i="5" s="1"/>
  <c r="O92" i="6"/>
  <c r="R92" i="6"/>
  <c r="D116" i="6"/>
  <c r="G116" i="6"/>
  <c r="S116" i="6" s="1"/>
  <c r="J116" i="6"/>
  <c r="T116" i="6" s="1"/>
  <c r="M116" i="6"/>
  <c r="U116" i="6" s="1"/>
  <c r="O43" i="1"/>
  <c r="F148" i="6"/>
  <c r="K90" i="5"/>
  <c r="U85" i="6"/>
  <c r="U93" i="6" s="1"/>
  <c r="M93" i="6"/>
  <c r="F151" i="6"/>
  <c r="O46" i="1"/>
  <c r="N123" i="6"/>
  <c r="K91" i="5"/>
  <c r="M91" i="5" s="1"/>
  <c r="R90" i="6"/>
  <c r="O90" i="6"/>
  <c r="N75" i="5"/>
  <c r="O75" i="5" s="1"/>
  <c r="H102" i="7"/>
  <c r="I102" i="7" s="1"/>
  <c r="H102" i="6"/>
  <c r="I102" i="6" s="1"/>
  <c r="X103" i="6" s="1"/>
  <c r="H91" i="5"/>
  <c r="C131" i="6"/>
  <c r="C118" i="7"/>
  <c r="K25" i="1"/>
  <c r="D135" i="7" s="1"/>
  <c r="D117" i="6"/>
  <c r="G117" i="6"/>
  <c r="S117" i="6" s="1"/>
  <c r="J117" i="6"/>
  <c r="T117" i="6" s="1"/>
  <c r="M117" i="6"/>
  <c r="U117" i="6" s="1"/>
  <c r="T85" i="6"/>
  <c r="T93" i="6" s="1"/>
  <c r="J93" i="6"/>
  <c r="E151" i="6"/>
  <c r="N146" i="6"/>
  <c r="D120" i="7"/>
  <c r="D133" i="6"/>
  <c r="D148" i="6" s="1"/>
  <c r="AB92" i="5"/>
  <c r="N70" i="5"/>
  <c r="O70" i="5" s="1"/>
  <c r="K79" i="5"/>
  <c r="J79" i="5" s="1"/>
  <c r="N74" i="5"/>
  <c r="O74" i="5" s="1"/>
  <c r="E148" i="6"/>
  <c r="G93" i="6"/>
  <c r="S85" i="6"/>
  <c r="S93" i="6" s="1"/>
  <c r="H147" i="6"/>
  <c r="O91" i="6"/>
  <c r="R91" i="6"/>
  <c r="K146" i="6"/>
  <c r="F145" i="6"/>
  <c r="N48" i="1"/>
  <c r="N49" i="1" s="1"/>
  <c r="O40" i="1"/>
  <c r="E130" i="6"/>
  <c r="E139" i="6" s="1"/>
  <c r="E117" i="7"/>
  <c r="O118" i="6"/>
  <c r="M77" i="5"/>
  <c r="M79" i="5" s="1"/>
  <c r="G109" i="6"/>
  <c r="X109" i="6" s="1"/>
  <c r="E115" i="6"/>
  <c r="E123" i="6" s="1"/>
  <c r="H115" i="6"/>
  <c r="H123" i="6" s="1"/>
  <c r="K115" i="6"/>
  <c r="K123" i="6" s="1"/>
  <c r="R85" i="6"/>
  <c r="O85" i="6"/>
  <c r="D93" i="6"/>
  <c r="C108" i="7"/>
  <c r="I147" i="6"/>
  <c r="P42" i="1"/>
  <c r="O89" i="6"/>
  <c r="R89" i="6"/>
  <c r="C153" i="6"/>
  <c r="K29" i="1" l="1"/>
  <c r="D139" i="7" s="1"/>
  <c r="C122" i="7"/>
  <c r="C135" i="6"/>
  <c r="F152" i="6"/>
  <c r="H152" i="6" s="1"/>
  <c r="O47" i="1"/>
  <c r="L79" i="5"/>
  <c r="H94" i="7"/>
  <c r="R148" i="6"/>
  <c r="O93" i="6"/>
  <c r="D100" i="7"/>
  <c r="D89" i="5"/>
  <c r="I89" i="5" s="1"/>
  <c r="D100" i="6"/>
  <c r="AB70" i="5"/>
  <c r="R116" i="6"/>
  <c r="O116" i="6"/>
  <c r="R93" i="6"/>
  <c r="P40" i="1"/>
  <c r="I145" i="6"/>
  <c r="H120" i="7"/>
  <c r="H133" i="6"/>
  <c r="I133" i="6" s="1"/>
  <c r="X134" i="6" s="1"/>
  <c r="M90" i="5"/>
  <c r="N90" i="5" s="1"/>
  <c r="O90" i="5" s="1"/>
  <c r="D106" i="6"/>
  <c r="D95" i="5"/>
  <c r="I95" i="5" s="1"/>
  <c r="D106" i="7"/>
  <c r="AB76" i="5"/>
  <c r="L147" i="6"/>
  <c r="Q42" i="1"/>
  <c r="N77" i="5"/>
  <c r="O77" i="5" s="1"/>
  <c r="I151" i="6"/>
  <c r="P46" i="1"/>
  <c r="L151" i="6" s="1"/>
  <c r="I148" i="6"/>
  <c r="P43" i="1"/>
  <c r="G130" i="6"/>
  <c r="H145" i="6" s="1"/>
  <c r="G117" i="7"/>
  <c r="N91" i="5"/>
  <c r="O91" i="5" s="1"/>
  <c r="F153" i="6"/>
  <c r="H148" i="6"/>
  <c r="G148" i="6"/>
  <c r="S148" i="6" s="1"/>
  <c r="K147" i="6"/>
  <c r="Y98" i="5"/>
  <c r="H151" i="6"/>
  <c r="E126" i="7"/>
  <c r="F110" i="7"/>
  <c r="E110" i="7"/>
  <c r="D104" i="7"/>
  <c r="D93" i="5"/>
  <c r="I93" i="5" s="1"/>
  <c r="D104" i="6"/>
  <c r="AB74" i="5"/>
  <c r="D94" i="5"/>
  <c r="I94" i="5" s="1"/>
  <c r="D105" i="6"/>
  <c r="D105" i="7"/>
  <c r="AB75" i="5"/>
  <c r="F126" i="7"/>
  <c r="N79" i="5"/>
  <c r="O79" i="5" s="1"/>
  <c r="R117" i="6"/>
  <c r="O117" i="6"/>
  <c r="G110" i="7"/>
  <c r="I152" i="6" l="1"/>
  <c r="K152" i="6" s="1"/>
  <c r="P47" i="1"/>
  <c r="Q46" i="1"/>
  <c r="C136" i="6" s="1"/>
  <c r="O48" i="1"/>
  <c r="O49" i="1" s="1"/>
  <c r="G126" i="7"/>
  <c r="H100" i="7"/>
  <c r="H89" i="5"/>
  <c r="H100" i="6"/>
  <c r="H105" i="6"/>
  <c r="I105" i="6" s="1"/>
  <c r="X106" i="6" s="1"/>
  <c r="H94" i="5"/>
  <c r="H105" i="7"/>
  <c r="I105" i="7" s="1"/>
  <c r="G139" i="6"/>
  <c r="X139" i="6" s="1"/>
  <c r="E145" i="6"/>
  <c r="E153" i="6" s="1"/>
  <c r="C132" i="6"/>
  <c r="C119" i="7"/>
  <c r="K26" i="1"/>
  <c r="D136" i="7" s="1"/>
  <c r="K137" i="7"/>
  <c r="M137" i="7" s="1"/>
  <c r="I120" i="7"/>
  <c r="D115" i="6"/>
  <c r="G115" i="6"/>
  <c r="J115" i="6"/>
  <c r="M115" i="6"/>
  <c r="K148" i="6"/>
  <c r="J148" i="6"/>
  <c r="T148" i="6" s="1"/>
  <c r="L145" i="6"/>
  <c r="P48" i="1"/>
  <c r="P49" i="1" s="1"/>
  <c r="Q40" i="1"/>
  <c r="H153" i="6"/>
  <c r="C123" i="7"/>
  <c r="K30" i="1"/>
  <c r="D140" i="7" s="1"/>
  <c r="L148" i="6"/>
  <c r="Q43" i="1"/>
  <c r="I153" i="6"/>
  <c r="K145" i="6"/>
  <c r="K94" i="5"/>
  <c r="M94" i="5" s="1"/>
  <c r="H93" i="5"/>
  <c r="H104" i="7"/>
  <c r="I104" i="7" s="1"/>
  <c r="H104" i="6"/>
  <c r="I104" i="6" s="1"/>
  <c r="X105" i="6" s="1"/>
  <c r="N151" i="6"/>
  <c r="K95" i="5"/>
  <c r="D131" i="6"/>
  <c r="D118" i="7"/>
  <c r="AB90" i="5"/>
  <c r="N147" i="6"/>
  <c r="K89" i="5"/>
  <c r="M89" i="5" s="1"/>
  <c r="D120" i="6"/>
  <c r="G120" i="6"/>
  <c r="S120" i="6" s="1"/>
  <c r="J120" i="6"/>
  <c r="T120" i="6" s="1"/>
  <c r="M120" i="6"/>
  <c r="U120" i="6" s="1"/>
  <c r="H106" i="6"/>
  <c r="I106" i="6" s="1"/>
  <c r="X107" i="6" s="1"/>
  <c r="H106" i="7"/>
  <c r="I106" i="7" s="1"/>
  <c r="H95" i="5"/>
  <c r="D110" i="7"/>
  <c r="D119" i="6"/>
  <c r="G119" i="6"/>
  <c r="S119" i="6" s="1"/>
  <c r="J119" i="6"/>
  <c r="T119" i="6" s="1"/>
  <c r="M119" i="6"/>
  <c r="U119" i="6" s="1"/>
  <c r="D132" i="6"/>
  <c r="D119" i="7"/>
  <c r="AB91" i="5"/>
  <c r="K151" i="6"/>
  <c r="D121" i="6"/>
  <c r="G121" i="6"/>
  <c r="S121" i="6" s="1"/>
  <c r="J121" i="6"/>
  <c r="T121" i="6" s="1"/>
  <c r="M121" i="6"/>
  <c r="U121" i="6" s="1"/>
  <c r="D98" i="5"/>
  <c r="I98" i="5" s="1"/>
  <c r="AB79" i="5"/>
  <c r="H98" i="5" s="1"/>
  <c r="K93" i="5"/>
  <c r="D107" i="6"/>
  <c r="D109" i="6" s="1"/>
  <c r="D107" i="7"/>
  <c r="D109" i="7" s="1"/>
  <c r="D96" i="5"/>
  <c r="I96" i="5" s="1"/>
  <c r="AB77" i="5"/>
  <c r="L152" i="6" l="1"/>
  <c r="N152" i="6" s="1"/>
  <c r="Q47" i="1"/>
  <c r="T115" i="6"/>
  <c r="I100" i="6"/>
  <c r="X101" i="6" s="1"/>
  <c r="D146" i="6"/>
  <c r="G146" i="6"/>
  <c r="S146" i="6" s="1"/>
  <c r="M146" i="6"/>
  <c r="U146" i="6" s="1"/>
  <c r="J146" i="6"/>
  <c r="T146" i="6" s="1"/>
  <c r="N89" i="5"/>
  <c r="O89" i="5" s="1"/>
  <c r="R120" i="6"/>
  <c r="O120" i="6"/>
  <c r="I100" i="7"/>
  <c r="H132" i="6"/>
  <c r="I132" i="6" s="1"/>
  <c r="X133" i="6" s="1"/>
  <c r="H119" i="7"/>
  <c r="M95" i="5"/>
  <c r="N95" i="5" s="1"/>
  <c r="O95" i="5" s="1"/>
  <c r="K153" i="6"/>
  <c r="C117" i="7"/>
  <c r="Q48" i="1"/>
  <c r="C130" i="6"/>
  <c r="K24" i="1"/>
  <c r="R115" i="6"/>
  <c r="O115" i="6"/>
  <c r="R121" i="6"/>
  <c r="O121" i="6"/>
  <c r="M93" i="5"/>
  <c r="N93" i="5" s="1"/>
  <c r="O93" i="5" s="1"/>
  <c r="R119" i="6"/>
  <c r="O119" i="6"/>
  <c r="N94" i="5"/>
  <c r="O94" i="5" s="1"/>
  <c r="U115" i="6"/>
  <c r="S115" i="6"/>
  <c r="H96" i="5"/>
  <c r="H107" i="7"/>
  <c r="I107" i="7" s="1"/>
  <c r="H107" i="6"/>
  <c r="I107" i="6" s="1"/>
  <c r="X108" i="6" s="1"/>
  <c r="K96" i="5"/>
  <c r="K98" i="5" s="1"/>
  <c r="D147" i="6"/>
  <c r="G147" i="6"/>
  <c r="S147" i="6" s="1"/>
  <c r="J147" i="6"/>
  <c r="T147" i="6" s="1"/>
  <c r="M147" i="6"/>
  <c r="U147" i="6" s="1"/>
  <c r="C120" i="7"/>
  <c r="C133" i="6"/>
  <c r="K27" i="1"/>
  <c r="D137" i="7" s="1"/>
  <c r="L153" i="6"/>
  <c r="N145" i="6"/>
  <c r="D122" i="6"/>
  <c r="D123" i="6" s="1"/>
  <c r="G122" i="6"/>
  <c r="S122" i="6" s="1"/>
  <c r="J122" i="6"/>
  <c r="T122" i="6" s="1"/>
  <c r="M122" i="6"/>
  <c r="U122" i="6" s="1"/>
  <c r="H131" i="6"/>
  <c r="I131" i="6" s="1"/>
  <c r="X132" i="6" s="1"/>
  <c r="H118" i="7"/>
  <c r="M148" i="6"/>
  <c r="U148" i="6" s="1"/>
  <c r="N148" i="6"/>
  <c r="N153" i="6" l="1"/>
  <c r="K31" i="1"/>
  <c r="D141" i="7" s="1"/>
  <c r="C124" i="7"/>
  <c r="C137" i="6"/>
  <c r="M123" i="6"/>
  <c r="U123" i="6"/>
  <c r="D136" i="6"/>
  <c r="D123" i="7"/>
  <c r="AB95" i="5"/>
  <c r="J98" i="5"/>
  <c r="O147" i="6"/>
  <c r="R147" i="6"/>
  <c r="M96" i="5"/>
  <c r="M98" i="5" s="1"/>
  <c r="L98" i="5" s="1"/>
  <c r="K136" i="7"/>
  <c r="M136" i="7" s="1"/>
  <c r="I119" i="7"/>
  <c r="D121" i="7"/>
  <c r="D134" i="6"/>
  <c r="AB93" i="5"/>
  <c r="K32" i="1"/>
  <c r="D134" i="7"/>
  <c r="D142" i="7" s="1"/>
  <c r="C138" i="6"/>
  <c r="D117" i="7"/>
  <c r="D130" i="6"/>
  <c r="AB89" i="5"/>
  <c r="J123" i="6"/>
  <c r="G123" i="6"/>
  <c r="H55" i="1"/>
  <c r="J55" i="1"/>
  <c r="J54" i="1" s="1"/>
  <c r="H109" i="7"/>
  <c r="I109" i="7" s="1"/>
  <c r="T123" i="6"/>
  <c r="I118" i="7"/>
  <c r="K135" i="7"/>
  <c r="M135" i="7" s="1"/>
  <c r="R146" i="6"/>
  <c r="O146" i="6"/>
  <c r="D122" i="7"/>
  <c r="D135" i="6"/>
  <c r="AB94" i="5"/>
  <c r="H109" i="6"/>
  <c r="R122" i="6"/>
  <c r="R123" i="6" s="1"/>
  <c r="O122" i="6"/>
  <c r="O123" i="6" s="1"/>
  <c r="S123" i="6"/>
  <c r="C125" i="7"/>
  <c r="H110" i="7"/>
  <c r="O148" i="6"/>
  <c r="N96" i="5" l="1"/>
  <c r="O96" i="5" s="1"/>
  <c r="H134" i="6"/>
  <c r="I134" i="6" s="1"/>
  <c r="X135" i="6" s="1"/>
  <c r="H121" i="7"/>
  <c r="D149" i="6"/>
  <c r="G149" i="6"/>
  <c r="S149" i="6" s="1"/>
  <c r="J149" i="6"/>
  <c r="T149" i="6" s="1"/>
  <c r="M149" i="6"/>
  <c r="U149" i="6" s="1"/>
  <c r="H135" i="6"/>
  <c r="I135" i="6" s="1"/>
  <c r="X136" i="6" s="1"/>
  <c r="H122" i="7"/>
  <c r="H117" i="7"/>
  <c r="H130" i="6"/>
  <c r="H123" i="7"/>
  <c r="I123" i="7" s="1"/>
  <c r="H136" i="6"/>
  <c r="I136" i="6" s="1"/>
  <c r="X137" i="6" s="1"/>
  <c r="D145" i="6"/>
  <c r="G145" i="6"/>
  <c r="J145" i="6"/>
  <c r="M145" i="6"/>
  <c r="F127" i="7"/>
  <c r="E127" i="7"/>
  <c r="G127" i="7"/>
  <c r="N98" i="5"/>
  <c r="O98" i="5" s="1"/>
  <c r="AB98" i="5" s="1"/>
  <c r="D150" i="6"/>
  <c r="G150" i="6"/>
  <c r="S150" i="6" s="1"/>
  <c r="J150" i="6"/>
  <c r="T150" i="6" s="1"/>
  <c r="M150" i="6"/>
  <c r="U150" i="6" s="1"/>
  <c r="I110" i="7"/>
  <c r="H111" i="7"/>
  <c r="D151" i="6"/>
  <c r="G151" i="6"/>
  <c r="S151" i="6" s="1"/>
  <c r="M151" i="6"/>
  <c r="U151" i="6" s="1"/>
  <c r="J151" i="6"/>
  <c r="T151" i="6" s="1"/>
  <c r="R145" i="6" l="1"/>
  <c r="O145" i="6"/>
  <c r="R150" i="6"/>
  <c r="O150" i="6"/>
  <c r="R151" i="6"/>
  <c r="O151" i="6"/>
  <c r="S145" i="6"/>
  <c r="O149" i="6"/>
  <c r="R149" i="6"/>
  <c r="U145" i="6"/>
  <c r="I117" i="7"/>
  <c r="K134" i="7"/>
  <c r="M134" i="7" s="1"/>
  <c r="I130" i="6"/>
  <c r="X131" i="6" s="1"/>
  <c r="K138" i="7"/>
  <c r="M138" i="7" s="1"/>
  <c r="I121" i="7"/>
  <c r="T145" i="6"/>
  <c r="K139" i="7"/>
  <c r="M139" i="7" s="1"/>
  <c r="I122" i="7"/>
  <c r="D124" i="7"/>
  <c r="D137" i="6"/>
  <c r="AB96" i="5"/>
  <c r="H137" i="6" l="1"/>
  <c r="H124" i="7"/>
  <c r="D152" i="6"/>
  <c r="G152" i="6"/>
  <c r="M152" i="6"/>
  <c r="J152" i="6"/>
  <c r="D139" i="6"/>
  <c r="D127" i="7"/>
  <c r="D126" i="7"/>
  <c r="T152" i="6" l="1"/>
  <c r="T153" i="6" s="1"/>
  <c r="J153" i="6"/>
  <c r="U152" i="6"/>
  <c r="U153" i="6" s="1"/>
  <c r="M153" i="6"/>
  <c r="S152" i="6"/>
  <c r="S153" i="6" s="1"/>
  <c r="G153" i="6"/>
  <c r="R152" i="6"/>
  <c r="R153" i="6" s="1"/>
  <c r="O152" i="6"/>
  <c r="O153" i="6" s="1"/>
  <c r="D153" i="6"/>
  <c r="K141" i="7"/>
  <c r="M141" i="7" s="1"/>
  <c r="I124" i="7"/>
  <c r="H127" i="7"/>
  <c r="K143" i="7"/>
  <c r="M143" i="7" s="1"/>
  <c r="H126" i="7"/>
  <c r="I126" i="7" s="1"/>
  <c r="I137" i="6"/>
  <c r="X138" i="6" s="1"/>
  <c r="H139" i="6"/>
  <c r="I127" i="7" l="1"/>
  <c r="K144" i="7"/>
  <c r="M144" i="7" s="1"/>
  <c r="H128" i="7"/>
  <c r="H146" i="7" s="1"/>
</calcChain>
</file>

<file path=xl/sharedStrings.xml><?xml version="1.0" encoding="utf-8"?>
<sst xmlns="http://schemas.openxmlformats.org/spreadsheetml/2006/main" count="2314" uniqueCount="546">
  <si>
    <t>Row # / Column Letter</t>
  </si>
  <si>
    <t>B</t>
  </si>
  <si>
    <t>C</t>
  </si>
  <si>
    <t>D</t>
  </si>
  <si>
    <t>E</t>
  </si>
  <si>
    <t>F</t>
  </si>
  <si>
    <t>G</t>
  </si>
  <si>
    <t>H</t>
  </si>
  <si>
    <t>I</t>
  </si>
  <si>
    <t>J</t>
  </si>
  <si>
    <t>K</t>
  </si>
  <si>
    <t>L</t>
  </si>
  <si>
    <t>M</t>
  </si>
  <si>
    <t>N</t>
  </si>
  <si>
    <t>Medicaid Eligibility Group (MEG)</t>
  </si>
  <si>
    <t>Projected Year 1</t>
  </si>
  <si>
    <t>Projected Year 2</t>
  </si>
  <si>
    <t>Total Projected</t>
  </si>
  <si>
    <t>(P1)</t>
  </si>
  <si>
    <t>(P2)</t>
  </si>
  <si>
    <t>(D+E)</t>
  </si>
  <si>
    <t>Total Member Months</t>
  </si>
  <si>
    <t>Quarterly % Increase</t>
  </si>
  <si>
    <t>State Plan Services</t>
  </si>
  <si>
    <t>All MEGS</t>
  </si>
  <si>
    <t>Service Category</t>
  </si>
  <si>
    <t xml:space="preserve">State Plan </t>
  </si>
  <si>
    <t>1915(b)(3)</t>
  </si>
  <si>
    <t>MCO</t>
  </si>
  <si>
    <t xml:space="preserve">FFS services </t>
  </si>
  <si>
    <t>PCCM</t>
  </si>
  <si>
    <t>PIHP</t>
  </si>
  <si>
    <t>Approved</t>
  </si>
  <si>
    <t>Services</t>
  </si>
  <si>
    <t>Capitated</t>
  </si>
  <si>
    <t xml:space="preserve">Impacted </t>
  </si>
  <si>
    <t xml:space="preserve"> Fee-for Service</t>
  </si>
  <si>
    <t>Reimbursement</t>
  </si>
  <si>
    <t>by MCO</t>
  </si>
  <si>
    <t>Inpatient Hospital (includes psych)</t>
  </si>
  <si>
    <t>X</t>
  </si>
  <si>
    <t>IHS Inpatient</t>
  </si>
  <si>
    <t>Mental Health Facility</t>
  </si>
  <si>
    <t>Skilled Nursing Home</t>
  </si>
  <si>
    <t>ICF-MR Public</t>
  </si>
  <si>
    <t>ICF-MR Private</t>
  </si>
  <si>
    <t>ICF-Other</t>
  </si>
  <si>
    <t>Physician Services (includes psych)</t>
  </si>
  <si>
    <t>Outpatient Hospital (includes psych)</t>
  </si>
  <si>
    <t xml:space="preserve">IHS Outpatient </t>
  </si>
  <si>
    <t>Prescribed Drugs</t>
  </si>
  <si>
    <t>Dental Services</t>
  </si>
  <si>
    <t>Other Practitioners (includes psych)</t>
  </si>
  <si>
    <t>Clinic Services</t>
  </si>
  <si>
    <t>Lab or Radiology (includes psych)</t>
  </si>
  <si>
    <t>Home Health Services</t>
  </si>
  <si>
    <t>EPSDT Screening</t>
  </si>
  <si>
    <t>Rural Health Clinic</t>
  </si>
  <si>
    <t>FQHC</t>
  </si>
  <si>
    <t>Tribal 638</t>
  </si>
  <si>
    <t>HCBS Waivers</t>
  </si>
  <si>
    <t>Personal Care</t>
  </si>
  <si>
    <t>Other Care Services</t>
  </si>
  <si>
    <t>Family Planning</t>
  </si>
  <si>
    <t>Targeted Case Mgmt - MR Waiver</t>
  </si>
  <si>
    <t>Individualized Alternative or Enhanced Services</t>
  </si>
  <si>
    <t>PCCM Case Management Fees</t>
  </si>
  <si>
    <t>Managed Care Capitated Services</t>
  </si>
  <si>
    <t>O</t>
  </si>
  <si>
    <t xml:space="preserve">MCO/PIHP </t>
  </si>
  <si>
    <t xml:space="preserve">1915(b)(3) </t>
  </si>
  <si>
    <t xml:space="preserve">Administration </t>
  </si>
  <si>
    <t>Medicaid Eligibility Group</t>
  </si>
  <si>
    <t xml:space="preserve">service costs </t>
  </si>
  <si>
    <t>(MEG)</t>
  </si>
  <si>
    <t>Member</t>
  </si>
  <si>
    <t xml:space="preserve">or PCCM Case </t>
  </si>
  <si>
    <t>Fee-for-Service</t>
  </si>
  <si>
    <t>State Plan</t>
  </si>
  <si>
    <t xml:space="preserve">(provide </t>
  </si>
  <si>
    <t xml:space="preserve">Total Actual </t>
  </si>
  <si>
    <t>Incentive</t>
  </si>
  <si>
    <t>Administration</t>
  </si>
  <si>
    <t>Total Actual</t>
  </si>
  <si>
    <t>Months</t>
  </si>
  <si>
    <t>Management Fees</t>
  </si>
  <si>
    <t>Costs</t>
  </si>
  <si>
    <t>Service Costs</t>
  </si>
  <si>
    <t xml:space="preserve"> provide documentation)</t>
  </si>
  <si>
    <t>documentation)</t>
  </si>
  <si>
    <t>schedule categories)</t>
  </si>
  <si>
    <t>Waiver Costs</t>
  </si>
  <si>
    <t>(F+G+H+I)</t>
  </si>
  <si>
    <t>(F/C)</t>
  </si>
  <si>
    <t>(G/C)</t>
  </si>
  <si>
    <t>(H/C)</t>
  </si>
  <si>
    <t>(I/C)</t>
  </si>
  <si>
    <t>(J/C)</t>
  </si>
  <si>
    <t>Total</t>
  </si>
  <si>
    <t>* If a change please note</t>
  </si>
  <si>
    <t>Adjustments to the Waiver Cost Projection</t>
  </si>
  <si>
    <t>Adjustments Made</t>
  </si>
  <si>
    <t>Location of Adjustment</t>
  </si>
  <si>
    <t>State Plan Trend</t>
  </si>
  <si>
    <t xml:space="preserve">State Plan Programmatic/policy/pricing changes </t>
  </si>
  <si>
    <t>Administrative Cost Adjustment</t>
  </si>
  <si>
    <t>1915(b)(3) service Trend</t>
  </si>
  <si>
    <t>Incentives (not in cap payment) Adjustments</t>
  </si>
  <si>
    <t xml:space="preserve">Other </t>
  </si>
  <si>
    <t>P</t>
  </si>
  <si>
    <t>Q</t>
  </si>
  <si>
    <t>R</t>
  </si>
  <si>
    <t>S</t>
  </si>
  <si>
    <t>T</t>
  </si>
  <si>
    <t>U</t>
  </si>
  <si>
    <t>V</t>
  </si>
  <si>
    <t>W</t>
  </si>
  <si>
    <t>Y</t>
  </si>
  <si>
    <t>Z</t>
  </si>
  <si>
    <t>AA</t>
  </si>
  <si>
    <t>AB</t>
  </si>
  <si>
    <t>Actual Waiver Cost Conversion Renewal Comprehensive Version</t>
  </si>
  <si>
    <t>Note: Complete this Appendix for all Prospective Years</t>
  </si>
  <si>
    <t>Waiver Cost Projection</t>
  </si>
  <si>
    <t>PMPM Effect of</t>
  </si>
  <si>
    <t>Program Adjustment</t>
  </si>
  <si>
    <t>Aggregate PMPM</t>
  </si>
  <si>
    <t>Total P1 PMPM</t>
  </si>
  <si>
    <t>Incentive Cost</t>
  </si>
  <si>
    <t>1915(b)(3) Service Costs</t>
  </si>
  <si>
    <t>Administration Costs</t>
  </si>
  <si>
    <t>Inflation Adjustment</t>
  </si>
  <si>
    <t>Inflation</t>
  </si>
  <si>
    <t>[Enter Description</t>
  </si>
  <si>
    <t>Program</t>
  </si>
  <si>
    <t>Effect of State</t>
  </si>
  <si>
    <t>State Plan Service</t>
  </si>
  <si>
    <t>1915(b)(3) Service</t>
  </si>
  <si>
    <t>Administration Cost</t>
  </si>
  <si>
    <t>Projected</t>
  </si>
  <si>
    <t>Member Months</t>
  </si>
  <si>
    <t>Service Costs*</t>
  </si>
  <si>
    <t>Costs*</t>
  </si>
  <si>
    <t>Waiver Costs*</t>
  </si>
  <si>
    <t>(Annual Year 1)</t>
  </si>
  <si>
    <t>Adjustment</t>
  </si>
  <si>
    <t>Here]</t>
  </si>
  <si>
    <t>Plan Service Adj.</t>
  </si>
  <si>
    <t>Cost Projection</t>
  </si>
  <si>
    <t>Projection</t>
  </si>
  <si>
    <t>(Preprint Explains)</t>
  </si>
  <si>
    <t>(IxJ)</t>
  </si>
  <si>
    <t>(K+M)</t>
  </si>
  <si>
    <t>(I+N)</t>
  </si>
  <si>
    <t>(PxQ)</t>
  </si>
  <si>
    <t>(P+R)</t>
  </si>
  <si>
    <t>(T+V)</t>
  </si>
  <si>
    <t>(XxY)</t>
  </si>
  <si>
    <t>(X+Z)</t>
  </si>
  <si>
    <t xml:space="preserve">Total </t>
  </si>
  <si>
    <t>P1 Per Member Per Month (PMPM) Costs</t>
  </si>
  <si>
    <t>P1 PMPM</t>
  </si>
  <si>
    <t>Total P2 PMPM</t>
  </si>
  <si>
    <t xml:space="preserve"> </t>
  </si>
  <si>
    <t>(Annual Year 2)</t>
  </si>
  <si>
    <t>(same as O13-O18)</t>
  </si>
  <si>
    <t>(same as S13-S18)</t>
  </si>
  <si>
    <t>(same as AA13-AA18)</t>
  </si>
  <si>
    <t>(same as AB13-AB18)</t>
  </si>
  <si>
    <t>(O+S+W+AA)</t>
  </si>
  <si>
    <t>Q1 Quarterly Projected Costs</t>
  </si>
  <si>
    <t>Q2 Quarterly Projected Costs</t>
  </si>
  <si>
    <t>Q3 Quarterly Projected Costs</t>
  </si>
  <si>
    <t>Q4 Quarterly Projected Costs</t>
  </si>
  <si>
    <t>Medicaid</t>
  </si>
  <si>
    <t>Year 1</t>
  </si>
  <si>
    <t>Total PMPM</t>
  </si>
  <si>
    <t>Eligibility Group</t>
  </si>
  <si>
    <t>Projections</t>
  </si>
  <si>
    <t xml:space="preserve"> include incentives</t>
  </si>
  <si>
    <t>Q5 Quarterly Projected Costs</t>
  </si>
  <si>
    <t>Q6 Quarterly Projected Costs</t>
  </si>
  <si>
    <t>Q7 Quarterly Projected Costs</t>
  </si>
  <si>
    <t>Q8 Quarterly Projected Costs</t>
  </si>
  <si>
    <t>Year 2</t>
  </si>
  <si>
    <t xml:space="preserve">Overall </t>
  </si>
  <si>
    <t>(annual)</t>
  </si>
  <si>
    <t>Overall</t>
  </si>
  <si>
    <t>P1 to P2 Change</t>
  </si>
  <si>
    <t>(annualized)</t>
  </si>
  <si>
    <r>
      <t xml:space="preserve">Instructions: </t>
    </r>
    <r>
      <rPr>
        <sz val="10"/>
        <rFont val="Arial"/>
        <family val="2"/>
      </rPr>
      <t>Modify columns as applicable to the waiver entity type and structure to note services in different MEGs.</t>
    </r>
  </si>
  <si>
    <r>
      <t xml:space="preserve">* </t>
    </r>
    <r>
      <rPr>
        <sz val="10"/>
        <rFont val="Arial"/>
        <family val="2"/>
      </rPr>
      <t xml:space="preserve">Please note with a * if there are any proposed changes. </t>
    </r>
  </si>
  <si>
    <t>Capitated Costs</t>
  </si>
  <si>
    <t>(Including incentives and risksharing payouts/withholds)</t>
  </si>
  <si>
    <t>(Attach list using CMS 64.10 Waiver</t>
  </si>
  <si>
    <t>FFS Incentive</t>
  </si>
  <si>
    <t>(Same as D13-D18)</t>
  </si>
  <si>
    <t>(same as W13-W18)</t>
  </si>
  <si>
    <t>(Same as G13-G18)</t>
  </si>
  <si>
    <t>(TxU)</t>
  </si>
  <si>
    <t>(Same as F13-F18)</t>
  </si>
  <si>
    <t>(Same as E13-E18)</t>
  </si>
  <si>
    <t xml:space="preserve">** If additional columns are needed in order to identify all of the adjustments being made, please insert the appropriate number of columns and label them accordingly.  </t>
  </si>
  <si>
    <t>P2 PMPM</t>
  </si>
  <si>
    <t>Services in Actual Waiver Cost (Comprehensive and Expedited)</t>
  </si>
  <si>
    <t>Adjustments and Services in Waiver Cost Projection (Comprehensive and Expedited)</t>
  </si>
  <si>
    <t>P1 Projected PMPM Costs (Totals weighted on Projected Year 1 Member Months)</t>
  </si>
  <si>
    <t>P2 Projected PMPM Costs (Totals weighted on Projected Year 2 Member Months)</t>
  </si>
  <si>
    <t>Total P1 Projected</t>
  </si>
  <si>
    <t>Total P2 Projected</t>
  </si>
  <si>
    <t>(not included in capitation rates,</t>
  </si>
  <si>
    <t>((I+K)xL)</t>
  </si>
  <si>
    <t>Projected Quarter 1</t>
  </si>
  <si>
    <t>Projected Quarter 2</t>
  </si>
  <si>
    <t>Projected Quarter 3</t>
  </si>
  <si>
    <t>Projected Quarter 4</t>
  </si>
  <si>
    <t>Projected Quarter 5</t>
  </si>
  <si>
    <t>Projected Quarter 6</t>
  </si>
  <si>
    <t>Projected Quarter 7</t>
  </si>
  <si>
    <t>Projected Quarter 8</t>
  </si>
  <si>
    <t>Targeted Case Mgmt - MH/SA</t>
  </si>
  <si>
    <t>Prospective Year 1 (P1) Projection for State Plan Services**</t>
  </si>
  <si>
    <t>Prospective Year 2 (P2) Projection for State Plan Services**</t>
  </si>
  <si>
    <t>P1 Projection for Incentive Costs not Included in Capitation Rates**</t>
  </si>
  <si>
    <t>P2 Projection for Incentive Costs not Included in Capitation Rates**</t>
  </si>
  <si>
    <t>P1 Projection for 1915(b)(3) Service Costs**</t>
  </si>
  <si>
    <t>P2 Projection for 1915(b)(3) Service Costs**</t>
  </si>
  <si>
    <t>P1 Projection for Administration Costs**</t>
  </si>
  <si>
    <t>P2 Projection for Administration Costs**</t>
  </si>
  <si>
    <t xml:space="preserve">* For comprehensive waivers, Columns D, E, F, G and H are columns K, L, M, N, and O from the Actual Waiver Cost Spreadsheet D3. For expedited waivers, sum the CMS-64.9 WAV and 64.21UWAV forms and divide by the member months for column D.  </t>
  </si>
  <si>
    <t>Sum the CMS 64.10 WAV forms and divide by the member months for Column G. Sum D+G for Column H.</t>
  </si>
  <si>
    <t xml:space="preserve">Waiver Costs </t>
  </si>
  <si>
    <t>Year 1 and 2</t>
  </si>
  <si>
    <t>(P1 +P2)</t>
  </si>
  <si>
    <t>Retrospective Year 1 (R1)</t>
  </si>
  <si>
    <t>Retrospective Year 2 (R2)</t>
  </si>
  <si>
    <t>Renewal Waiver</t>
  </si>
  <si>
    <t>Actual Waiver Cost Renewal Comprehensive Version</t>
  </si>
  <si>
    <t>Waiver Cost Projection Renewal Waiver Comprehensive Version</t>
  </si>
  <si>
    <t>R2 Per Member Per Month (PMPM) Costs</t>
  </si>
  <si>
    <t>Quarterly CMS Targets for RO CMS-64 Review Renewal</t>
  </si>
  <si>
    <t>Cost Effectiveness Summary Sheet Renewal Waiver</t>
  </si>
  <si>
    <t>R2</t>
  </si>
  <si>
    <t>R2 PMPM</t>
  </si>
  <si>
    <t>R2 to P1 Change</t>
  </si>
  <si>
    <t>R1</t>
  </si>
  <si>
    <t>R1 PMPM</t>
  </si>
  <si>
    <t>R1 Per Member Per Month (PMPM) Costs</t>
  </si>
  <si>
    <t>Retrospective Year 2 (R2) Aggregate Costs</t>
  </si>
  <si>
    <t>Retrospective Year 1 (R1) Aggregate Costs</t>
  </si>
  <si>
    <t>Total R1 Expenditures</t>
  </si>
  <si>
    <t>Total R2 Expenditures</t>
  </si>
  <si>
    <t>Retrospective Period</t>
  </si>
  <si>
    <t>Prospective Period</t>
  </si>
  <si>
    <t>R1 to P2 Change</t>
  </si>
  <si>
    <t>R1 to R2 Change</t>
  </si>
  <si>
    <t>Retrospective</t>
  </si>
  <si>
    <t>Year 2 (R2)</t>
  </si>
  <si>
    <t>from the prior waiver submission to the retrospective years of the current waiver submission.</t>
  </si>
  <si>
    <t>Costs to be input below are from the prior waiver submission. Compare the prospective years</t>
  </si>
  <si>
    <t>P1 Per Member Per Month (PMPM) Costs from the prior waiver submission</t>
  </si>
  <si>
    <t>P2 Per Member Per Month (PMPM) Costs from the prior waiver submission</t>
  </si>
  <si>
    <t>Administration in Actual Waiver Cost (Comprehensive and Expedited)</t>
  </si>
  <si>
    <r>
      <t xml:space="preserve">Instructions: </t>
    </r>
    <r>
      <rPr>
        <sz val="10"/>
        <rFont val="Arial"/>
        <family val="2"/>
      </rPr>
      <t>Modify columns as applicable to the waiver entity type and structure to note administration in different MEGs, etc.</t>
    </r>
  </si>
  <si>
    <t>CMS 64.10 line Item</t>
  </si>
  <si>
    <t>CMS 64.10 Explanation</t>
  </si>
  <si>
    <t>Contract</t>
  </si>
  <si>
    <t>Match Rate</t>
  </si>
  <si>
    <t>75% FFP</t>
  </si>
  <si>
    <t>50% FFP</t>
  </si>
  <si>
    <t xml:space="preserve">Total Difference between Projections and Actual Waiver Cost for Previous Waiver Period </t>
  </si>
  <si>
    <t xml:space="preserve">Projection for Upcoming Waiver Period </t>
  </si>
  <si>
    <t>64.10 Waiver</t>
  </si>
  <si>
    <t xml:space="preserve">64.9W /64.21U W </t>
  </si>
  <si>
    <t>Waiver Form</t>
  </si>
  <si>
    <t>Quarterly CMS Targets for RO Cost-Effectiveness Monitoring</t>
  </si>
  <si>
    <t>Worksheet for RO PMPM Cost-Effectiveness Monitoring</t>
  </si>
  <si>
    <t>Projections for RO CMS-64 Certification - Aggregate Cost</t>
  </si>
  <si>
    <t>Actuals</t>
  </si>
  <si>
    <t>Waiver Form Costs</t>
  </si>
  <si>
    <t xml:space="preserve">Projected </t>
  </si>
  <si>
    <t xml:space="preserve">Aggregate </t>
  </si>
  <si>
    <t>PMPM Costs</t>
  </si>
  <si>
    <t>Actual</t>
  </si>
  <si>
    <t>Q1 Quarterly Actual Costs</t>
  </si>
  <si>
    <t>Q2 Quarterly Actual Costs</t>
  </si>
  <si>
    <t>Q3 Quarterly Actual Costs</t>
  </si>
  <si>
    <t>Q4 Quarterly Actual Costs</t>
  </si>
  <si>
    <t>Q5 Quarterly Actual Costs</t>
  </si>
  <si>
    <t>Q6 Quarterly Actual Costs</t>
  </si>
  <si>
    <t>Q7 Quarterly Actual Costs</t>
  </si>
  <si>
    <t>Q8 Quarterly Actual Costs</t>
  </si>
  <si>
    <t>RO Completion Section - For ongoing monitoring</t>
  </si>
  <si>
    <t>Total Projected Waiver Expenditures P2 + P1 (Casemix for P1 and P2)</t>
  </si>
  <si>
    <t>Total Previous Waiver Period Expenditures (Casemix for R1 and R2)</t>
  </si>
  <si>
    <t>Total Previous P2 Projection using R2 member months</t>
  </si>
  <si>
    <t>Total Previous P1 Projection using R1 member months</t>
  </si>
  <si>
    <t>P1 Projected PMPM</t>
  </si>
  <si>
    <t>State Completion Section - For Waiver Submission</t>
  </si>
  <si>
    <t>From Column G (Administration)</t>
  </si>
  <si>
    <t>(Column H-G)</t>
  </si>
  <si>
    <t>From Column I (services)</t>
  </si>
  <si>
    <t xml:space="preserve">AC </t>
  </si>
  <si>
    <t>AD</t>
  </si>
  <si>
    <t>AE</t>
  </si>
  <si>
    <t>AF</t>
  </si>
  <si>
    <t>AG</t>
  </si>
  <si>
    <t>AH</t>
  </si>
  <si>
    <t>AI</t>
  </si>
  <si>
    <t xml:space="preserve">P1 Projected PMPM Costs from Appendix D5 (Totals weighted on Projected Year 1 Member Months) </t>
  </si>
  <si>
    <t>P2 Projected PMPM Costs from Appendix D5 (Totals weighted on Projected Year 2 Member Months)</t>
  </si>
  <si>
    <t>R2 Weighted Average PMPM Casemix for R1 (R1 MMs)</t>
  </si>
  <si>
    <t>P1 Weighted Average PMPM Casemix for R2 (R2 MMs)</t>
  </si>
  <si>
    <t>P1 Weighted Average PMPM Casemix for P1 (P1 MMs)</t>
  </si>
  <si>
    <t>P2 Weighted Average PMPM Casemix for P1 (P1 MMs)</t>
  </si>
  <si>
    <t>P2 Weighted Average PMPM Casemix for P2 (P2 MMs)</t>
  </si>
  <si>
    <t>P2 Weighted Average PMPM Casemix for R1 (R1 MMs)</t>
  </si>
  <si>
    <t>Note: The States completing the Expedited Test will only attach the most recent waiver Schedule D,
and the corresponding quarters of waiver forms from the CMS-64.9 Waiver and CMS-64.21U Waiver and CMS 64.10 Waiver.
Completion of this Appendix is not necessary for expedited waivers.</t>
  </si>
  <si>
    <t>Note: The States completing the Comprehensive Test will attach the most recent waiver Schedule D,
and the corresponding quarters of waiver forms from the CMS-64.9 Waiver and CMS-64.21U Waiver and CMS 64.10 Waiver.
Completion of this Appendix is required for Comprehensive Waivers.</t>
  </si>
  <si>
    <t>(Same as D30-D35)</t>
  </si>
  <si>
    <t>(Same as E30-E35)</t>
  </si>
  <si>
    <t>(Same as F30-F35)</t>
  </si>
  <si>
    <t>(Same as G30-G35)</t>
  </si>
  <si>
    <t>R1 Overall PMPM Casemix for R1 (R1 MMs)</t>
  </si>
  <si>
    <t>R1 Overall PMPM Casemix for R2 (R2 MMs)</t>
  </si>
  <si>
    <t>P1 PMPM Casemix for R2 (R2 MMs)</t>
  </si>
  <si>
    <t>P2 PMPM Casemix for R2 (R2 MMs)</t>
  </si>
  <si>
    <t>R2 OVerall PMPM Casemix for R2 (R2 MMs)</t>
  </si>
  <si>
    <t>PAHP</t>
  </si>
  <si>
    <t>Modify Line items as necessary to fit the services of the program.</t>
  </si>
  <si>
    <t>Modify Line items as necessary to fit the MEGs of the program.</t>
  </si>
  <si>
    <t>State Completion Sections</t>
  </si>
  <si>
    <t>PMPM from previously approved waiver.</t>
  </si>
  <si>
    <t>BY Expenses</t>
  </si>
  <si>
    <t>FAMILY PLANNING</t>
  </si>
  <si>
    <t>90% FFP</t>
  </si>
  <si>
    <t xml:space="preserve">     A.  </t>
  </si>
  <si>
    <t>COSTS OF IN-HOUSE ACTIVITIES PLUS OTHER STATE AGENCIES AND INSTITUTIONS</t>
  </si>
  <si>
    <t xml:space="preserve">     B.  </t>
  </si>
  <si>
    <t>COST OF PRIVATE SECTOR CONTRACTORS</t>
  </si>
  <si>
    <t xml:space="preserve">     C.  </t>
  </si>
  <si>
    <t>DRUG CLAIMS SYSTEM</t>
  </si>
  <si>
    <t>SKILLED PROFESSIONAL MEDICAL PERSONNEL</t>
  </si>
  <si>
    <t xml:space="preserve">     B. </t>
  </si>
  <si>
    <t>MECHANIZED SYSTEMS, NOT APPROVED UNDER  MMIS PROCEDURES:</t>
  </si>
  <si>
    <t>COSTS OF IN-HOUSE ACTIVITIES PLUS OTHER    STATE AGENCIES AND INSTITUTIONS</t>
  </si>
  <si>
    <t>PEER REVIEW ORGANIZATIONS (PRO)</t>
  </si>
  <si>
    <t xml:space="preserve"> 7.  A. </t>
  </si>
  <si>
    <t>THIRD PARTY LIABILITY RECOVERY PROCEDURE - BILLING OFFSET</t>
  </si>
  <si>
    <t>ASSIGNMENT OF RIGHTS - BILLING OFFSET</t>
  </si>
  <si>
    <t>IMMIGRATION STATUS VERIFICATION SYSTEM COSTS</t>
  </si>
  <si>
    <t>100% FFP</t>
  </si>
  <si>
    <t xml:space="preserve"> NURSE AIDE TRAINING COSTS</t>
  </si>
  <si>
    <t xml:space="preserve"> PREADMISSION SCREENING COSTS</t>
  </si>
  <si>
    <t>RESIDENT REVIEW ACTIVITIES COSTS</t>
  </si>
  <si>
    <t>DRUG USE REVIEW PROGRAM</t>
  </si>
  <si>
    <t>OUTSTATIONED ELIGIBILITY WORKERS</t>
  </si>
  <si>
    <t>14.</t>
  </si>
  <si>
    <t>TANF BASE</t>
  </si>
  <si>
    <t xml:space="preserve">15. </t>
  </si>
  <si>
    <t>TANF SECONDARY 90%</t>
  </si>
  <si>
    <t xml:space="preserve">16. </t>
  </si>
  <si>
    <t>TANF SECONDARY 75%</t>
  </si>
  <si>
    <t>17.</t>
  </si>
  <si>
    <t>EXTERNAL REVIEW</t>
  </si>
  <si>
    <t xml:space="preserve">18. </t>
  </si>
  <si>
    <t>ENROLLMENT BROKERS</t>
  </si>
  <si>
    <t xml:space="preserve">19.  </t>
  </si>
  <si>
    <t>OTHER FINANCIAL PARTICIPATION</t>
  </si>
  <si>
    <t>*Allocation basis is ___% of Medicaid costs OR ___ % of Medicaid eligibles OR ___ other, please explain:</t>
  </si>
  <si>
    <t>Add multiple line items as necessary to fit the administration of the program (i.e. if you have more than one contract on line 19, detail the contracts separately).</t>
  </si>
  <si>
    <t>(monthly)</t>
  </si>
  <si>
    <t>To modify the formulas as necessary to fit the length of the program complete this section.  The formulas will automatically update given this data.</t>
  </si>
  <si>
    <t>Gap (end of R2 to P1)</t>
  </si>
  <si>
    <t>P1</t>
  </si>
  <si>
    <t>P2</t>
  </si>
  <si>
    <t>Sterilizations</t>
  </si>
  <si>
    <t>DESIGN DEVELOPMENT OR INSTALLATION OF MMIS*</t>
  </si>
  <si>
    <t>OPERATION OF AN APPROVED MMIS*:</t>
  </si>
  <si>
    <t>R2 Per Member Per Month (PMPM) Costs (Totals weighted on Retrospective Year 2 Member Months)</t>
  </si>
  <si>
    <t>Total Projected Waiver Expenditures P1(P1 MMs)</t>
  </si>
  <si>
    <t>Total Projected Waiver Expenditures P2 (P2 MMs)</t>
  </si>
  <si>
    <t xml:space="preserve">State: </t>
  </si>
  <si>
    <t>P1      =</t>
  </si>
  <si>
    <t>P2       =</t>
  </si>
  <si>
    <t xml:space="preserve">Actual Enrollment for the Time Period - </t>
  </si>
  <si>
    <t>through</t>
  </si>
  <si>
    <t>Estimated Member Month Calculations</t>
  </si>
  <si>
    <t>Enrollment Projections for the Time Period  -</t>
  </si>
  <si>
    <t>*Projections start on Quarter and include data for requested waiver period</t>
  </si>
  <si>
    <t>R2      =</t>
  </si>
  <si>
    <t>**R1 and R2 include actual data and dates used in conversion - no estimates</t>
  </si>
  <si>
    <t>R1     =</t>
  </si>
  <si>
    <t>NUMBER OF DAYS OF DATA</t>
  </si>
  <si>
    <t>(Days-365)</t>
  </si>
  <si>
    <t>(Days-364)</t>
  </si>
  <si>
    <t>TOTAL R2 to P1</t>
  </si>
  <si>
    <t>TOTAL R2 to P2</t>
  </si>
  <si>
    <t>State:</t>
  </si>
  <si>
    <t>Use Quarter Starting Dates on Appendix D1.  Appendix D6 will automatically become Quarter Ending Dates to sync with CMS-64.</t>
  </si>
  <si>
    <t xml:space="preserve">2 Year </t>
  </si>
  <si>
    <t>5 Year</t>
  </si>
  <si>
    <t>Projected Quarter 9</t>
  </si>
  <si>
    <t>Projected Quarter 10</t>
  </si>
  <si>
    <t>Projected Quarter 11</t>
  </si>
  <si>
    <t>Projected Quarter 12</t>
  </si>
  <si>
    <t>Projected Year 3</t>
  </si>
  <si>
    <t>Projected Quarter 13</t>
  </si>
  <si>
    <t>Projected Quarter 14</t>
  </si>
  <si>
    <t>Projected Quarter 15</t>
  </si>
  <si>
    <t>Projected Quarter 16</t>
  </si>
  <si>
    <t>Projected Year 4</t>
  </si>
  <si>
    <t>(P3)</t>
  </si>
  <si>
    <t>(P4)</t>
  </si>
  <si>
    <t>Projected Quarter 17</t>
  </si>
  <si>
    <t>Projected Quarter 18</t>
  </si>
  <si>
    <t>Projected Quarter 19</t>
  </si>
  <si>
    <t>Projected Quarter 20</t>
  </si>
  <si>
    <t>Projected Year 5</t>
  </si>
  <si>
    <t>(P5)</t>
  </si>
  <si>
    <t>Annualized % Increase</t>
  </si>
  <si>
    <t>R1 to R2</t>
  </si>
  <si>
    <t>R2 to P1</t>
  </si>
  <si>
    <t>P1 to P2</t>
  </si>
  <si>
    <t>P2 to P3</t>
  </si>
  <si>
    <t>P3 to P4</t>
  </si>
  <si>
    <t>P4 to P5</t>
  </si>
  <si>
    <t>R2 to P2</t>
  </si>
  <si>
    <t>R2 to P5</t>
  </si>
  <si>
    <t xml:space="preserve">To modify the formulas as necessary to fit the length of the program complete this section.  </t>
  </si>
  <si>
    <t>The formulas will automatically update given this data.</t>
  </si>
  <si>
    <t>Prospective Years 1 through 5 (P1 - P5) or Years 1 though 2 (P1 -P2)</t>
  </si>
  <si>
    <t>P3      =</t>
  </si>
  <si>
    <t>P4       =</t>
  </si>
  <si>
    <t>P5       =</t>
  </si>
  <si>
    <t>P3</t>
  </si>
  <si>
    <t>P4</t>
  </si>
  <si>
    <t>P5</t>
  </si>
  <si>
    <t>TOTAL R2 to P3</t>
  </si>
  <si>
    <t>TOTAL R2 to P4</t>
  </si>
  <si>
    <t>TOTAL R2 to P5</t>
  </si>
  <si>
    <t>P3 PMPM Casemix for R2 (R2 MMs)</t>
  </si>
  <si>
    <t>P2 Per Member Per Month (PMPM) Costs</t>
  </si>
  <si>
    <t>Prospective Year 3 (P3) Projection for State Plan Services**</t>
  </si>
  <si>
    <t>Total P3 PMPM</t>
  </si>
  <si>
    <t>P3 Projection for Incentive Costs not Included in Capitation Rates**</t>
  </si>
  <si>
    <t>(Annual Year 3)</t>
  </si>
  <si>
    <t>P3 Projection for 1915(b)(3) Service Costs**</t>
  </si>
  <si>
    <t>P3 Projection for Administration Costs**</t>
  </si>
  <si>
    <t>P4 PMPM Casemix for R2 (R2 MMs)</t>
  </si>
  <si>
    <t>P4 PMPM</t>
  </si>
  <si>
    <t>P4 Per Member Per Month (PMPM) Costs</t>
  </si>
  <si>
    <t>P3 PMPM</t>
  </si>
  <si>
    <t>P3 Per Member Per Month (PMPM) Costs</t>
  </si>
  <si>
    <t>Prospective Year 4 (P4) Projection for State Plan Services**</t>
  </si>
  <si>
    <t>Total P4 PMPM</t>
  </si>
  <si>
    <t>P4 Projection for Incentive Costs not Included in Capitation Rates**</t>
  </si>
  <si>
    <t>(Annual Year 4)</t>
  </si>
  <si>
    <t>P4 Projection for 1915(b)(3) Service Costs**</t>
  </si>
  <si>
    <t>P4 Projection for Administration Costs**</t>
  </si>
  <si>
    <t>P5 Projection for Administration Costs**</t>
  </si>
  <si>
    <t>(Annual Year 5)</t>
  </si>
  <si>
    <t>Total P5 PMPM</t>
  </si>
  <si>
    <t>P5 Projection for 1915(b)(3) Service Costs**</t>
  </si>
  <si>
    <t>P5 Projection for Incentive Costs not Included in Capitation Rates**</t>
  </si>
  <si>
    <t>Prospective Year 5 (P2) Projection for State Plan Services**</t>
  </si>
  <si>
    <t>P5 PMPM Casemix for R2 (R2 MMs)</t>
  </si>
  <si>
    <t>Q9 Quarterly Projected Costs</t>
  </si>
  <si>
    <t>Q10 Quarterly Projected Costs</t>
  </si>
  <si>
    <t>Q11 Quarterly Projected Costs</t>
  </si>
  <si>
    <t>Q12 Quarterly Projected Costs</t>
  </si>
  <si>
    <t>Q13 Quarterly Projected Costs</t>
  </si>
  <si>
    <t>Q14 Quarterly Projected Costs</t>
  </si>
  <si>
    <t>Q15 Quarterly Projected Costs</t>
  </si>
  <si>
    <t>Q16 Quarterly Projected Costs</t>
  </si>
  <si>
    <t>Q17 Quarterly Projected Costs</t>
  </si>
  <si>
    <t>Q18 Quarterly Projected Costs</t>
  </si>
  <si>
    <t>Q19 Quarterly Projected Costs</t>
  </si>
  <si>
    <t>Q20 Quarterly Projected Costs</t>
  </si>
  <si>
    <t>P5 Weighted Average PMPM Casemix for P5 (P5 MMs)</t>
  </si>
  <si>
    <t>P4 Weighted Average PMPM Casemix for P4 (P4 MMs)</t>
  </si>
  <si>
    <t>P3 Weighted Average PMPM Casemix for P3 (P3 MMs)</t>
  </si>
  <si>
    <t>Q9 Quarterly Actual Costs</t>
  </si>
  <si>
    <t>Q10 Quarterly Actual Costs</t>
  </si>
  <si>
    <t>Q11 Quarterly Actual Costs</t>
  </si>
  <si>
    <t>Q12 Quarterly Actual Costs</t>
  </si>
  <si>
    <t>Q13 Quarterly Actual Costs</t>
  </si>
  <si>
    <t>Q14 Quarterly Actual Costs</t>
  </si>
  <si>
    <t>Q15 Quarterly Actual Costs</t>
  </si>
  <si>
    <t>Q16 Quarterly Actual Costs</t>
  </si>
  <si>
    <t>Q17 Quarterly Actual Costs</t>
  </si>
  <si>
    <t>Q18 Quarterly Actual Costs</t>
  </si>
  <si>
    <t>Q19 Quarterly Actual Costs</t>
  </si>
  <si>
    <t>Q20 Quarterly Actual Costs</t>
  </si>
  <si>
    <t>R1 to P5 Change</t>
  </si>
  <si>
    <t>P3 Projected PMPM Costs (Totals weighted on Projected Year 3 Member Months)</t>
  </si>
  <si>
    <t>P4 Projected PMPM Costs (Totals weighted on Projected Year 4 Member Months)</t>
  </si>
  <si>
    <t>P5 Projected PMPM Costs (Totals weighted on Projected Year 5 Member Months)</t>
  </si>
  <si>
    <t>P2 to P3 Change</t>
  </si>
  <si>
    <t>P3 to P4 Change</t>
  </si>
  <si>
    <t>P4 to P5 Change</t>
  </si>
  <si>
    <t>Year 3</t>
  </si>
  <si>
    <t>Year 4</t>
  </si>
  <si>
    <t>Year 5</t>
  </si>
  <si>
    <t>P5 PMPM</t>
  </si>
  <si>
    <t>Year 1 - 5</t>
  </si>
  <si>
    <t>(SUM of P1:P5)</t>
  </si>
  <si>
    <t>Total Projected Waiver Expenditures P1:P5 (Casemix for P1 through P5)</t>
  </si>
  <si>
    <t>P3 Weighted Average PMPM Casemix for P2 (P2 MMs)</t>
  </si>
  <si>
    <t>Total Projected Waiver Expenditures P3 (P3 MMs)</t>
  </si>
  <si>
    <t>Total Projected Waiver Expenditures P4 (P4 MMs)</t>
  </si>
  <si>
    <t>P4 Weighted Average PMPM Casemix for P3 (P3 MMs)</t>
  </si>
  <si>
    <t>Total Projected Waiver Expenditures P5 (P5 MMs)</t>
  </si>
  <si>
    <t>P5 Weighted Average PMPM Casemix for P4 (P4 MMs)</t>
  </si>
  <si>
    <t>% Increase</t>
  </si>
  <si>
    <t>*Annualize and Regular Increase is the same over a normal 1 year period.</t>
  </si>
  <si>
    <t>MCHIP</t>
  </si>
  <si>
    <t>SPD</t>
  </si>
  <si>
    <t>Family</t>
  </si>
  <si>
    <t>Adult Expansion</t>
  </si>
  <si>
    <t>CMC</t>
  </si>
  <si>
    <t>Foster Youth</t>
  </si>
  <si>
    <t>SPD Dual</t>
  </si>
  <si>
    <t>California</t>
  </si>
  <si>
    <r>
      <t>Note:</t>
    </r>
    <r>
      <rPr>
        <i/>
        <sz val="8"/>
        <color indexed="10"/>
        <rFont val="Arial"/>
        <family val="2"/>
      </rPr>
      <t xml:space="preserve"> Due to rounding, the sum of the projected quarterly enrollment that is displayed may not equal the projected annual enrollment.</t>
    </r>
  </si>
  <si>
    <t>CCI Dual (non-CMC)</t>
  </si>
  <si>
    <t>EQRO</t>
  </si>
  <si>
    <t>Actuarial services contract</t>
  </si>
  <si>
    <t>IT contracts - CAPMAN, PACES</t>
  </si>
  <si>
    <t>Tab D5, column J, for P1 through P5.</t>
  </si>
  <si>
    <t>Tab D5, column L, for P1 through P5.</t>
  </si>
  <si>
    <t>Tab D5, column Y, for P1 through P5.</t>
  </si>
  <si>
    <t>State Plan Services Trend</t>
  </si>
  <si>
    <t>Administrative Cost Trend</t>
  </si>
  <si>
    <t>see below*</t>
  </si>
  <si>
    <t>Enrollment broker</t>
  </si>
  <si>
    <r>
      <t>X</t>
    </r>
    <r>
      <rPr>
        <vertAlign val="superscript"/>
        <sz val="8"/>
        <rFont val="Arial"/>
        <family val="2"/>
      </rPr>
      <t>A</t>
    </r>
  </si>
  <si>
    <r>
      <rPr>
        <vertAlign val="superscript"/>
        <sz val="8"/>
        <rFont val="Arial"/>
        <family val="2"/>
      </rPr>
      <t>A</t>
    </r>
    <r>
      <rPr>
        <sz val="8"/>
        <rFont val="Arial"/>
        <family val="2"/>
      </rPr>
      <t xml:space="preserve"> Effective January 1, 2022, pharmacy and related benefits (listed in Attachment III) that are billed by a pharmacy on a pharmacy claim, including covered outpatient drugs and physician administered drugs, medical supplies and enteral nutritional products, as described in the Medi-Cal Rx All Plan Letter (APL 22-012) were carved out of Medi-Cal managed care capitated benefits. Pharmacy and related benefits that are billed on medical and institutional claims, including physician administered drugs, other outpatient drugs, legend, non-legend and specialty drugs, medical supplies and enteral nutritional products, that are not carved-out to Medi-Cal Rx as discussed above, and further described in Medi-Cal Rx All Plan Letter (APL 22-012), remain carved in to Medi-Cal managed care capitated benefits.</t>
    </r>
  </si>
  <si>
    <t>For Columns B and I (Medicaid Eligibility Group), modify line items as necessary to fit the MEGs of the program. For Columns C and D (Retrospective Year 1-2), the state completes sections. For Columns C to P (Projected Quarters 1 to 20) and Columns G, I, L, N, and P (Projected Years 1 to 5) state completes the sections. For Column C (R1 to R2), Column D (R2 to P1), Column I (R2 to P2), and Column J (R2 to P5), the state completes sections. For Columns C to P (1/1/22 to 10/1/26), modify the formulas as necessary to fit the length of the program and complete this section. The formulas will automatically update given this data. Use Quarter Starting Dates on Appendix D1. Appendix D6 will automatically become Quarter Ending Dates to sync with CMS-64.</t>
  </si>
  <si>
    <t>For Column B (State Plan Services, Service Category) modify line items as necessary to fit the services of the program. For Column C (State Plan Approved Services), Column D (1915b3 Services), Column E (MCO Capitated Reimbursement), Column F (FFS Services Impacted by MCO), Column G (PCCM Fee-for-service Reimbursement), Column H (PIHP Capitated Reimbursement), Column I (PIHP fee-for-service reimbursement), Columnn J (PAHP Capitated Reimbursement), Column K (PAHP Fee-for-service Reimbursement) the state completes sections.</t>
  </si>
  <si>
    <t>For Column B (CMS 64.10 line item) and Column C (CMS 64.10 Explanation) add multiple line items as necessary to fit the administration of the program (i.e. if you have more than one contract on line 19, detail the contracts separately). For Column D (Contract) and Column F (BY Expenses) the state completes the sections.</t>
  </si>
  <si>
    <t>For Column B (Medicaid Eligibility Group) modify line items as necessary to fit the MEGs of the program. For Column D (MCO/PIHP Capitated Costs [including incentives and risksharing payouts/withholds] or PCCM Case Management Fees), Column E (Fee-for-service costs), Column G (FFS Incentive Costs [not included in capitation rates, provide documentation]), Column H (1915b3 service costs [provide documentation]), and Column I (Administration Costs [attach list using CMS 64.10 Waiver schedule categories]) the state completes the sections.</t>
  </si>
  <si>
    <t>For Column C (Adjustments Made) and Column D (Location of Adjustment), state completes the sections.</t>
  </si>
  <si>
    <t>For Column B (Medicaid Eligibility Group) modify line items as necessary to fit the MEGs of the program. For Column J (State Plan Inflation Adjustment [Annual Years 1-5] [Preprint Explains]), Column L (Program Adjustment [Enter Description Here] [preprint explains]), Column Y (Administration Costs Inflation Adjustment [Annual Years 1-5] [preprint explains]), state completes the sections.</t>
  </si>
  <si>
    <t>For Column B, Q, and W (Medicaid Eligibility Group), modify line items as necessary to fit the MEGs of the program. For Columns P and V (Waiver Form), modify line items as necessary to fit the the MEGs of the program.</t>
  </si>
  <si>
    <t>For Column B (Medicaid Eligibility Group) modify line items as necessary to fit the MEGs of the program. For Column J (P1-2 PMPM State Plan Service Costs), PMPM from previously approved waiver. For Column K (P1-P2 PMPM 1915b3 Incentive Costs), PMPM from previously approved waiver. For Column L (P1-P2 PMPM 1915b3 Service Costs), PMPM from previously approved waiver. For Column M (P1-P2 PMPM Administration Costs), PMPM from previously approved waiver. For Column N (P1-2 PMPM Total Actual Waiver Costs), PMPM from previously approved waiver.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</si>
</sst>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General_)"/>
    <numFmt numFmtId="166" formatCode="_(* #,##0_);_(* \(#,##0\);_(* &quot;-&quot;??_);_(@_)"/>
    <numFmt numFmtId="167" formatCode="_(&quot;$&quot;* #,##0_);_(&quot;$&quot;* \(#,##0\);_(&quot;$&quot;* &quot;-&quot;??_);_(@_)"/>
    <numFmt numFmtId="168" formatCode="&quot;$&quot;#,##0"/>
    <numFmt numFmtId="169" formatCode="0.000%"/>
    <numFmt numFmtId="170" formatCode="[$-409]mmmm\ d\,\ yyyy;@"/>
    <numFmt numFmtId="171" formatCode="m/d/yy"/>
  </numFmts>
  <fonts count="18" x14ac:knownFonts="1">
    <font>
      <sz val="10"/>
      <name val="Arial"/>
    </font>
    <font>
      <sz val="10"/>
      <name val="Arial"/>
      <family val="2"/>
    </font>
    <font>
      <sz val="12"/>
      <name val="Helv"/>
    </font>
    <font>
      <sz val="8"/>
      <name val="Arial"/>
      <family val="2"/>
    </font>
    <font>
      <b/>
      <sz val="10"/>
      <name val="Arial"/>
      <family val="2"/>
    </font>
    <font>
      <sz val="10"/>
      <name val="Arial"/>
      <family val="2"/>
    </font>
    <font>
      <b/>
      <sz val="8"/>
      <name val="Arial"/>
      <family val="2"/>
    </font>
    <font>
      <b/>
      <i/>
      <sz val="10"/>
      <name val="Arial"/>
      <family val="2"/>
    </font>
    <font>
      <sz val="8"/>
      <name val="Helv"/>
    </font>
    <font>
      <sz val="10"/>
      <name val="Helv"/>
    </font>
    <font>
      <b/>
      <u/>
      <sz val="10"/>
      <name val="Arial"/>
      <family val="2"/>
    </font>
    <font>
      <sz val="11"/>
      <name val="Calibri"/>
      <family val="2"/>
    </font>
    <font>
      <i/>
      <sz val="8"/>
      <color indexed="10"/>
      <name val="Arial"/>
      <family val="2"/>
    </font>
    <font>
      <vertAlign val="superscript"/>
      <sz val="8"/>
      <name val="Arial"/>
      <family val="2"/>
    </font>
    <font>
      <b/>
      <sz val="8"/>
      <color rgb="FFFF0000"/>
      <name val="Arial"/>
      <family val="2"/>
    </font>
    <font>
      <sz val="10"/>
      <color rgb="FFFF0000"/>
      <name val="Arial"/>
      <family val="2"/>
    </font>
    <font>
      <b/>
      <i/>
      <sz val="8"/>
      <color rgb="FFFF0000"/>
      <name val="Arial"/>
      <family val="2"/>
    </font>
    <font>
      <sz val="8"/>
      <color theme="0"/>
      <name val="Arial"/>
      <family val="2"/>
    </font>
  </fonts>
  <fills count="1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34"/>
        <bgColor indexed="64"/>
      </patternFill>
    </fill>
    <fill>
      <patternFill patternType="solid">
        <fgColor indexed="46"/>
        <bgColor indexed="64"/>
      </patternFill>
    </fill>
    <fill>
      <patternFill patternType="solid">
        <fgColor indexed="29"/>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solid">
        <fgColor rgb="FFFF808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diagonal/>
    </border>
    <border>
      <left style="medium">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top/>
      <bottom style="thin">
        <color indexed="8"/>
      </bottom>
      <diagonal/>
    </border>
    <border>
      <left style="thin">
        <color indexed="64"/>
      </left>
      <right/>
      <top/>
      <bottom style="thin">
        <color indexed="8"/>
      </bottom>
      <diagonal/>
    </border>
    <border>
      <left style="thin">
        <color indexed="64"/>
      </left>
      <right style="thin">
        <color indexed="64"/>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0" fontId="1" fillId="0" borderId="0"/>
    <xf numFmtId="0" fontId="1" fillId="0" borderId="0"/>
    <xf numFmtId="37" fontId="9" fillId="0" borderId="0"/>
    <xf numFmtId="165" fontId="2" fillId="0" borderId="0"/>
    <xf numFmtId="9" fontId="1" fillId="0" borderId="0" applyFont="0" applyFill="0" applyBorder="0" applyAlignment="0" applyProtection="0"/>
  </cellStyleXfs>
  <cellXfs count="676">
    <xf numFmtId="0" fontId="0" fillId="0" borderId="0" xfId="0"/>
    <xf numFmtId="0" fontId="3" fillId="0" borderId="0" xfId="5" applyFont="1" applyAlignment="1">
      <alignment horizontal="center" vertical="center" wrapText="1"/>
    </xf>
    <xf numFmtId="0" fontId="3" fillId="0" borderId="0" xfId="5" applyFont="1" applyAlignment="1">
      <alignment horizontal="center" vertical="center"/>
    </xf>
    <xf numFmtId="0" fontId="3" fillId="0" borderId="0" xfId="5" applyFont="1" applyAlignment="1">
      <alignment vertical="center"/>
    </xf>
    <xf numFmtId="0" fontId="3" fillId="0" borderId="0" xfId="0" applyFont="1" applyAlignment="1">
      <alignment horizontal="center" vertical="center"/>
    </xf>
    <xf numFmtId="165" fontId="4" fillId="0" borderId="0" xfId="7"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vertical="center"/>
    </xf>
    <xf numFmtId="0" fontId="3" fillId="0" borderId="0" xfId="0" applyFont="1" applyAlignment="1">
      <alignment vertical="center"/>
    </xf>
    <xf numFmtId="3" fontId="3" fillId="0" borderId="0" xfId="7" quotePrefix="1" applyNumberFormat="1" applyFont="1" applyAlignment="1">
      <alignment horizontal="right" vertical="center"/>
    </xf>
    <xf numFmtId="10" fontId="5" fillId="0" borderId="0" xfId="0" applyNumberFormat="1" applyFont="1" applyAlignment="1">
      <alignment vertical="center"/>
    </xf>
    <xf numFmtId="3" fontId="5" fillId="0" borderId="0" xfId="0" applyNumberFormat="1" applyFont="1" applyAlignment="1">
      <alignment vertical="center"/>
    </xf>
    <xf numFmtId="165" fontId="3" fillId="0" borderId="0" xfId="7" applyNumberFormat="1" applyFont="1" applyFill="1" applyBorder="1" applyAlignment="1" applyProtection="1">
      <alignment vertical="center"/>
    </xf>
    <xf numFmtId="0" fontId="3"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horizontal="centerContinuous"/>
    </xf>
    <xf numFmtId="0" fontId="5" fillId="0" borderId="0" xfId="0" applyFont="1" applyAlignment="1">
      <alignment horizontal="left"/>
    </xf>
    <xf numFmtId="0" fontId="5" fillId="0" borderId="0" xfId="0" applyFont="1"/>
    <xf numFmtId="165" fontId="6" fillId="0" borderId="0" xfId="7" applyFont="1" applyAlignment="1">
      <alignment horizontal="centerContinuous"/>
    </xf>
    <xf numFmtId="0" fontId="3" fillId="0" borderId="0" xfId="0" applyFont="1" applyAlignment="1">
      <alignment horizontal="centerContinuous"/>
    </xf>
    <xf numFmtId="0" fontId="3" fillId="0" borderId="0" xfId="0" applyFont="1" applyAlignment="1">
      <alignment horizontal="left"/>
    </xf>
    <xf numFmtId="165" fontId="3" fillId="0" borderId="0" xfId="7" applyFont="1"/>
    <xf numFmtId="165" fontId="3" fillId="0" borderId="0" xfId="7" quotePrefix="1" applyFont="1" applyAlignment="1">
      <alignment horizontal="left"/>
    </xf>
    <xf numFmtId="0" fontId="3" fillId="0" borderId="0" xfId="0" applyFont="1"/>
    <xf numFmtId="0" fontId="3" fillId="0" borderId="0" xfId="0" applyFont="1" applyAlignment="1"/>
    <xf numFmtId="0" fontId="5" fillId="0" borderId="0" xfId="0" applyFont="1" applyAlignment="1">
      <alignment horizontal="center"/>
    </xf>
    <xf numFmtId="0" fontId="5" fillId="0" borderId="0" xfId="5" applyFont="1" applyAlignment="1">
      <alignment horizontal="centerContinuous" vertical="center"/>
    </xf>
    <xf numFmtId="0" fontId="5" fillId="0" borderId="0" xfId="5" applyFont="1" applyAlignment="1">
      <alignment vertical="center"/>
    </xf>
    <xf numFmtId="165" fontId="6" fillId="0" borderId="0" xfId="7" applyFont="1" applyAlignment="1">
      <alignment horizontal="centerContinuous" vertical="center" wrapText="1"/>
    </xf>
    <xf numFmtId="0" fontId="3" fillId="0" borderId="0" xfId="5" applyFont="1" applyAlignment="1">
      <alignment horizontal="centerContinuous" vertical="center"/>
    </xf>
    <xf numFmtId="165" fontId="6" fillId="0" borderId="0" xfId="7" applyFont="1" applyAlignment="1">
      <alignment horizontal="centerContinuous" vertical="center"/>
    </xf>
    <xf numFmtId="0" fontId="3" fillId="0" borderId="0" xfId="5" applyFont="1" applyAlignment="1">
      <alignment vertical="center" wrapText="1"/>
    </xf>
    <xf numFmtId="0" fontId="6" fillId="0" borderId="0" xfId="5" applyFont="1" applyAlignment="1">
      <alignment horizontal="centerContinuous" vertical="center" wrapText="1"/>
    </xf>
    <xf numFmtId="0" fontId="6" fillId="0" borderId="0" xfId="5" applyFont="1" applyAlignment="1">
      <alignment horizontal="center" vertical="center" wrapText="1"/>
    </xf>
    <xf numFmtId="0" fontId="6" fillId="0" borderId="0" xfId="5" applyFont="1" applyAlignment="1">
      <alignment horizontal="center"/>
    </xf>
    <xf numFmtId="2" fontId="6" fillId="0" borderId="0" xfId="5" applyNumberFormat="1" applyFont="1" applyAlignment="1">
      <alignment horizontal="center" wrapText="1"/>
    </xf>
    <xf numFmtId="0" fontId="6" fillId="0" borderId="0" xfId="5" applyFont="1" applyAlignment="1">
      <alignment horizontal="center" wrapText="1"/>
    </xf>
    <xf numFmtId="44" fontId="3" fillId="0" borderId="1" xfId="2" applyFont="1" applyBorder="1" applyAlignment="1">
      <alignment horizontal="center" vertical="center" wrapText="1"/>
    </xf>
    <xf numFmtId="2" fontId="6" fillId="0" borderId="0" xfId="5" applyNumberFormat="1" applyFont="1" applyAlignment="1">
      <alignment horizontal="center" vertical="center" wrapText="1"/>
    </xf>
    <xf numFmtId="4" fontId="3" fillId="0" borderId="0" xfId="5" applyNumberFormat="1" applyFont="1" applyAlignment="1">
      <alignment vertical="center"/>
    </xf>
    <xf numFmtId="2" fontId="3" fillId="0" borderId="0" xfId="5" applyNumberFormat="1" applyFont="1" applyAlignment="1">
      <alignment vertical="center"/>
    </xf>
    <xf numFmtId="0" fontId="3" fillId="0" borderId="0" xfId="5" applyFont="1" applyAlignment="1">
      <alignment horizontal="centerContinuous" vertical="center" wrapText="1"/>
    </xf>
    <xf numFmtId="0" fontId="3" fillId="0" borderId="0" xfId="5" applyFont="1" applyAlignment="1">
      <alignment horizontal="left" vertical="center" wrapText="1"/>
    </xf>
    <xf numFmtId="165" fontId="5" fillId="0" borderId="0" xfId="7" applyFont="1" applyAlignment="1">
      <alignment vertical="center"/>
    </xf>
    <xf numFmtId="0" fontId="5" fillId="0" borderId="0" xfId="0" applyFont="1" applyAlignment="1">
      <alignment vertical="center" wrapText="1"/>
    </xf>
    <xf numFmtId="165" fontId="5" fillId="0" borderId="0" xfId="7"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3" fillId="0" borderId="0" xfId="0" applyFont="1" applyAlignment="1">
      <alignment wrapText="1"/>
    </xf>
    <xf numFmtId="4" fontId="3" fillId="0" borderId="0" xfId="0" applyNumberFormat="1" applyFont="1" applyAlignment="1">
      <alignment vertical="center"/>
    </xf>
    <xf numFmtId="164" fontId="3" fillId="0" borderId="0" xfId="0" applyNumberFormat="1" applyFont="1" applyAlignment="1">
      <alignment vertical="center"/>
    </xf>
    <xf numFmtId="2" fontId="3" fillId="0" borderId="0" xfId="0" applyNumberFormat="1" applyFont="1" applyAlignment="1">
      <alignment vertical="center"/>
    </xf>
    <xf numFmtId="4" fontId="6" fillId="0" borderId="0" xfId="0" applyNumberFormat="1" applyFont="1" applyAlignment="1">
      <alignment vertical="center"/>
    </xf>
    <xf numFmtId="165" fontId="3" fillId="0" borderId="0" xfId="7" applyFont="1" applyAlignment="1">
      <alignment horizontal="centerContinuous" vertical="center" wrapText="1"/>
    </xf>
    <xf numFmtId="3" fontId="3" fillId="0" borderId="0" xfId="7" applyNumberFormat="1" applyFont="1" applyAlignment="1">
      <alignment horizontal="centerContinuous" vertical="center"/>
    </xf>
    <xf numFmtId="3" fontId="3" fillId="0" borderId="0" xfId="7" quotePrefix="1" applyNumberFormat="1" applyFont="1" applyAlignment="1">
      <alignment horizontal="centerContinuous" vertical="center"/>
    </xf>
    <xf numFmtId="165" fontId="3" fillId="0" borderId="0" xfId="7" applyFont="1" applyAlignment="1">
      <alignment vertical="center" wrapText="1"/>
    </xf>
    <xf numFmtId="165" fontId="3" fillId="0" borderId="0" xfId="7" applyFont="1" applyAlignment="1">
      <alignment vertical="center"/>
    </xf>
    <xf numFmtId="3" fontId="3" fillId="0" borderId="0" xfId="7" applyNumberFormat="1" applyFont="1" applyAlignment="1">
      <alignment horizontal="right"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horizontal="centerContinuous" vertical="center"/>
    </xf>
    <xf numFmtId="0" fontId="3" fillId="0" borderId="0" xfId="0" applyFont="1" applyFill="1" applyBorder="1" applyAlignment="1">
      <alignment horizontal="centerContinuous" vertical="center"/>
    </xf>
    <xf numFmtId="0" fontId="3" fillId="0" borderId="0" xfId="0" applyFont="1" applyFill="1" applyBorder="1" applyAlignment="1">
      <alignment vertical="center"/>
    </xf>
    <xf numFmtId="165" fontId="6" fillId="3" borderId="22" xfId="7" applyFont="1" applyFill="1" applyBorder="1" applyAlignment="1">
      <alignment horizontal="center" vertical="center"/>
    </xf>
    <xf numFmtId="0" fontId="6" fillId="3" borderId="10" xfId="0" applyFont="1" applyFill="1" applyBorder="1" applyAlignment="1">
      <alignment horizontal="centerContinuous" vertical="center"/>
    </xf>
    <xf numFmtId="0" fontId="6" fillId="3" borderId="11" xfId="0" applyFont="1" applyFill="1" applyBorder="1" applyAlignment="1">
      <alignment horizontal="centerContinuous" vertical="center"/>
    </xf>
    <xf numFmtId="165" fontId="6" fillId="3" borderId="16" xfId="7" applyFont="1" applyFill="1" applyBorder="1" applyAlignment="1">
      <alignment horizontal="center" vertical="center" wrapText="1"/>
    </xf>
    <xf numFmtId="0" fontId="6" fillId="3" borderId="14" xfId="5" applyFont="1" applyFill="1" applyBorder="1" applyAlignment="1">
      <alignment horizontal="center" vertical="center" wrapText="1"/>
    </xf>
    <xf numFmtId="0" fontId="6" fillId="3" borderId="15" xfId="5" applyFont="1" applyFill="1" applyBorder="1" applyAlignment="1">
      <alignment horizontal="center" vertical="center" wrapText="1"/>
    </xf>
    <xf numFmtId="0" fontId="6" fillId="3" borderId="8" xfId="5" applyFont="1" applyFill="1" applyBorder="1" applyAlignment="1">
      <alignment horizontal="center" vertical="center" wrapText="1"/>
    </xf>
    <xf numFmtId="0" fontId="6" fillId="3" borderId="17" xfId="5" applyFont="1" applyFill="1" applyBorder="1" applyAlignment="1">
      <alignment horizontal="center" vertical="center" wrapText="1"/>
    </xf>
    <xf numFmtId="165" fontId="6" fillId="3" borderId="20" xfId="7" applyFont="1" applyFill="1" applyBorder="1" applyAlignment="1">
      <alignment horizontal="center" vertical="center" wrapText="1"/>
    </xf>
    <xf numFmtId="0" fontId="6" fillId="3" borderId="18" xfId="5" applyFont="1" applyFill="1" applyBorder="1" applyAlignment="1">
      <alignment horizontal="center" vertical="center" wrapText="1"/>
    </xf>
    <xf numFmtId="0" fontId="6" fillId="3" borderId="19" xfId="5" applyFont="1" applyFill="1" applyBorder="1" applyAlignment="1">
      <alignment horizontal="center" vertical="center" wrapText="1"/>
    </xf>
    <xf numFmtId="0" fontId="6" fillId="0" borderId="23" xfId="5" applyFont="1" applyBorder="1" applyAlignment="1">
      <alignment vertical="center" wrapText="1"/>
    </xf>
    <xf numFmtId="0" fontId="6" fillId="0" borderId="0" xfId="5" applyFont="1" applyBorder="1" applyAlignment="1">
      <alignment vertical="center" wrapText="1"/>
    </xf>
    <xf numFmtId="166" fontId="6" fillId="0" borderId="0" xfId="1" applyNumberFormat="1" applyFont="1" applyBorder="1" applyAlignment="1">
      <alignment vertical="center" wrapText="1"/>
    </xf>
    <xf numFmtId="44" fontId="6" fillId="0" borderId="0" xfId="2" applyFont="1" applyBorder="1" applyAlignment="1">
      <alignment horizontal="center" vertical="center" wrapText="1"/>
    </xf>
    <xf numFmtId="0" fontId="6" fillId="0" borderId="0" xfId="0" applyFont="1" applyFill="1" applyBorder="1" applyAlignment="1">
      <alignment vertical="center"/>
    </xf>
    <xf numFmtId="0" fontId="6" fillId="3" borderId="12" xfId="0" applyFont="1" applyFill="1" applyBorder="1" applyAlignment="1">
      <alignment horizontal="centerContinuous" vertical="center"/>
    </xf>
    <xf numFmtId="0" fontId="6" fillId="3" borderId="13" xfId="5" applyFont="1" applyFill="1" applyBorder="1" applyAlignment="1">
      <alignment horizontal="center" vertical="center" wrapText="1"/>
    </xf>
    <xf numFmtId="0" fontId="6" fillId="3" borderId="16" xfId="5" applyFont="1" applyFill="1" applyBorder="1" applyAlignment="1">
      <alignment horizontal="center" vertical="center" wrapText="1"/>
    </xf>
    <xf numFmtId="0" fontId="6" fillId="3" borderId="20" xfId="5" applyFont="1" applyFill="1" applyBorder="1" applyAlignment="1">
      <alignment horizontal="center" vertical="center" wrapText="1"/>
    </xf>
    <xf numFmtId="0" fontId="6" fillId="0" borderId="27" xfId="0" applyFont="1" applyFill="1" applyBorder="1" applyAlignment="1">
      <alignment vertical="center"/>
    </xf>
    <xf numFmtId="44" fontId="6" fillId="0" borderId="0" xfId="2" applyFont="1" applyFill="1" applyBorder="1" applyAlignment="1">
      <alignment horizontal="center" vertical="center" wrapText="1"/>
    </xf>
    <xf numFmtId="44" fontId="3" fillId="0" borderId="3" xfId="2" applyFont="1" applyFill="1" applyBorder="1" applyAlignment="1">
      <alignment horizontal="center" vertical="center" wrapText="1"/>
    </xf>
    <xf numFmtId="0" fontId="6" fillId="0" borderId="0" xfId="0" applyFont="1" applyFill="1" applyBorder="1" applyAlignment="1">
      <alignment horizontal="left" vertical="center"/>
    </xf>
    <xf numFmtId="0" fontId="3" fillId="0" borderId="0" xfId="0" applyFont="1" applyFill="1" applyBorder="1" applyAlignment="1">
      <alignment horizontal="left" vertical="center"/>
    </xf>
    <xf numFmtId="44" fontId="6" fillId="0" borderId="9" xfId="2" applyFont="1" applyBorder="1" applyAlignment="1">
      <alignment vertical="center" wrapText="1"/>
    </xf>
    <xf numFmtId="44" fontId="6" fillId="0" borderId="9" xfId="2" applyFont="1" applyBorder="1" applyAlignment="1">
      <alignment horizontal="center" vertical="center" wrapText="1"/>
    </xf>
    <xf numFmtId="44" fontId="3" fillId="0" borderId="0" xfId="0" applyNumberFormat="1" applyFont="1"/>
    <xf numFmtId="0" fontId="6" fillId="0" borderId="44" xfId="0" applyFont="1" applyBorder="1"/>
    <xf numFmtId="0" fontId="6" fillId="0" borderId="45" xfId="0" applyFont="1" applyBorder="1"/>
    <xf numFmtId="44" fontId="3" fillId="0" borderId="35" xfId="2" applyFont="1" applyBorder="1" applyAlignment="1">
      <alignment vertical="center" wrapText="1"/>
    </xf>
    <xf numFmtId="0" fontId="6" fillId="0" borderId="4" xfId="0" applyFont="1" applyBorder="1"/>
    <xf numFmtId="165" fontId="6" fillId="3" borderId="41" xfId="7" applyFont="1" applyFill="1" applyBorder="1" applyAlignment="1">
      <alignment horizontal="center" vertical="center"/>
    </xf>
    <xf numFmtId="165" fontId="6" fillId="3" borderId="17" xfId="7" quotePrefix="1" applyFont="1" applyFill="1" applyBorder="1" applyAlignment="1">
      <alignment horizontal="center" vertical="center" wrapText="1"/>
    </xf>
    <xf numFmtId="165" fontId="6" fillId="3" borderId="17" xfId="7" applyFont="1" applyFill="1" applyBorder="1" applyAlignment="1">
      <alignment horizontal="center" vertical="center" wrapText="1"/>
    </xf>
    <xf numFmtId="165" fontId="6" fillId="3" borderId="19" xfId="7" quotePrefix="1" applyFont="1" applyFill="1" applyBorder="1" applyAlignment="1">
      <alignment horizontal="center" vertical="center" wrapText="1"/>
    </xf>
    <xf numFmtId="166" fontId="3" fillId="0" borderId="3" xfId="1" applyNumberFormat="1" applyFont="1" applyBorder="1" applyAlignment="1">
      <alignment vertical="center"/>
    </xf>
    <xf numFmtId="166" fontId="6" fillId="0" borderId="45" xfId="1" applyNumberFormat="1" applyFont="1" applyBorder="1" applyAlignment="1">
      <alignment vertical="center"/>
    </xf>
    <xf numFmtId="166" fontId="6" fillId="0" borderId="46" xfId="1" applyNumberFormat="1" applyFont="1" applyBorder="1" applyAlignment="1">
      <alignment vertical="center"/>
    </xf>
    <xf numFmtId="0" fontId="4" fillId="0" borderId="0" xfId="0" applyFont="1" applyFill="1" applyBorder="1" applyAlignment="1">
      <alignment horizontal="centerContinuous" vertical="center"/>
    </xf>
    <xf numFmtId="0" fontId="3" fillId="0" borderId="0" xfId="0" applyFont="1" applyFill="1" applyBorder="1" applyAlignment="1"/>
    <xf numFmtId="164" fontId="3" fillId="0" borderId="0" xfId="8" applyNumberFormat="1" applyFont="1" applyAlignment="1">
      <alignment vertical="center"/>
    </xf>
    <xf numFmtId="166" fontId="5" fillId="0" borderId="0" xfId="1" applyNumberFormat="1" applyFont="1" applyAlignment="1">
      <alignment vertical="center"/>
    </xf>
    <xf numFmtId="10" fontId="5" fillId="0" borderId="0" xfId="8" applyNumberFormat="1" applyFont="1" applyAlignment="1">
      <alignment vertical="center"/>
    </xf>
    <xf numFmtId="169" fontId="5" fillId="0" borderId="0" xfId="8" applyNumberFormat="1" applyFont="1" applyAlignment="1">
      <alignment vertical="center"/>
    </xf>
    <xf numFmtId="44" fontId="3" fillId="0" borderId="0" xfId="0" applyNumberFormat="1" applyFont="1" applyAlignment="1">
      <alignment vertical="center"/>
    </xf>
    <xf numFmtId="10" fontId="5" fillId="0" borderId="0" xfId="8" applyNumberFormat="1" applyFont="1" applyAlignment="1">
      <alignment horizontal="left" vertical="center"/>
    </xf>
    <xf numFmtId="0" fontId="3" fillId="0" borderId="0" xfId="5" applyFont="1" applyAlignment="1">
      <alignment horizontal="left" vertical="center"/>
    </xf>
    <xf numFmtId="0" fontId="5" fillId="0" borderId="0" xfId="0" applyFont="1" applyAlignment="1"/>
    <xf numFmtId="0" fontId="7" fillId="0" borderId="0" xfId="0" applyFont="1" applyFill="1" applyBorder="1" applyAlignment="1">
      <alignment vertical="center"/>
    </xf>
    <xf numFmtId="0" fontId="6" fillId="0" borderId="49" xfId="5" applyFont="1" applyBorder="1" applyAlignment="1">
      <alignment vertical="center"/>
    </xf>
    <xf numFmtId="168" fontId="6" fillId="0" borderId="0" xfId="0" applyNumberFormat="1" applyFont="1" applyFill="1" applyBorder="1" applyAlignment="1">
      <alignment vertical="center"/>
    </xf>
    <xf numFmtId="0" fontId="3" fillId="0" borderId="48" xfId="0" applyFont="1" applyFill="1" applyBorder="1" applyAlignment="1">
      <alignment horizontal="centerContinuous" vertical="center"/>
    </xf>
    <xf numFmtId="0" fontId="3" fillId="0" borderId="32" xfId="0" applyFont="1" applyFill="1" applyBorder="1" applyAlignment="1">
      <alignment horizontal="centerContinuous" vertical="center"/>
    </xf>
    <xf numFmtId="0" fontId="3" fillId="0" borderId="53" xfId="0" applyFont="1" applyFill="1" applyBorder="1" applyAlignment="1">
      <alignment horizontal="centerContinuous" vertical="center"/>
    </xf>
    <xf numFmtId="0" fontId="3" fillId="0" borderId="39" xfId="0" applyFont="1" applyFill="1" applyBorder="1" applyAlignment="1">
      <alignment horizontal="centerContinuous" vertical="center"/>
    </xf>
    <xf numFmtId="164" fontId="3" fillId="0" borderId="0" xfId="8" applyNumberFormat="1" applyFont="1" applyFill="1" applyBorder="1" applyAlignment="1">
      <alignment vertical="center"/>
    </xf>
    <xf numFmtId="43" fontId="3" fillId="0" borderId="0" xfId="1" applyFont="1" applyFill="1" applyBorder="1" applyAlignment="1">
      <alignment vertical="center"/>
    </xf>
    <xf numFmtId="165" fontId="4" fillId="0" borderId="0" xfId="7" quotePrefix="1" applyFont="1" applyAlignment="1">
      <alignment horizontal="centerContinuous"/>
    </xf>
    <xf numFmtId="0" fontId="0" fillId="0" borderId="0" xfId="0" applyAlignment="1">
      <alignment horizontal="centerContinuous"/>
    </xf>
    <xf numFmtId="49" fontId="6" fillId="3" borderId="9" xfId="5" applyNumberFormat="1" applyFont="1" applyFill="1" applyBorder="1" applyAlignment="1">
      <alignment horizontal="center" vertical="center" wrapText="1"/>
    </xf>
    <xf numFmtId="0" fontId="3" fillId="0" borderId="0" xfId="0" applyFont="1" applyBorder="1" applyAlignment="1">
      <alignment horizontal="centerContinuous"/>
    </xf>
    <xf numFmtId="0" fontId="3" fillId="0" borderId="0" xfId="0" applyFont="1" applyBorder="1"/>
    <xf numFmtId="0" fontId="6" fillId="3" borderId="61" xfId="0" applyFont="1" applyFill="1" applyBorder="1" applyAlignment="1">
      <alignment horizontal="centerContinuous"/>
    </xf>
    <xf numFmtId="0" fontId="6" fillId="3" borderId="62" xfId="0" applyFont="1" applyFill="1" applyBorder="1" applyAlignment="1">
      <alignment horizontal="centerContinuous" vertical="center"/>
    </xf>
    <xf numFmtId="0" fontId="3" fillId="0" borderId="63" xfId="0" applyFont="1" applyBorder="1"/>
    <xf numFmtId="49" fontId="3" fillId="3" borderId="9" xfId="5" applyNumberFormat="1" applyFont="1" applyFill="1" applyBorder="1" applyAlignment="1">
      <alignment horizontal="center" vertical="center" wrapText="1"/>
    </xf>
    <xf numFmtId="0" fontId="6" fillId="3" borderId="30" xfId="5" applyFont="1" applyFill="1" applyBorder="1" applyAlignment="1">
      <alignment horizontal="center" vertical="center" wrapText="1"/>
    </xf>
    <xf numFmtId="0" fontId="6" fillId="3" borderId="59" xfId="5" applyFont="1" applyFill="1" applyBorder="1" applyAlignment="1">
      <alignment horizontal="center" vertical="center" wrapText="1"/>
    </xf>
    <xf numFmtId="0" fontId="6" fillId="6" borderId="61" xfId="0" applyFont="1" applyFill="1" applyBorder="1" applyAlignment="1">
      <alignment horizontal="centerContinuous"/>
    </xf>
    <xf numFmtId="0" fontId="6" fillId="6" borderId="62" xfId="0" applyFont="1" applyFill="1" applyBorder="1" applyAlignment="1">
      <alignment horizontal="centerContinuous" vertical="center"/>
    </xf>
    <xf numFmtId="44" fontId="6" fillId="4" borderId="9" xfId="2" applyFont="1" applyFill="1" applyBorder="1" applyAlignment="1">
      <alignment horizontal="center" vertical="center" wrapText="1"/>
    </xf>
    <xf numFmtId="44" fontId="3" fillId="4" borderId="19" xfId="2" applyFont="1" applyFill="1" applyBorder="1" applyAlignment="1">
      <alignment horizontal="center" vertical="center" wrapText="1"/>
    </xf>
    <xf numFmtId="0" fontId="6" fillId="3" borderId="29" xfId="5" applyFont="1" applyFill="1" applyBorder="1" applyAlignment="1">
      <alignment horizontal="center" vertical="center" wrapText="1"/>
    </xf>
    <xf numFmtId="0" fontId="6" fillId="0" borderId="63" xfId="0" applyFont="1" applyFill="1" applyBorder="1" applyAlignment="1">
      <alignment horizontal="centerContinuous" vertical="center"/>
    </xf>
    <xf numFmtId="0" fontId="6" fillId="0" borderId="0" xfId="5" applyFont="1" applyFill="1" applyBorder="1" applyAlignment="1">
      <alignment horizontal="center" vertical="center" wrapText="1"/>
    </xf>
    <xf numFmtId="0" fontId="3" fillId="0" borderId="0" xfId="0" applyFont="1" applyFill="1" applyBorder="1"/>
    <xf numFmtId="0" fontId="6" fillId="0" borderId="0" xfId="5" quotePrefix="1" applyFont="1" applyFill="1" applyBorder="1" applyAlignment="1">
      <alignment horizontal="center" vertical="center" wrapText="1"/>
    </xf>
    <xf numFmtId="0" fontId="6" fillId="6" borderId="60" xfId="0" applyFont="1" applyFill="1" applyBorder="1" applyAlignment="1">
      <alignment horizontal="centerContinuous"/>
    </xf>
    <xf numFmtId="0" fontId="3" fillId="0" borderId="65" xfId="0" applyFont="1" applyFill="1" applyBorder="1" applyAlignment="1">
      <alignment vertical="center"/>
    </xf>
    <xf numFmtId="3" fontId="3" fillId="0" borderId="0" xfId="0" applyNumberFormat="1" applyFont="1"/>
    <xf numFmtId="0" fontId="0" fillId="0" borderId="0" xfId="0" applyBorder="1"/>
    <xf numFmtId="0" fontId="3" fillId="0" borderId="63" xfId="0" applyFont="1" applyFill="1" applyBorder="1" applyAlignment="1">
      <alignment vertical="center"/>
    </xf>
    <xf numFmtId="44" fontId="6" fillId="0" borderId="43" xfId="2" applyFont="1" applyBorder="1" applyAlignment="1">
      <alignment horizontal="center" vertical="center" wrapText="1"/>
    </xf>
    <xf numFmtId="165" fontId="4" fillId="0" borderId="0" xfId="7" applyFont="1" applyFill="1" applyAlignment="1">
      <alignment horizontal="centerContinuous" vertical="center"/>
    </xf>
    <xf numFmtId="0" fontId="5" fillId="0" borderId="0" xfId="0" applyFont="1" applyFill="1" applyAlignment="1">
      <alignment horizontal="centerContinuous"/>
    </xf>
    <xf numFmtId="0" fontId="3" fillId="8" borderId="0" xfId="4" applyFont="1" applyFill="1" applyAlignment="1">
      <alignment horizontal="left" vertical="top"/>
    </xf>
    <xf numFmtId="0" fontId="3" fillId="8" borderId="0" xfId="4" applyFont="1" applyFill="1" applyAlignment="1">
      <alignment wrapText="1"/>
    </xf>
    <xf numFmtId="165" fontId="3" fillId="8" borderId="72" xfId="7" applyFont="1" applyFill="1" applyBorder="1" applyAlignment="1">
      <alignment horizontal="left" vertical="center"/>
    </xf>
    <xf numFmtId="165" fontId="3" fillId="8" borderId="54" xfId="7" applyFont="1" applyFill="1" applyBorder="1" applyAlignment="1">
      <alignment horizontal="left" vertical="center"/>
    </xf>
    <xf numFmtId="0" fontId="3" fillId="7" borderId="0" xfId="5" applyFont="1" applyFill="1" applyAlignment="1">
      <alignment horizontal="left" vertical="center"/>
    </xf>
    <xf numFmtId="0" fontId="3" fillId="9" borderId="0" xfId="0" applyFont="1" applyFill="1" applyBorder="1" applyAlignment="1">
      <alignment vertical="center"/>
    </xf>
    <xf numFmtId="0" fontId="3" fillId="10" borderId="0" xfId="0" applyFont="1" applyFill="1" applyBorder="1" applyAlignment="1">
      <alignment vertical="center"/>
    </xf>
    <xf numFmtId="37" fontId="8" fillId="0" borderId="0" xfId="6" applyFont="1" applyFill="1" applyBorder="1" applyAlignment="1" applyProtection="1">
      <alignment horizontal="left"/>
    </xf>
    <xf numFmtId="0" fontId="0" fillId="8" borderId="0" xfId="0" applyFill="1"/>
    <xf numFmtId="0" fontId="5" fillId="0" borderId="0" xfId="0" applyFont="1" applyFill="1"/>
    <xf numFmtId="0" fontId="5" fillId="11" borderId="0" xfId="0" applyFont="1" applyFill="1" applyAlignment="1">
      <alignment vertical="center"/>
    </xf>
    <xf numFmtId="171" fontId="5" fillId="11" borderId="0" xfId="0" applyNumberFormat="1" applyFont="1" applyFill="1" applyAlignment="1">
      <alignment vertical="center"/>
    </xf>
    <xf numFmtId="171" fontId="0" fillId="0" borderId="0" xfId="0" applyNumberFormat="1"/>
    <xf numFmtId="171" fontId="3" fillId="0" borderId="0" xfId="0" applyNumberFormat="1" applyFont="1" applyFill="1" applyBorder="1" applyAlignment="1">
      <alignment vertical="center"/>
    </xf>
    <xf numFmtId="0" fontId="3" fillId="9" borderId="0" xfId="0" applyFont="1" applyFill="1" applyAlignment="1">
      <alignment vertical="center"/>
    </xf>
    <xf numFmtId="0" fontId="3" fillId="9" borderId="0" xfId="0" applyFont="1" applyFill="1"/>
    <xf numFmtId="164" fontId="6" fillId="0" borderId="0" xfId="8" applyNumberFormat="1" applyFont="1" applyBorder="1" applyAlignment="1">
      <alignment vertical="center"/>
    </xf>
    <xf numFmtId="164" fontId="6" fillId="0" borderId="0" xfId="0" applyNumberFormat="1" applyFont="1" applyBorder="1" applyAlignment="1">
      <alignment vertical="center"/>
    </xf>
    <xf numFmtId="0" fontId="3" fillId="12" borderId="0" xfId="0" applyFont="1" applyFill="1" applyBorder="1" applyAlignment="1">
      <alignment vertical="center"/>
    </xf>
    <xf numFmtId="43" fontId="3" fillId="0" borderId="0" xfId="1" applyFont="1" applyBorder="1" applyAlignment="1">
      <alignment vertical="center"/>
    </xf>
    <xf numFmtId="0" fontId="3" fillId="0" borderId="0" xfId="0" applyFont="1" applyBorder="1" applyAlignment="1">
      <alignment vertical="center"/>
    </xf>
    <xf numFmtId="0" fontId="3" fillId="12" borderId="0" xfId="0" applyFont="1" applyFill="1" applyAlignment="1">
      <alignment vertical="center"/>
    </xf>
    <xf numFmtId="0" fontId="6" fillId="12" borderId="0" xfId="0" applyFont="1" applyFill="1" applyBorder="1" applyAlignment="1">
      <alignment horizontal="centerContinuous" vertical="center"/>
    </xf>
    <xf numFmtId="0" fontId="3" fillId="12" borderId="0" xfId="0" applyFont="1" applyFill="1" applyBorder="1" applyAlignment="1">
      <alignment horizontal="centerContinuous"/>
    </xf>
    <xf numFmtId="0" fontId="6" fillId="12" borderId="0" xfId="5" applyFont="1" applyFill="1" applyBorder="1" applyAlignment="1">
      <alignment horizontal="center" vertical="center" wrapText="1"/>
    </xf>
    <xf numFmtId="44" fontId="3" fillId="12" borderId="0" xfId="2" applyFont="1" applyFill="1" applyBorder="1" applyAlignment="1">
      <alignment horizontal="center" vertical="center" wrapText="1"/>
    </xf>
    <xf numFmtId="44" fontId="6" fillId="12" borderId="0" xfId="2" applyFont="1" applyFill="1" applyBorder="1" applyAlignment="1">
      <alignment horizontal="center" vertical="center" wrapText="1"/>
    </xf>
    <xf numFmtId="0" fontId="6" fillId="12" borderId="0" xfId="0" applyFont="1" applyFill="1" applyBorder="1" applyAlignment="1">
      <alignment vertical="center"/>
    </xf>
    <xf numFmtId="168" fontId="6" fillId="12" borderId="0" xfId="0" applyNumberFormat="1" applyFont="1" applyFill="1" applyBorder="1" applyAlignment="1">
      <alignment vertical="center"/>
    </xf>
    <xf numFmtId="0" fontId="3" fillId="12" borderId="0" xfId="0" applyFont="1" applyFill="1" applyBorder="1"/>
    <xf numFmtId="166" fontId="5" fillId="0" borderId="0" xfId="0" applyNumberFormat="1" applyFont="1" applyAlignment="1">
      <alignment vertical="center"/>
    </xf>
    <xf numFmtId="0" fontId="6" fillId="0" borderId="0" xfId="5" applyFont="1" applyBorder="1" applyAlignment="1">
      <alignment vertical="center"/>
    </xf>
    <xf numFmtId="10" fontId="6" fillId="0" borderId="0" xfId="8" applyNumberFormat="1" applyFont="1" applyFill="1" applyBorder="1" applyAlignment="1">
      <alignment horizontal="center" vertical="center"/>
    </xf>
    <xf numFmtId="44" fontId="6" fillId="4" borderId="0" xfId="2" applyFont="1" applyFill="1" applyBorder="1" applyAlignment="1">
      <alignment horizontal="center" vertical="center" wrapText="1"/>
    </xf>
    <xf numFmtId="44" fontId="6" fillId="5" borderId="0" xfId="2" applyFont="1" applyFill="1" applyBorder="1" applyAlignment="1">
      <alignment horizontal="center" vertical="center" wrapText="1"/>
    </xf>
    <xf numFmtId="164" fontId="6" fillId="0" borderId="0" xfId="8" applyNumberFormat="1" applyFont="1" applyFill="1" applyBorder="1" applyAlignment="1">
      <alignment horizontal="center" vertical="center"/>
    </xf>
    <xf numFmtId="8" fontId="6" fillId="0" borderId="0" xfId="2" applyNumberFormat="1" applyFont="1" applyFill="1" applyBorder="1" applyAlignment="1">
      <alignment horizontal="center" vertical="center" wrapText="1"/>
    </xf>
    <xf numFmtId="10" fontId="3" fillId="0" borderId="0" xfId="8" applyNumberFormat="1" applyFont="1" applyFill="1" applyBorder="1" applyAlignment="1">
      <alignment horizontal="center" vertical="center"/>
    </xf>
    <xf numFmtId="10" fontId="3" fillId="0" borderId="0" xfId="8" applyNumberFormat="1" applyFont="1" applyFill="1" applyBorder="1" applyAlignment="1">
      <alignment horizontal="centerContinuous" vertical="center"/>
    </xf>
    <xf numFmtId="10" fontId="0" fillId="0" borderId="0" xfId="8" applyNumberFormat="1" applyFont="1"/>
    <xf numFmtId="10" fontId="3" fillId="0" borderId="0" xfId="8" applyNumberFormat="1" applyFont="1" applyFill="1" applyBorder="1" applyAlignment="1">
      <alignment vertical="center"/>
    </xf>
    <xf numFmtId="10" fontId="3" fillId="0" borderId="0" xfId="8" applyNumberFormat="1" applyFont="1" applyFill="1" applyBorder="1" applyAlignment="1"/>
    <xf numFmtId="10" fontId="6" fillId="0" borderId="0" xfId="8" applyNumberFormat="1" applyFont="1" applyFill="1" applyBorder="1" applyAlignment="1">
      <alignment vertical="center"/>
    </xf>
    <xf numFmtId="10" fontId="6" fillId="0" borderId="0" xfId="8" applyNumberFormat="1" applyFont="1" applyFill="1" applyBorder="1" applyAlignment="1">
      <alignment horizontal="center" vertical="center" wrapText="1"/>
    </xf>
    <xf numFmtId="10" fontId="5" fillId="0" borderId="0" xfId="8" applyNumberFormat="1" applyFont="1" applyFill="1" applyBorder="1" applyAlignment="1">
      <alignment vertical="center"/>
    </xf>
    <xf numFmtId="10" fontId="15" fillId="0" borderId="0" xfId="8" applyNumberFormat="1" applyFont="1" applyFill="1"/>
    <xf numFmtId="0" fontId="3" fillId="0" borderId="0" xfId="0" applyFont="1" applyFill="1" applyAlignment="1">
      <alignment horizontal="center" vertical="center"/>
    </xf>
    <xf numFmtId="0" fontId="3" fillId="0" borderId="0" xfId="5" applyFont="1" applyFill="1" applyAlignment="1">
      <alignment vertical="center"/>
    </xf>
    <xf numFmtId="0" fontId="6" fillId="0" borderId="0" xfId="0" applyFont="1" applyBorder="1" applyAlignment="1">
      <alignment vertical="center"/>
    </xf>
    <xf numFmtId="0" fontId="3" fillId="0" borderId="0" xfId="5" applyFont="1" applyAlignment="1">
      <alignment horizontal="left" vertical="center" wrapText="1"/>
    </xf>
    <xf numFmtId="0" fontId="5" fillId="0" borderId="0" xfId="0" applyFont="1" applyAlignment="1">
      <alignment vertical="center" wrapText="1"/>
    </xf>
    <xf numFmtId="165" fontId="3" fillId="0" borderId="0" xfId="7" applyFont="1" applyAlignment="1">
      <alignment horizontal="left" vertical="center"/>
    </xf>
    <xf numFmtId="0" fontId="17" fillId="0" borderId="0" xfId="5" applyFont="1" applyAlignment="1" applyProtection="1">
      <alignment horizontal="left" vertical="center"/>
      <protection locked="0"/>
    </xf>
    <xf numFmtId="165" fontId="4" fillId="0" borderId="0" xfId="7" applyFont="1" applyAlignment="1" applyProtection="1">
      <alignment horizontal="centerContinuous" vertical="center"/>
      <protection locked="0"/>
    </xf>
    <xf numFmtId="0" fontId="5" fillId="11" borderId="0" xfId="0" applyFont="1" applyFill="1" applyAlignment="1" applyProtection="1">
      <alignment vertical="center"/>
      <protection locked="0"/>
    </xf>
    <xf numFmtId="0" fontId="10" fillId="7" borderId="0" xfId="0" applyFont="1" applyFill="1" applyAlignment="1" applyProtection="1">
      <alignment vertical="center"/>
      <protection locked="0"/>
    </xf>
    <xf numFmtId="0" fontId="5" fillId="0" borderId="0" xfId="0" applyFont="1" applyAlignment="1" applyProtection="1">
      <alignment vertical="center"/>
      <protection locked="0"/>
    </xf>
    <xf numFmtId="171" fontId="5" fillId="7" borderId="0" xfId="0" applyNumberFormat="1" applyFont="1" applyFill="1" applyAlignment="1" applyProtection="1">
      <alignment vertical="center"/>
      <protection locked="0"/>
    </xf>
    <xf numFmtId="171" fontId="5" fillId="11" borderId="0" xfId="0" applyNumberFormat="1" applyFont="1" applyFill="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5" fillId="11" borderId="0" xfId="0" applyNumberFormat="1" applyFont="1" applyFill="1" applyAlignment="1" applyProtection="1">
      <alignment vertical="center"/>
      <protection locked="0"/>
    </xf>
    <xf numFmtId="165" fontId="6" fillId="2" borderId="105" xfId="7" applyFont="1" applyFill="1" applyBorder="1" applyAlignment="1" applyProtection="1">
      <alignment horizontal="center" vertical="center" wrapText="1"/>
      <protection locked="0"/>
    </xf>
    <xf numFmtId="165" fontId="6" fillId="2" borderId="106" xfId="7" applyFont="1" applyFill="1" applyBorder="1" applyAlignment="1" applyProtection="1">
      <alignment horizontal="center" vertical="center" wrapText="1"/>
      <protection locked="0"/>
    </xf>
    <xf numFmtId="0" fontId="6" fillId="2" borderId="106" xfId="0" applyFont="1" applyFill="1" applyBorder="1" applyAlignment="1" applyProtection="1">
      <alignment horizontal="center" vertical="center" wrapText="1"/>
      <protection locked="0"/>
    </xf>
    <xf numFmtId="0" fontId="6" fillId="2" borderId="107" xfId="0" applyFont="1" applyFill="1" applyBorder="1" applyAlignment="1" applyProtection="1">
      <alignment horizontal="center" vertical="center" wrapText="1"/>
      <protection locked="0"/>
    </xf>
    <xf numFmtId="165" fontId="6" fillId="2" borderId="35" xfId="7" applyFont="1" applyFill="1" applyBorder="1" applyAlignment="1" applyProtection="1">
      <alignment horizontal="center" vertical="center" wrapText="1"/>
      <protection locked="0"/>
    </xf>
    <xf numFmtId="171" fontId="6" fillId="2" borderId="1" xfId="7" applyNumberFormat="1" applyFont="1" applyFill="1" applyBorder="1" applyAlignment="1" applyProtection="1">
      <alignment horizontal="center" vertical="center" wrapText="1"/>
      <protection locked="0"/>
    </xf>
    <xf numFmtId="171" fontId="6" fillId="9" borderId="1" xfId="7"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165" fontId="3" fillId="8" borderId="35" xfId="7" applyFont="1" applyFill="1" applyBorder="1" applyAlignment="1" applyProtection="1">
      <alignment horizontal="left" vertical="center"/>
      <protection locked="0"/>
    </xf>
    <xf numFmtId="166" fontId="3" fillId="7" borderId="1" xfId="1" quotePrefix="1" applyNumberFormat="1" applyFont="1" applyFill="1" applyBorder="1" applyAlignment="1" applyProtection="1">
      <alignment horizontal="right" vertical="center"/>
      <protection locked="0"/>
    </xf>
    <xf numFmtId="3" fontId="3" fillId="0" borderId="1" xfId="0" applyNumberFormat="1" applyFont="1" applyBorder="1" applyAlignment="1" applyProtection="1">
      <alignment vertical="center"/>
      <protection locked="0"/>
    </xf>
    <xf numFmtId="3" fontId="3" fillId="0" borderId="3" xfId="0" applyNumberFormat="1" applyFont="1" applyBorder="1" applyAlignment="1" applyProtection="1">
      <alignment vertical="center"/>
      <protection locked="0"/>
    </xf>
    <xf numFmtId="165" fontId="3" fillId="8" borderId="79" xfId="7" applyFont="1" applyFill="1" applyBorder="1" applyAlignment="1" applyProtection="1">
      <alignment horizontal="left" vertical="center"/>
      <protection locked="0"/>
    </xf>
    <xf numFmtId="166" fontId="3" fillId="7" borderId="75" xfId="1" quotePrefix="1" applyNumberFormat="1" applyFont="1" applyFill="1" applyBorder="1" applyAlignment="1" applyProtection="1">
      <alignment horizontal="right" vertical="center"/>
      <protection locked="0"/>
    </xf>
    <xf numFmtId="3" fontId="3" fillId="0" borderId="75" xfId="0" applyNumberFormat="1" applyFont="1" applyBorder="1" applyAlignment="1" applyProtection="1">
      <alignment vertical="center"/>
      <protection locked="0"/>
    </xf>
    <xf numFmtId="3" fontId="3" fillId="0" borderId="97" xfId="0" applyNumberFormat="1" applyFont="1" applyBorder="1" applyAlignment="1" applyProtection="1">
      <alignment vertical="center"/>
      <protection locked="0"/>
    </xf>
    <xf numFmtId="0" fontId="6" fillId="0" borderId="20" xfId="0" applyFont="1" applyBorder="1" applyAlignment="1" applyProtection="1">
      <alignment vertical="center"/>
      <protection locked="0"/>
    </xf>
    <xf numFmtId="166" fontId="6" fillId="0" borderId="18" xfId="1" quotePrefix="1" applyNumberFormat="1" applyFont="1" applyBorder="1" applyAlignment="1" applyProtection="1">
      <alignment horizontal="right" vertical="center"/>
      <protection locked="0"/>
    </xf>
    <xf numFmtId="166" fontId="6" fillId="0" borderId="19" xfId="1" quotePrefix="1" applyNumberFormat="1" applyFont="1" applyBorder="1" applyAlignment="1" applyProtection="1">
      <alignment horizontal="right" vertical="center"/>
      <protection locked="0"/>
    </xf>
    <xf numFmtId="164" fontId="6" fillId="0" borderId="37" xfId="8" applyNumberFormat="1" applyFont="1" applyBorder="1" applyAlignment="1" applyProtection="1">
      <alignment vertical="center"/>
      <protection locked="0"/>
    </xf>
    <xf numFmtId="164" fontId="6" fillId="0" borderId="36" xfId="8" applyNumberFormat="1" applyFont="1" applyBorder="1" applyAlignment="1" applyProtection="1">
      <alignment vertical="center"/>
      <protection locked="0"/>
    </xf>
    <xf numFmtId="164" fontId="6" fillId="0" borderId="38" xfId="8" applyNumberFormat="1" applyFont="1" applyBorder="1" applyAlignment="1" applyProtection="1">
      <alignment vertical="center"/>
      <protection locked="0"/>
    </xf>
    <xf numFmtId="0" fontId="16" fillId="0" borderId="0" xfId="0" applyFont="1" applyBorder="1" applyAlignment="1" applyProtection="1">
      <alignment vertical="center"/>
      <protection locked="0"/>
    </xf>
    <xf numFmtId="0" fontId="6" fillId="2" borderId="19" xfId="0" applyFont="1" applyFill="1" applyBorder="1" applyAlignment="1" applyProtection="1">
      <alignment horizontal="center" vertical="center" wrapText="1"/>
      <protection locked="0"/>
    </xf>
    <xf numFmtId="166" fontId="6" fillId="0" borderId="1" xfId="1" quotePrefix="1" applyNumberFormat="1" applyFont="1" applyBorder="1" applyAlignment="1" applyProtection="1">
      <alignment horizontal="right" vertical="center"/>
      <protection locked="0"/>
    </xf>
    <xf numFmtId="165" fontId="3" fillId="8" borderId="1" xfId="7" applyFont="1" applyFill="1" applyBorder="1" applyAlignment="1" applyProtection="1">
      <alignment horizontal="left" vertical="center"/>
      <protection locked="0"/>
    </xf>
    <xf numFmtId="0" fontId="6" fillId="3" borderId="2" xfId="0" applyFont="1" applyFill="1" applyBorder="1" applyAlignment="1" applyProtection="1">
      <alignment vertical="center"/>
      <protection locked="0"/>
    </xf>
    <xf numFmtId="0" fontId="3" fillId="3" borderId="2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2" fontId="3" fillId="11" borderId="1" xfId="0" applyNumberFormat="1" applyFont="1" applyFill="1" applyBorder="1" applyAlignment="1" applyProtection="1">
      <alignment vertical="center"/>
      <protection locked="0"/>
    </xf>
    <xf numFmtId="2" fontId="3" fillId="0" borderId="1" xfId="0" applyNumberFormat="1" applyFont="1" applyFill="1" applyBorder="1" applyAlignment="1" applyProtection="1">
      <alignment vertical="center"/>
      <protection locked="0"/>
    </xf>
    <xf numFmtId="43" fontId="3" fillId="0" borderId="1" xfId="1"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4" xfId="0" applyFont="1" applyBorder="1" applyAlignment="1" applyProtection="1">
      <alignment vertical="center"/>
      <protection locked="0"/>
    </xf>
    <xf numFmtId="3" fontId="3" fillId="0" borderId="14" xfId="0" applyNumberFormat="1" applyFont="1" applyBorder="1" applyAlignment="1" applyProtection="1">
      <alignment vertical="center"/>
      <protection locked="0"/>
    </xf>
    <xf numFmtId="0" fontId="3" fillId="0" borderId="14" xfId="0" applyFont="1" applyFill="1" applyBorder="1" applyAlignment="1" applyProtection="1">
      <alignment vertical="center"/>
      <protection locked="0"/>
    </xf>
    <xf numFmtId="2" fontId="3" fillId="0" borderId="14" xfId="0" applyNumberFormat="1" applyFont="1" applyFill="1" applyBorder="1" applyAlignment="1" applyProtection="1">
      <alignment vertical="center"/>
      <protection locked="0"/>
    </xf>
    <xf numFmtId="166" fontId="3" fillId="0" borderId="1" xfId="0" applyNumberFormat="1" applyFont="1" applyBorder="1" applyAlignment="1" applyProtection="1">
      <alignment vertical="center"/>
      <protection locked="0"/>
    </xf>
    <xf numFmtId="166" fontId="3" fillId="0" borderId="3" xfId="0" applyNumberFormat="1" applyFont="1" applyBorder="1" applyAlignment="1" applyProtection="1">
      <alignment vertical="center"/>
      <protection locked="0"/>
    </xf>
    <xf numFmtId="166" fontId="3" fillId="0" borderId="75" xfId="0" applyNumberFormat="1" applyFont="1" applyBorder="1" applyAlignment="1" applyProtection="1">
      <alignment vertical="center"/>
      <protection locked="0"/>
    </xf>
    <xf numFmtId="166" fontId="3" fillId="0" borderId="97" xfId="0" applyNumberFormat="1" applyFont="1" applyBorder="1" applyAlignment="1" applyProtection="1">
      <alignment vertical="center"/>
      <protection locked="0"/>
    </xf>
    <xf numFmtId="165" fontId="6" fillId="2" borderId="1" xfId="7" applyFont="1" applyFill="1" applyBorder="1" applyAlignment="1" applyProtection="1">
      <alignment horizontal="center" vertical="center" wrapText="1"/>
      <protection locked="0"/>
    </xf>
    <xf numFmtId="10" fontId="5" fillId="14" borderId="1" xfId="8" applyNumberFormat="1" applyFont="1" applyFill="1" applyBorder="1" applyAlignment="1" applyProtection="1">
      <alignment horizontal="center" vertical="center"/>
      <protection locked="0"/>
    </xf>
    <xf numFmtId="10" fontId="5" fillId="0" borderId="1" xfId="8"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protection locked="0"/>
    </xf>
    <xf numFmtId="0" fontId="6" fillId="2" borderId="48" xfId="0" applyFont="1" applyFill="1" applyBorder="1" applyAlignment="1" applyProtection="1">
      <alignment horizontal="center"/>
      <protection locked="0"/>
    </xf>
    <xf numFmtId="0" fontId="6" fillId="2" borderId="1" xfId="0" applyFont="1" applyFill="1" applyBorder="1" applyAlignment="1" applyProtection="1">
      <alignment horizontal="centerContinuous"/>
      <protection locked="0"/>
    </xf>
    <xf numFmtId="0" fontId="6" fillId="2" borderId="2" xfId="0" applyFont="1" applyFill="1" applyBorder="1" applyAlignment="1" applyProtection="1">
      <alignment horizontal="centerContinuous"/>
      <protection locked="0"/>
    </xf>
    <xf numFmtId="0" fontId="4" fillId="2" borderId="1" xfId="0" applyFont="1" applyFill="1" applyBorder="1" applyAlignment="1" applyProtection="1">
      <alignment horizontal="centerContinuous"/>
      <protection locked="0"/>
    </xf>
    <xf numFmtId="0" fontId="6" fillId="2" borderId="8"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protection locked="0"/>
    </xf>
    <xf numFmtId="0" fontId="6" fillId="2" borderId="14" xfId="0" quotePrefix="1" applyFont="1" applyFill="1" applyBorder="1" applyAlignment="1" applyProtection="1">
      <alignment horizont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protection locked="0"/>
    </xf>
    <xf numFmtId="0" fontId="6" fillId="2" borderId="8" xfId="0" quotePrefix="1" applyFont="1" applyFill="1" applyBorder="1" applyAlignment="1" applyProtection="1">
      <alignment horizontal="center"/>
      <protection locked="0"/>
    </xf>
    <xf numFmtId="0" fontId="5" fillId="2" borderId="18"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protection locked="0"/>
    </xf>
    <xf numFmtId="0" fontId="3" fillId="8" borderId="73" xfId="0" applyFont="1" applyFill="1" applyBorder="1" applyProtection="1">
      <protection locked="0"/>
    </xf>
    <xf numFmtId="0" fontId="3" fillId="7" borderId="66" xfId="0" applyFont="1" applyFill="1" applyBorder="1" applyAlignment="1" applyProtection="1">
      <alignment horizontal="center"/>
      <protection locked="0"/>
    </xf>
    <xf numFmtId="0" fontId="3" fillId="7" borderId="67" xfId="0" applyFont="1" applyFill="1" applyBorder="1" applyAlignment="1" applyProtection="1">
      <alignment horizontal="center"/>
      <protection locked="0"/>
    </xf>
    <xf numFmtId="0" fontId="3" fillId="7" borderId="68" xfId="0" applyFont="1" applyFill="1" applyBorder="1" applyAlignment="1" applyProtection="1">
      <alignment horizontal="center"/>
      <protection locked="0"/>
    </xf>
    <xf numFmtId="0" fontId="3" fillId="8" borderId="74" xfId="0" applyFont="1" applyFill="1" applyBorder="1" applyProtection="1">
      <protection locked="0"/>
    </xf>
    <xf numFmtId="0" fontId="3" fillId="7" borderId="69" xfId="0" applyFont="1" applyFill="1" applyBorder="1" applyAlignment="1" applyProtection="1">
      <alignment horizontal="center"/>
      <protection locked="0"/>
    </xf>
    <xf numFmtId="0" fontId="3" fillId="7" borderId="70" xfId="0" applyFont="1" applyFill="1" applyBorder="1" applyAlignment="1" applyProtection="1">
      <alignment horizontal="center"/>
      <protection locked="0"/>
    </xf>
    <xf numFmtId="0" fontId="3" fillId="7" borderId="71" xfId="0" applyFont="1" applyFill="1" applyBorder="1" applyAlignment="1" applyProtection="1">
      <alignment horizontal="center"/>
      <protection locked="0"/>
    </xf>
    <xf numFmtId="0" fontId="3" fillId="14" borderId="2" xfId="0" applyFont="1" applyFill="1" applyBorder="1" applyAlignment="1" applyProtection="1">
      <alignment wrapText="1"/>
      <protection locked="0"/>
    </xf>
    <xf numFmtId="0" fontId="3" fillId="14" borderId="111" xfId="0" applyFont="1" applyFill="1" applyBorder="1" applyAlignment="1" applyProtection="1">
      <alignment wrapText="1"/>
      <protection locked="0"/>
    </xf>
    <xf numFmtId="0" fontId="3" fillId="14" borderId="21" xfId="0" applyFont="1" applyFill="1" applyBorder="1" applyAlignment="1" applyProtection="1">
      <alignment wrapText="1"/>
      <protection locked="0"/>
    </xf>
    <xf numFmtId="165" fontId="4" fillId="0" borderId="0" xfId="7" applyFont="1" applyAlignment="1" applyProtection="1">
      <alignment horizontal="centerContinuous"/>
      <protection locked="0"/>
    </xf>
    <xf numFmtId="165" fontId="4" fillId="0" borderId="0" xfId="7" applyFont="1" applyAlignment="1" applyProtection="1">
      <alignment horizontal="left"/>
      <protection locked="0"/>
    </xf>
    <xf numFmtId="165" fontId="4" fillId="0" borderId="0" xfId="7" quotePrefix="1" applyFont="1" applyAlignment="1" applyProtection="1">
      <alignment horizontal="left"/>
      <protection locked="0"/>
    </xf>
    <xf numFmtId="0" fontId="17" fillId="0" borderId="0" xfId="0" applyFont="1" applyAlignment="1" applyProtection="1">
      <alignment horizontal="left"/>
      <protection locked="0"/>
    </xf>
    <xf numFmtId="0" fontId="17" fillId="0" borderId="0" xfId="0" applyFont="1" applyAlignment="1" applyProtection="1">
      <alignment horizontal="left" vertical="center"/>
      <protection locked="0"/>
    </xf>
    <xf numFmtId="165" fontId="4" fillId="0" borderId="0" xfId="7" applyFont="1" applyAlignment="1" applyProtection="1">
      <alignment horizontal="center"/>
      <protection locked="0"/>
    </xf>
    <xf numFmtId="0" fontId="4" fillId="0" borderId="0" xfId="0" applyFont="1" applyAlignment="1" applyProtection="1">
      <alignment horizontal="center"/>
      <protection locked="0"/>
    </xf>
    <xf numFmtId="37" fontId="8" fillId="8" borderId="81" xfId="6" applyFont="1" applyFill="1" applyBorder="1" applyAlignment="1" applyProtection="1">
      <alignment horizontal="left"/>
      <protection locked="0"/>
    </xf>
    <xf numFmtId="37" fontId="8" fillId="8" borderId="82" xfId="6" applyFont="1" applyFill="1" applyBorder="1" applyAlignment="1" applyProtection="1">
      <alignment horizontal="left"/>
      <protection locked="0"/>
    </xf>
    <xf numFmtId="37" fontId="8" fillId="7" borderId="83" xfId="6" applyFont="1" applyFill="1" applyBorder="1" applyAlignment="1" applyProtection="1">
      <alignment horizontal="left"/>
      <protection locked="0"/>
    </xf>
    <xf numFmtId="37" fontId="8" fillId="0" borderId="84" xfId="6" applyFont="1" applyBorder="1" applyAlignment="1" applyProtection="1">
      <alignment horizontal="center"/>
      <protection locked="0"/>
    </xf>
    <xf numFmtId="167" fontId="5" fillId="7" borderId="8" xfId="2" applyNumberFormat="1" applyFont="1" applyFill="1" applyBorder="1" applyProtection="1">
      <protection locked="0"/>
    </xf>
    <xf numFmtId="37" fontId="8" fillId="8" borderId="51" xfId="6" applyFont="1" applyFill="1" applyBorder="1" applyAlignment="1" applyProtection="1">
      <alignment horizontal="left"/>
      <protection locked="0"/>
    </xf>
    <xf numFmtId="37" fontId="8" fillId="8" borderId="8" xfId="6" applyFont="1" applyFill="1" applyBorder="1" applyAlignment="1" applyProtection="1">
      <alignment horizontal="left"/>
      <protection locked="0"/>
    </xf>
    <xf numFmtId="37" fontId="8" fillId="7" borderId="0" xfId="6" applyFont="1" applyFill="1" applyBorder="1" applyAlignment="1" applyProtection="1">
      <alignment horizontal="left"/>
      <protection locked="0"/>
    </xf>
    <xf numFmtId="37" fontId="8" fillId="0" borderId="85" xfId="6" applyFont="1" applyBorder="1" applyAlignment="1" applyProtection="1">
      <alignment horizontal="center"/>
      <protection locked="0"/>
    </xf>
    <xf numFmtId="37" fontId="8" fillId="8" borderId="86" xfId="6" applyFont="1" applyFill="1" applyBorder="1" applyAlignment="1" applyProtection="1">
      <alignment horizontal="left"/>
      <protection locked="0"/>
    </xf>
    <xf numFmtId="37" fontId="8" fillId="8" borderId="87" xfId="6" applyFont="1" applyFill="1" applyBorder="1" applyAlignment="1" applyProtection="1">
      <alignment horizontal="left"/>
      <protection locked="0"/>
    </xf>
    <xf numFmtId="37" fontId="8" fillId="7" borderId="88" xfId="6" applyFont="1" applyFill="1" applyBorder="1" applyAlignment="1" applyProtection="1">
      <alignment horizontal="left"/>
      <protection locked="0"/>
    </xf>
    <xf numFmtId="37" fontId="8" fillId="7" borderId="89" xfId="6" applyFont="1" applyFill="1" applyBorder="1" applyAlignment="1" applyProtection="1">
      <alignment horizontal="left"/>
      <protection locked="0"/>
    </xf>
    <xf numFmtId="37" fontId="8" fillId="0" borderId="90" xfId="6" applyFont="1" applyBorder="1" applyAlignment="1" applyProtection="1">
      <alignment horizontal="center"/>
      <protection locked="0"/>
    </xf>
    <xf numFmtId="37" fontId="8" fillId="8" borderId="18" xfId="6" applyFont="1" applyFill="1" applyBorder="1" applyAlignment="1" applyProtection="1">
      <alignment horizontal="left"/>
      <protection locked="0"/>
    </xf>
    <xf numFmtId="37" fontId="8" fillId="7" borderId="18" xfId="6" applyFont="1" applyFill="1" applyBorder="1" applyAlignment="1" applyProtection="1">
      <alignment horizontal="left"/>
      <protection locked="0"/>
    </xf>
    <xf numFmtId="37" fontId="8" fillId="0" borderId="18" xfId="6" applyFont="1" applyBorder="1" applyAlignment="1" applyProtection="1">
      <alignment horizontal="center"/>
      <protection locked="0"/>
    </xf>
    <xf numFmtId="37" fontId="8" fillId="7" borderId="82" xfId="6" applyFont="1" applyFill="1" applyBorder="1" applyAlignment="1" applyProtection="1">
      <alignment horizontal="left"/>
      <protection locked="0"/>
    </xf>
    <xf numFmtId="37" fontId="8" fillId="0" borderId="82" xfId="6" applyFont="1" applyBorder="1" applyAlignment="1" applyProtection="1">
      <alignment horizontal="center"/>
      <protection locked="0"/>
    </xf>
    <xf numFmtId="37" fontId="8" fillId="8" borderId="86" xfId="6" quotePrefix="1" applyFont="1" applyFill="1" applyBorder="1" applyAlignment="1" applyProtection="1">
      <alignment horizontal="left"/>
      <protection locked="0"/>
    </xf>
    <xf numFmtId="37" fontId="8" fillId="7" borderId="89" xfId="6" quotePrefix="1" applyFont="1" applyFill="1" applyBorder="1" applyAlignment="1" applyProtection="1">
      <alignment horizontal="left"/>
      <protection locked="0"/>
    </xf>
    <xf numFmtId="37" fontId="8" fillId="8" borderId="87" xfId="6" quotePrefix="1" applyFont="1" applyFill="1" applyBorder="1" applyAlignment="1" applyProtection="1">
      <alignment horizontal="left"/>
      <protection locked="0"/>
    </xf>
    <xf numFmtId="0" fontId="3" fillId="8" borderId="91" xfId="4" applyFont="1" applyFill="1" applyBorder="1" applyAlignment="1" applyProtection="1">
      <alignment horizontal="left" vertical="top"/>
      <protection locked="0"/>
    </xf>
    <xf numFmtId="0" fontId="3" fillId="8" borderId="92" xfId="4" applyFont="1" applyFill="1" applyBorder="1" applyAlignment="1" applyProtection="1">
      <alignment vertical="top" wrapText="1"/>
      <protection locked="0"/>
    </xf>
    <xf numFmtId="0" fontId="3" fillId="7" borderId="93" xfId="0" applyFont="1" applyFill="1" applyBorder="1" applyAlignment="1" applyProtection="1">
      <alignment horizontal="left"/>
      <protection locked="0"/>
    </xf>
    <xf numFmtId="0" fontId="3" fillId="0" borderId="94" xfId="4" applyFont="1" applyBorder="1" applyAlignment="1" applyProtection="1">
      <alignment horizontal="center" vertical="top" wrapText="1"/>
      <protection locked="0"/>
    </xf>
    <xf numFmtId="167" fontId="4" fillId="7" borderId="92" xfId="4" applyNumberFormat="1" applyFont="1" applyFill="1" applyBorder="1" applyAlignment="1" applyProtection="1">
      <protection locked="0"/>
    </xf>
    <xf numFmtId="165" fontId="6" fillId="2" borderId="22" xfId="7" applyFont="1" applyFill="1" applyBorder="1" applyAlignment="1" applyProtection="1">
      <alignment horizontal="centerContinuous" vertical="center"/>
      <protection locked="0"/>
    </xf>
    <xf numFmtId="0" fontId="3" fillId="2" borderId="41" xfId="5" applyFont="1" applyFill="1" applyBorder="1" applyAlignment="1" applyProtection="1">
      <alignment horizontal="centerContinuous" vertical="center"/>
      <protection locked="0"/>
    </xf>
    <xf numFmtId="0" fontId="6" fillId="2" borderId="12" xfId="5" applyFont="1" applyFill="1" applyBorder="1" applyAlignment="1" applyProtection="1">
      <alignment horizontal="centerContinuous" vertical="center" wrapText="1"/>
      <protection locked="0"/>
    </xf>
    <xf numFmtId="0" fontId="3" fillId="2" borderId="10" xfId="5" applyFont="1" applyFill="1" applyBorder="1" applyAlignment="1" applyProtection="1">
      <alignment horizontal="centerContinuous" vertical="center"/>
      <protection locked="0"/>
    </xf>
    <xf numFmtId="0" fontId="6" fillId="2" borderId="10" xfId="5" applyFont="1" applyFill="1" applyBorder="1" applyAlignment="1" applyProtection="1">
      <alignment horizontal="centerContinuous" vertical="center" wrapText="1"/>
      <protection locked="0"/>
    </xf>
    <xf numFmtId="0" fontId="3" fillId="2" borderId="11" xfId="5" applyFont="1" applyFill="1" applyBorder="1" applyAlignment="1" applyProtection="1">
      <alignment horizontal="centerContinuous" vertical="center"/>
      <protection locked="0"/>
    </xf>
    <xf numFmtId="0" fontId="6" fillId="2" borderId="12" xfId="5" applyFont="1" applyFill="1" applyBorder="1" applyAlignment="1" applyProtection="1">
      <alignment horizontal="centerContinuous" vertical="center"/>
      <protection locked="0"/>
    </xf>
    <xf numFmtId="165" fontId="6" fillId="2" borderId="16" xfId="7" applyFont="1" applyFill="1" applyBorder="1" applyAlignment="1" applyProtection="1">
      <alignment horizontal="center" wrapText="1"/>
      <protection locked="0"/>
    </xf>
    <xf numFmtId="0" fontId="6" fillId="2" borderId="17" xfId="5" applyFont="1" applyFill="1" applyBorder="1" applyAlignment="1" applyProtection="1">
      <alignment horizontal="center" wrapText="1"/>
      <protection locked="0"/>
    </xf>
    <xf numFmtId="0" fontId="6" fillId="2" borderId="13" xfId="5" applyFont="1" applyFill="1" applyBorder="1" applyAlignment="1" applyProtection="1">
      <alignment horizontal="center" wrapText="1"/>
      <protection locked="0"/>
    </xf>
    <xf numFmtId="0" fontId="6" fillId="2" borderId="14" xfId="5" applyFont="1" applyFill="1" applyBorder="1" applyAlignment="1" applyProtection="1">
      <alignment horizontal="center" wrapText="1"/>
      <protection locked="0"/>
    </xf>
    <xf numFmtId="0" fontId="6" fillId="2" borderId="15" xfId="5" applyFont="1" applyFill="1" applyBorder="1" applyAlignment="1" applyProtection="1">
      <alignment horizontal="center" wrapText="1"/>
      <protection locked="0"/>
    </xf>
    <xf numFmtId="0" fontId="6" fillId="2" borderId="16" xfId="5" applyFont="1" applyFill="1" applyBorder="1" applyAlignment="1" applyProtection="1">
      <alignment horizontal="center"/>
      <protection locked="0"/>
    </xf>
    <xf numFmtId="0" fontId="6" fillId="2" borderId="8" xfId="5" applyFont="1" applyFill="1" applyBorder="1" applyAlignment="1" applyProtection="1">
      <alignment horizontal="center" wrapText="1"/>
      <protection locked="0"/>
    </xf>
    <xf numFmtId="0" fontId="6" fillId="2" borderId="16" xfId="5" applyFont="1" applyFill="1" applyBorder="1" applyAlignment="1" applyProtection="1">
      <alignment horizontal="center" wrapText="1"/>
      <protection locked="0"/>
    </xf>
    <xf numFmtId="0" fontId="6" fillId="2" borderId="47" xfId="5" applyFont="1" applyFill="1" applyBorder="1" applyAlignment="1" applyProtection="1">
      <alignment horizontal="center" wrapText="1"/>
      <protection locked="0"/>
    </xf>
    <xf numFmtId="165" fontId="6" fillId="2" borderId="20" xfId="7" applyFont="1" applyFill="1" applyBorder="1" applyAlignment="1" applyProtection="1">
      <alignment horizontal="center" wrapText="1"/>
      <protection locked="0"/>
    </xf>
    <xf numFmtId="0" fontId="6" fillId="2" borderId="19" xfId="5" applyFont="1" applyFill="1" applyBorder="1" applyAlignment="1" applyProtection="1">
      <alignment horizontal="center" wrapText="1"/>
      <protection locked="0"/>
    </xf>
    <xf numFmtId="0" fontId="6" fillId="2" borderId="18" xfId="5" applyFont="1" applyFill="1" applyBorder="1" applyAlignment="1" applyProtection="1">
      <alignment horizontal="center" wrapText="1"/>
      <protection locked="0"/>
    </xf>
    <xf numFmtId="0" fontId="6" fillId="2" borderId="20" xfId="5" applyFont="1" applyFill="1" applyBorder="1" applyAlignment="1" applyProtection="1">
      <alignment horizontal="center" wrapText="1"/>
      <protection locked="0"/>
    </xf>
    <xf numFmtId="165" fontId="3" fillId="8" borderId="72" xfId="7" applyFont="1" applyFill="1" applyBorder="1" applyAlignment="1" applyProtection="1">
      <alignment horizontal="left" vertical="center"/>
      <protection locked="0"/>
    </xf>
    <xf numFmtId="166" fontId="3" fillId="0" borderId="3" xfId="1" applyNumberFormat="1" applyFont="1" applyBorder="1" applyAlignment="1" applyProtection="1">
      <alignment vertical="center" wrapText="1"/>
      <protection locked="0"/>
    </xf>
    <xf numFmtId="167" fontId="3" fillId="7" borderId="35" xfId="2" applyNumberFormat="1" applyFont="1" applyFill="1" applyBorder="1" applyAlignment="1" applyProtection="1">
      <alignment horizontal="center" vertical="center" wrapText="1"/>
      <protection locked="0"/>
    </xf>
    <xf numFmtId="167" fontId="3" fillId="7" borderId="1" xfId="2" applyNumberFormat="1" applyFont="1" applyFill="1" applyBorder="1" applyAlignment="1" applyProtection="1">
      <alignment horizontal="center" vertical="center" wrapText="1"/>
      <protection locked="0"/>
    </xf>
    <xf numFmtId="167" fontId="3" fillId="0" borderId="1" xfId="2" applyNumberFormat="1" applyFont="1" applyFill="1" applyBorder="1" applyAlignment="1" applyProtection="1">
      <alignment horizontal="center" vertical="center" wrapText="1"/>
      <protection locked="0"/>
    </xf>
    <xf numFmtId="167" fontId="6" fillId="0" borderId="3" xfId="2" applyNumberFormat="1" applyFont="1" applyBorder="1" applyAlignment="1" applyProtection="1">
      <alignment horizontal="center" vertical="center" wrapText="1"/>
      <protection locked="0"/>
    </xf>
    <xf numFmtId="44" fontId="3" fillId="0" borderId="35" xfId="2" applyFont="1" applyBorder="1" applyAlignment="1" applyProtection="1">
      <alignment horizontal="center" vertical="center" wrapText="1"/>
      <protection locked="0"/>
    </xf>
    <xf numFmtId="44" fontId="6" fillId="0" borderId="3" xfId="2" applyFont="1" applyBorder="1" applyAlignment="1" applyProtection="1">
      <alignment horizontal="center" vertical="center" wrapText="1"/>
      <protection locked="0"/>
    </xf>
    <xf numFmtId="165" fontId="3" fillId="8" borderId="54" xfId="7" applyFont="1" applyFill="1" applyBorder="1" applyAlignment="1" applyProtection="1">
      <alignment horizontal="left" vertical="center"/>
      <protection locked="0"/>
    </xf>
    <xf numFmtId="167" fontId="3" fillId="7" borderId="14" xfId="2" applyNumberFormat="1" applyFont="1" applyFill="1" applyBorder="1" applyAlignment="1" applyProtection="1">
      <alignment horizontal="center" vertical="center" wrapText="1"/>
      <protection locked="0"/>
    </xf>
    <xf numFmtId="165" fontId="3" fillId="8" borderId="96" xfId="7" applyFont="1" applyFill="1" applyBorder="1" applyAlignment="1" applyProtection="1">
      <alignment horizontal="left" vertical="center"/>
      <protection locked="0"/>
    </xf>
    <xf numFmtId="166" fontId="3" fillId="0" borderId="97" xfId="1" applyNumberFormat="1" applyFont="1" applyBorder="1" applyAlignment="1" applyProtection="1">
      <alignment vertical="center" wrapText="1"/>
      <protection locked="0"/>
    </xf>
    <xf numFmtId="167" fontId="3" fillId="7" borderId="75" xfId="2" applyNumberFormat="1" applyFont="1" applyFill="1" applyBorder="1" applyAlignment="1" applyProtection="1">
      <alignment horizontal="center" vertical="center" wrapText="1"/>
      <protection locked="0"/>
    </xf>
    <xf numFmtId="167" fontId="3" fillId="0" borderId="75" xfId="2" applyNumberFormat="1" applyFont="1" applyFill="1" applyBorder="1" applyAlignment="1" applyProtection="1">
      <alignment horizontal="center" vertical="center" wrapText="1"/>
      <protection locked="0"/>
    </xf>
    <xf numFmtId="167" fontId="6" fillId="0" borderId="97" xfId="2" applyNumberFormat="1" applyFont="1" applyBorder="1" applyAlignment="1" applyProtection="1">
      <alignment horizontal="center" vertical="center" wrapText="1"/>
      <protection locked="0"/>
    </xf>
    <xf numFmtId="44" fontId="3" fillId="0" borderId="79" xfId="2" applyFont="1" applyBorder="1" applyAlignment="1" applyProtection="1">
      <alignment horizontal="center" vertical="center" wrapText="1"/>
      <protection locked="0"/>
    </xf>
    <xf numFmtId="44" fontId="6" fillId="0" borderId="97" xfId="2" applyFont="1" applyBorder="1" applyAlignment="1" applyProtection="1">
      <alignment horizontal="center" vertical="center" wrapText="1"/>
      <protection locked="0"/>
    </xf>
    <xf numFmtId="0" fontId="6" fillId="0" borderId="100" xfId="5" applyFont="1" applyBorder="1" applyAlignment="1" applyProtection="1">
      <alignment vertical="center" wrapText="1"/>
      <protection locked="0"/>
    </xf>
    <xf numFmtId="166" fontId="6" fillId="0" borderId="19" xfId="1" applyNumberFormat="1" applyFont="1" applyBorder="1" applyAlignment="1" applyProtection="1">
      <alignment vertical="center" wrapText="1"/>
      <protection locked="0"/>
    </xf>
    <xf numFmtId="167" fontId="6" fillId="0" borderId="101" xfId="2" applyNumberFormat="1" applyFont="1" applyFill="1" applyBorder="1" applyAlignment="1" applyProtection="1">
      <alignment horizontal="center" vertical="center" wrapText="1"/>
      <protection locked="0"/>
    </xf>
    <xf numFmtId="167" fontId="6" fillId="0" borderId="102" xfId="2" applyNumberFormat="1" applyFont="1" applyFill="1" applyBorder="1" applyAlignment="1" applyProtection="1">
      <alignment horizontal="center" vertical="center" wrapText="1"/>
      <protection locked="0"/>
    </xf>
    <xf numFmtId="167" fontId="6" fillId="0" borderId="103" xfId="2" applyNumberFormat="1" applyFont="1" applyFill="1" applyBorder="1" applyAlignment="1" applyProtection="1">
      <alignment horizontal="center" vertical="center" wrapText="1"/>
      <protection locked="0"/>
    </xf>
    <xf numFmtId="0" fontId="3" fillId="0" borderId="16" xfId="5" applyFont="1" applyBorder="1" applyAlignment="1" applyProtection="1">
      <alignment vertical="center"/>
      <protection locked="0"/>
    </xf>
    <xf numFmtId="0" fontId="3" fillId="0" borderId="8" xfId="5" applyFont="1" applyBorder="1" applyAlignment="1" applyProtection="1">
      <alignment vertical="center"/>
      <protection locked="0"/>
    </xf>
    <xf numFmtId="0" fontId="3" fillId="0" borderId="17" xfId="5" applyFont="1" applyBorder="1" applyAlignment="1" applyProtection="1">
      <alignment vertical="center"/>
      <protection locked="0"/>
    </xf>
    <xf numFmtId="0" fontId="6" fillId="0" borderId="9" xfId="5" applyFont="1" applyBorder="1" applyAlignment="1" applyProtection="1">
      <alignment vertical="center"/>
      <protection locked="0"/>
    </xf>
    <xf numFmtId="0" fontId="3" fillId="0" borderId="9" xfId="5" applyFont="1" applyBorder="1" applyAlignment="1" applyProtection="1">
      <alignment vertical="center"/>
      <protection locked="0"/>
    </xf>
    <xf numFmtId="166" fontId="3" fillId="0" borderId="9" xfId="5" applyNumberFormat="1" applyFont="1" applyBorder="1" applyAlignment="1" applyProtection="1">
      <alignment vertical="center"/>
      <protection locked="0"/>
    </xf>
    <xf numFmtId="44" fontId="6" fillId="0" borderId="9" xfId="2" applyFont="1" applyFill="1" applyBorder="1" applyAlignment="1" applyProtection="1">
      <alignment horizontal="center" vertical="center" wrapText="1"/>
      <protection locked="0"/>
    </xf>
    <xf numFmtId="0" fontId="6" fillId="0" borderId="4" xfId="5" applyFont="1" applyBorder="1" applyAlignment="1" applyProtection="1">
      <alignment vertical="center" wrapText="1"/>
      <protection locked="0"/>
    </xf>
    <xf numFmtId="167" fontId="6" fillId="0" borderId="5" xfId="2" applyNumberFormat="1" applyFont="1" applyFill="1" applyBorder="1" applyAlignment="1" applyProtection="1">
      <alignment horizontal="center" vertical="center" wrapText="1"/>
      <protection locked="0"/>
    </xf>
    <xf numFmtId="167" fontId="6" fillId="0" borderId="6" xfId="2" applyNumberFormat="1" applyFont="1" applyFill="1" applyBorder="1" applyAlignment="1" applyProtection="1">
      <alignment horizontal="center" vertical="center" wrapText="1"/>
      <protection locked="0"/>
    </xf>
    <xf numFmtId="167" fontId="6" fillId="0" borderId="7" xfId="2"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5" fillId="0" borderId="1" xfId="0" quotePrefix="1" applyFont="1" applyBorder="1" applyAlignment="1" applyProtection="1">
      <alignment horizontal="center" vertical="center"/>
      <protection locked="0"/>
    </xf>
    <xf numFmtId="0" fontId="5" fillId="7" borderId="1" xfId="0" applyFont="1" applyFill="1" applyBorder="1" applyAlignment="1" applyProtection="1">
      <alignment horizontal="center" vertical="center"/>
      <protection locked="0"/>
    </xf>
    <xf numFmtId="0" fontId="5" fillId="7" borderId="1"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165" fontId="4" fillId="0" borderId="0" xfId="7" applyFont="1" applyAlignment="1" applyProtection="1">
      <alignment horizontal="centerContinuous" vertical="center" wrapText="1"/>
      <protection locked="0"/>
    </xf>
    <xf numFmtId="165" fontId="3" fillId="2" borderId="22" xfId="7" applyFont="1" applyFill="1" applyBorder="1" applyAlignment="1" applyProtection="1">
      <alignment horizontal="centerContinuous" vertical="center"/>
      <protection locked="0"/>
    </xf>
    <xf numFmtId="0" fontId="6" fillId="2" borderId="41" xfId="0" applyFont="1" applyFill="1" applyBorder="1" applyAlignment="1" applyProtection="1">
      <alignment horizontal="centerContinuous" vertical="center"/>
      <protection locked="0"/>
    </xf>
    <xf numFmtId="0" fontId="6" fillId="2" borderId="10" xfId="0" applyFont="1" applyFill="1" applyBorder="1" applyAlignment="1" applyProtection="1">
      <alignment horizontal="centerContinuous" vertical="center"/>
      <protection locked="0"/>
    </xf>
    <xf numFmtId="0" fontId="6" fillId="2" borderId="11" xfId="0" applyFont="1" applyFill="1" applyBorder="1" applyAlignment="1" applyProtection="1">
      <alignment horizontal="centerContinuous" vertical="center"/>
      <protection locked="0"/>
    </xf>
    <xf numFmtId="0" fontId="6" fillId="2" borderId="12" xfId="0" applyFont="1" applyFill="1" applyBorder="1" applyAlignment="1" applyProtection="1">
      <alignment horizontal="centerContinuous" vertical="center" wrapText="1"/>
      <protection locked="0"/>
    </xf>
    <xf numFmtId="0" fontId="6" fillId="2" borderId="34" xfId="0" applyFont="1" applyFill="1" applyBorder="1" applyAlignment="1" applyProtection="1">
      <alignment horizontal="centerContinuous" vertical="center" wrapText="1"/>
      <protection locked="0"/>
    </xf>
    <xf numFmtId="0" fontId="6" fillId="2" borderId="10" xfId="0" applyFont="1" applyFill="1" applyBorder="1" applyAlignment="1" applyProtection="1">
      <alignment horizontal="centerContinuous" vertical="center" wrapText="1"/>
      <protection locked="0"/>
    </xf>
    <xf numFmtId="0" fontId="6" fillId="2" borderId="11" xfId="0" applyFont="1" applyFill="1" applyBorder="1" applyAlignment="1" applyProtection="1">
      <alignment horizontal="centerContinuous" vertical="center" wrapText="1"/>
      <protection locked="0"/>
    </xf>
    <xf numFmtId="0" fontId="6" fillId="2" borderId="29" xfId="0" applyFont="1" applyFill="1" applyBorder="1" applyAlignment="1" applyProtection="1">
      <alignment vertical="center" wrapText="1"/>
      <protection locked="0"/>
    </xf>
    <xf numFmtId="0" fontId="6" fillId="2" borderId="32" xfId="5" applyFont="1" applyFill="1" applyBorder="1" applyAlignment="1" applyProtection="1">
      <alignment horizontal="center" wrapText="1"/>
      <protection locked="0"/>
    </xf>
    <xf numFmtId="0" fontId="6" fillId="2" borderId="15" xfId="5" quotePrefix="1" applyFont="1" applyFill="1" applyBorder="1" applyAlignment="1" applyProtection="1">
      <alignment horizontal="center" wrapText="1"/>
      <protection locked="0"/>
    </xf>
    <xf numFmtId="0" fontId="6" fillId="2" borderId="30" xfId="0" quotePrefix="1" applyFont="1" applyFill="1" applyBorder="1" applyAlignment="1" applyProtection="1">
      <alignment horizontal="center" wrapText="1"/>
      <protection locked="0"/>
    </xf>
    <xf numFmtId="0" fontId="6" fillId="2" borderId="33" xfId="5" applyFont="1" applyFill="1" applyBorder="1" applyAlignment="1" applyProtection="1">
      <alignment horizontal="center" wrapText="1"/>
      <protection locked="0"/>
    </xf>
    <xf numFmtId="0" fontId="6" fillId="2" borderId="17" xfId="5" quotePrefix="1" applyFont="1" applyFill="1" applyBorder="1" applyAlignment="1" applyProtection="1">
      <alignment horizontal="center" wrapText="1"/>
      <protection locked="0"/>
    </xf>
    <xf numFmtId="0" fontId="6" fillId="2" borderId="30" xfId="0" applyFont="1" applyFill="1" applyBorder="1" applyAlignment="1" applyProtection="1">
      <alignment horizontal="center" wrapText="1"/>
      <protection locked="0"/>
    </xf>
    <xf numFmtId="165" fontId="6" fillId="2" borderId="17" xfId="7" applyFont="1" applyFill="1" applyBorder="1" applyAlignment="1" applyProtection="1">
      <alignment horizontal="center" vertical="center" wrapText="1"/>
      <protection locked="0"/>
    </xf>
    <xf numFmtId="0" fontId="6" fillId="2" borderId="8" xfId="5" quotePrefix="1" applyFont="1" applyFill="1" applyBorder="1" applyAlignment="1" applyProtection="1">
      <alignment horizontal="center" wrapText="1"/>
      <protection locked="0"/>
    </xf>
    <xf numFmtId="165" fontId="6" fillId="2" borderId="20" xfId="7" applyFont="1" applyFill="1" applyBorder="1" applyAlignment="1" applyProtection="1">
      <alignment horizontal="center" vertical="center" wrapText="1"/>
      <protection locked="0"/>
    </xf>
    <xf numFmtId="165" fontId="6" fillId="2" borderId="19" xfId="7" applyFont="1" applyFill="1" applyBorder="1" applyAlignment="1" applyProtection="1">
      <alignment horizontal="center" vertical="center" wrapText="1"/>
      <protection locked="0"/>
    </xf>
    <xf numFmtId="0" fontId="6" fillId="2" borderId="39" xfId="5" applyFont="1" applyFill="1" applyBorder="1" applyAlignment="1" applyProtection="1">
      <alignment horizontal="center" vertical="center" wrapText="1"/>
      <protection locked="0"/>
    </xf>
    <xf numFmtId="0" fontId="6" fillId="2" borderId="18" xfId="5" applyFont="1" applyFill="1" applyBorder="1" applyAlignment="1" applyProtection="1">
      <alignment horizontal="center" vertical="center" wrapText="1"/>
      <protection locked="0"/>
    </xf>
    <xf numFmtId="0" fontId="6" fillId="2" borderId="19" xfId="5" applyFont="1" applyFill="1" applyBorder="1" applyAlignment="1" applyProtection="1">
      <alignment horizontal="center" vertical="center" wrapText="1"/>
      <protection locked="0"/>
    </xf>
    <xf numFmtId="0" fontId="6" fillId="2" borderId="20" xfId="5" quotePrefix="1" applyFont="1" applyFill="1" applyBorder="1" applyAlignment="1" applyProtection="1">
      <alignment horizontal="center" vertical="center" wrapText="1"/>
      <protection locked="0"/>
    </xf>
    <xf numFmtId="0" fontId="6" fillId="2" borderId="18" xfId="5" quotePrefix="1" applyFont="1" applyFill="1" applyBorder="1" applyAlignment="1" applyProtection="1">
      <alignment horizontal="center" vertical="center" wrapText="1"/>
      <protection locked="0"/>
    </xf>
    <xf numFmtId="0" fontId="6" fillId="2" borderId="19" xfId="5" quotePrefix="1" applyFont="1" applyFill="1" applyBorder="1" applyAlignment="1" applyProtection="1">
      <alignment horizontal="center" vertical="center" wrapText="1"/>
      <protection locked="0"/>
    </xf>
    <xf numFmtId="0" fontId="6" fillId="2" borderId="55" xfId="5" quotePrefix="1" applyFont="1" applyFill="1" applyBorder="1" applyAlignment="1" applyProtection="1">
      <alignment horizontal="center" vertical="center" wrapText="1"/>
      <protection locked="0"/>
    </xf>
    <xf numFmtId="0" fontId="6" fillId="2" borderId="31" xfId="0" quotePrefix="1" applyFont="1" applyFill="1" applyBorder="1" applyAlignment="1" applyProtection="1">
      <alignment horizontal="center" vertical="center" wrapText="1"/>
      <protection locked="0"/>
    </xf>
    <xf numFmtId="166" fontId="3" fillId="0" borderId="3" xfId="1" quotePrefix="1" applyNumberFormat="1" applyFont="1" applyBorder="1" applyAlignment="1" applyProtection="1">
      <alignment horizontal="right" vertical="center"/>
      <protection locked="0"/>
    </xf>
    <xf numFmtId="44" fontId="3" fillId="0" borderId="21" xfId="2" applyFont="1" applyFill="1" applyBorder="1" applyAlignment="1" applyProtection="1">
      <alignment horizontal="center" vertical="center" wrapText="1"/>
      <protection locked="0"/>
    </xf>
    <xf numFmtId="44" fontId="3" fillId="0" borderId="1" xfId="2" applyFont="1" applyFill="1" applyBorder="1" applyAlignment="1" applyProtection="1">
      <alignment horizontal="center" vertical="center" wrapText="1"/>
      <protection locked="0"/>
    </xf>
    <xf numFmtId="44" fontId="3" fillId="0" borderId="3" xfId="2" applyFont="1" applyFill="1" applyBorder="1" applyAlignment="1" applyProtection="1">
      <alignment horizontal="center" vertical="center" wrapText="1"/>
      <protection locked="0"/>
    </xf>
    <xf numFmtId="44" fontId="3" fillId="0" borderId="35" xfId="2" applyFont="1" applyFill="1" applyBorder="1" applyAlignment="1" applyProtection="1">
      <alignment horizontal="center" vertical="center" wrapText="1"/>
      <protection locked="0"/>
    </xf>
    <xf numFmtId="10" fontId="3" fillId="7" borderId="1" xfId="8" applyNumberFormat="1" applyFont="1" applyFill="1" applyBorder="1" applyAlignment="1" applyProtection="1">
      <alignment horizontal="center" vertical="center" wrapText="1"/>
      <protection locked="0"/>
    </xf>
    <xf numFmtId="44" fontId="3" fillId="4" borderId="3" xfId="2" applyFont="1" applyFill="1" applyBorder="1" applyAlignment="1" applyProtection="1">
      <alignment horizontal="center" vertical="center" wrapText="1"/>
      <protection locked="0"/>
    </xf>
    <xf numFmtId="44" fontId="3" fillId="5" borderId="3" xfId="2" applyFont="1" applyFill="1" applyBorder="1" applyAlignment="1" applyProtection="1">
      <alignment horizontal="center" vertical="center" wrapText="1"/>
      <protection locked="0"/>
    </xf>
    <xf numFmtId="164" fontId="3" fillId="7" borderId="1" xfId="8" applyNumberFormat="1" applyFont="1" applyFill="1" applyBorder="1" applyAlignment="1" applyProtection="1">
      <alignment horizontal="center" vertical="center" wrapText="1"/>
      <protection locked="0"/>
    </xf>
    <xf numFmtId="44" fontId="6" fillId="5" borderId="42" xfId="2" applyFont="1" applyFill="1" applyBorder="1" applyAlignment="1" applyProtection="1">
      <alignment horizontal="center" vertical="center" wrapText="1"/>
      <protection locked="0"/>
    </xf>
    <xf numFmtId="164" fontId="3" fillId="7" borderId="14" xfId="8" applyNumberFormat="1" applyFont="1" applyFill="1" applyBorder="1" applyAlignment="1" applyProtection="1">
      <alignment horizontal="center" vertical="center" wrapText="1"/>
      <protection locked="0"/>
    </xf>
    <xf numFmtId="166" fontId="3" fillId="0" borderId="97" xfId="1" quotePrefix="1" applyNumberFormat="1" applyFont="1" applyBorder="1" applyAlignment="1" applyProtection="1">
      <alignment horizontal="right" vertical="center"/>
      <protection locked="0"/>
    </xf>
    <xf numFmtId="44" fontId="3" fillId="0" borderId="98" xfId="2" applyFont="1" applyFill="1" applyBorder="1" applyAlignment="1" applyProtection="1">
      <alignment horizontal="center" vertical="center" wrapText="1"/>
      <protection locked="0"/>
    </xf>
    <xf numFmtId="44" fontId="3" fillId="0" borderId="75" xfId="2" applyFont="1" applyFill="1" applyBorder="1" applyAlignment="1" applyProtection="1">
      <alignment horizontal="center" vertical="center" wrapText="1"/>
      <protection locked="0"/>
    </xf>
    <xf numFmtId="44" fontId="3" fillId="0" borderId="97" xfId="2" applyFont="1" applyFill="1" applyBorder="1" applyAlignment="1" applyProtection="1">
      <alignment horizontal="center" vertical="center" wrapText="1"/>
      <protection locked="0"/>
    </xf>
    <xf numFmtId="44" fontId="3" fillId="0" borderId="79" xfId="2" applyFont="1" applyFill="1" applyBorder="1" applyAlignment="1" applyProtection="1">
      <alignment horizontal="center" vertical="center" wrapText="1"/>
      <protection locked="0"/>
    </xf>
    <xf numFmtId="10" fontId="3" fillId="7" borderId="75" xfId="8" applyNumberFormat="1" applyFont="1" applyFill="1" applyBorder="1" applyAlignment="1" applyProtection="1">
      <alignment horizontal="center" vertical="center" wrapText="1"/>
      <protection locked="0"/>
    </xf>
    <xf numFmtId="44" fontId="3" fillId="4" borderId="97" xfId="2" applyFont="1" applyFill="1" applyBorder="1" applyAlignment="1" applyProtection="1">
      <alignment horizontal="center" vertical="center" wrapText="1"/>
      <protection locked="0"/>
    </xf>
    <xf numFmtId="44" fontId="3" fillId="5" borderId="97" xfId="2" applyFont="1" applyFill="1" applyBorder="1" applyAlignment="1" applyProtection="1">
      <alignment horizontal="center" vertical="center" wrapText="1"/>
      <protection locked="0"/>
    </xf>
    <xf numFmtId="164" fontId="3" fillId="7" borderId="75" xfId="8" applyNumberFormat="1" applyFont="1" applyFill="1" applyBorder="1" applyAlignment="1" applyProtection="1">
      <alignment horizontal="center" vertical="center" wrapText="1"/>
      <protection locked="0"/>
    </xf>
    <xf numFmtId="44" fontId="6" fillId="5" borderId="99" xfId="2" applyFont="1" applyFill="1" applyBorder="1" applyAlignment="1" applyProtection="1">
      <alignment horizontal="center" vertical="center" wrapText="1"/>
      <protection locked="0"/>
    </xf>
    <xf numFmtId="0" fontId="6" fillId="0" borderId="20" xfId="5" applyFont="1" applyFill="1" applyBorder="1" applyAlignment="1" applyProtection="1">
      <alignment vertical="center" wrapText="1"/>
      <protection locked="0"/>
    </xf>
    <xf numFmtId="0" fontId="6" fillId="0" borderId="39"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9" xfId="0" applyFont="1" applyBorder="1" applyAlignment="1" applyProtection="1">
      <alignment vertical="center"/>
      <protection locked="0"/>
    </xf>
    <xf numFmtId="44" fontId="6" fillId="0" borderId="18" xfId="2" applyFont="1" applyFill="1" applyBorder="1" applyAlignment="1" applyProtection="1">
      <alignment vertical="center"/>
      <protection locked="0"/>
    </xf>
    <xf numFmtId="44" fontId="6" fillId="0" borderId="18" xfId="2" applyFont="1" applyFill="1" applyBorder="1" applyAlignment="1" applyProtection="1">
      <alignment horizontal="center" vertical="center" wrapText="1"/>
      <protection locked="0"/>
    </xf>
    <xf numFmtId="44" fontId="6" fillId="4" borderId="19" xfId="2" applyFont="1" applyFill="1" applyBorder="1" applyAlignment="1" applyProtection="1">
      <alignment horizontal="center" vertical="center" wrapText="1"/>
      <protection locked="0"/>
    </xf>
    <xf numFmtId="44" fontId="3" fillId="0" borderId="18" xfId="2" applyFont="1" applyFill="1" applyBorder="1" applyAlignment="1" applyProtection="1">
      <alignment horizontal="center" vertical="center" wrapText="1"/>
      <protection locked="0"/>
    </xf>
    <xf numFmtId="44" fontId="3" fillId="5" borderId="19" xfId="2" applyFont="1" applyFill="1" applyBorder="1" applyAlignment="1" applyProtection="1">
      <alignment horizontal="center" vertical="center" wrapText="1"/>
      <protection locked="0"/>
    </xf>
    <xf numFmtId="164" fontId="6" fillId="0" borderId="18" xfId="8" applyNumberFormat="1" applyFont="1" applyFill="1" applyBorder="1" applyAlignment="1" applyProtection="1">
      <alignment horizontal="center" vertical="center" wrapText="1"/>
      <protection locked="0"/>
    </xf>
    <xf numFmtId="44" fontId="6" fillId="5" borderId="31" xfId="2" applyFont="1" applyFill="1" applyBorder="1" applyAlignment="1" applyProtection="1">
      <alignment horizontal="center" vertical="center" wrapText="1"/>
      <protection locked="0"/>
    </xf>
    <xf numFmtId="0" fontId="6" fillId="0" borderId="37" xfId="5" applyFont="1" applyBorder="1" applyAlignment="1" applyProtection="1">
      <alignment vertical="center"/>
      <protection locked="0"/>
    </xf>
    <xf numFmtId="0" fontId="6" fillId="0" borderId="38" xfId="5" applyFont="1" applyBorder="1" applyAlignment="1" applyProtection="1">
      <alignment vertical="center"/>
      <protection locked="0"/>
    </xf>
    <xf numFmtId="44" fontId="6" fillId="0" borderId="40" xfId="2" applyFont="1" applyFill="1" applyBorder="1" applyAlignment="1" applyProtection="1">
      <alignment horizontal="center" vertical="center" wrapText="1"/>
      <protection locked="0"/>
    </xf>
    <xf numFmtId="44" fontId="6" fillId="0" borderId="36" xfId="2" applyFont="1" applyFill="1" applyBorder="1" applyAlignment="1" applyProtection="1">
      <alignment horizontal="center" vertical="center" wrapText="1"/>
      <protection locked="0"/>
    </xf>
    <xf numFmtId="44" fontId="6" fillId="0" borderId="38" xfId="2" applyFont="1" applyFill="1" applyBorder="1" applyAlignment="1" applyProtection="1">
      <alignment horizontal="center" vertical="center" wrapText="1"/>
      <protection locked="0"/>
    </xf>
    <xf numFmtId="44" fontId="6" fillId="0" borderId="37" xfId="2" applyFont="1" applyFill="1" applyBorder="1" applyAlignment="1" applyProtection="1">
      <alignment horizontal="center" vertical="center" wrapText="1"/>
      <protection locked="0"/>
    </xf>
    <xf numFmtId="10" fontId="6" fillId="0" borderId="36" xfId="8" applyNumberFormat="1" applyFont="1" applyFill="1" applyBorder="1" applyAlignment="1" applyProtection="1">
      <alignment horizontal="center" vertical="center"/>
      <protection locked="0"/>
    </xf>
    <xf numFmtId="44" fontId="6" fillId="4" borderId="38" xfId="2" applyFont="1" applyFill="1" applyBorder="1" applyAlignment="1" applyProtection="1">
      <alignment horizontal="center" vertical="center" wrapText="1"/>
      <protection locked="0"/>
    </xf>
    <xf numFmtId="44" fontId="6" fillId="5" borderId="38" xfId="2" applyFont="1" applyFill="1" applyBorder="1" applyAlignment="1" applyProtection="1">
      <alignment horizontal="center" vertical="center" wrapText="1"/>
      <protection locked="0"/>
    </xf>
    <xf numFmtId="164" fontId="6" fillId="0" borderId="36" xfId="8" applyNumberFormat="1" applyFont="1" applyFill="1" applyBorder="1" applyAlignment="1" applyProtection="1">
      <alignment horizontal="center" vertical="center"/>
      <protection locked="0"/>
    </xf>
    <xf numFmtId="44" fontId="6" fillId="5" borderId="43" xfId="2" applyFont="1" applyFill="1" applyBorder="1" applyAlignment="1" applyProtection="1">
      <alignment horizontal="center" vertical="center" wrapText="1"/>
      <protection locked="0"/>
    </xf>
    <xf numFmtId="0" fontId="6" fillId="2" borderId="54" xfId="5" applyFont="1" applyFill="1" applyBorder="1" applyAlignment="1" applyProtection="1">
      <alignment horizontal="center" wrapText="1"/>
      <protection locked="0"/>
    </xf>
    <xf numFmtId="166" fontId="3" fillId="13" borderId="3" xfId="1" quotePrefix="1" applyNumberFormat="1" applyFont="1" applyFill="1" applyBorder="1" applyAlignment="1" applyProtection="1">
      <alignment horizontal="right" vertical="center"/>
      <protection locked="0"/>
    </xf>
    <xf numFmtId="0" fontId="6" fillId="0" borderId="95" xfId="5" applyFont="1" applyFill="1" applyBorder="1" applyAlignment="1" applyProtection="1">
      <alignment vertical="center" wrapText="1"/>
      <protection locked="0"/>
    </xf>
    <xf numFmtId="0" fontId="17" fillId="0" borderId="0" xfId="0" applyFont="1" applyProtection="1">
      <protection locked="0"/>
    </xf>
    <xf numFmtId="0" fontId="7" fillId="0" borderId="0" xfId="0" applyFont="1" applyFill="1" applyBorder="1" applyAlignment="1" applyProtection="1">
      <alignment vertical="center"/>
      <protection locked="0"/>
    </xf>
    <xf numFmtId="165" fontId="6" fillId="3" borderId="22" xfId="7" applyFont="1" applyFill="1" applyBorder="1" applyAlignment="1" applyProtection="1">
      <alignment horizontal="center" vertical="center"/>
      <protection locked="0"/>
    </xf>
    <xf numFmtId="165" fontId="6" fillId="3" borderId="41" xfId="7" applyFont="1" applyFill="1" applyBorder="1" applyAlignment="1" applyProtection="1">
      <alignment horizontal="center" vertical="center"/>
      <protection locked="0"/>
    </xf>
    <xf numFmtId="0" fontId="6" fillId="3" borderId="12" xfId="0" applyFont="1" applyFill="1" applyBorder="1" applyAlignment="1" applyProtection="1">
      <alignment horizontal="centerContinuous" vertical="center"/>
      <protection locked="0"/>
    </xf>
    <xf numFmtId="0" fontId="6" fillId="3" borderId="10" xfId="0" applyFont="1" applyFill="1" applyBorder="1" applyAlignment="1" applyProtection="1">
      <alignment horizontal="centerContinuous" vertical="center"/>
      <protection locked="0"/>
    </xf>
    <xf numFmtId="0" fontId="6" fillId="3" borderId="11" xfId="0" applyFont="1" applyFill="1" applyBorder="1" applyAlignment="1" applyProtection="1">
      <alignment horizontal="centerContinuous" vertical="center"/>
      <protection locked="0"/>
    </xf>
    <xf numFmtId="0" fontId="6" fillId="3" borderId="29" xfId="5" applyFont="1" applyFill="1" applyBorder="1" applyAlignment="1" applyProtection="1">
      <alignment horizontal="center" vertical="center" wrapText="1"/>
      <protection locked="0"/>
    </xf>
    <xf numFmtId="165" fontId="6" fillId="3" borderId="16" xfId="7" applyFont="1" applyFill="1" applyBorder="1" applyAlignment="1" applyProtection="1">
      <alignment horizontal="center" vertical="center" wrapText="1"/>
      <protection locked="0"/>
    </xf>
    <xf numFmtId="165" fontId="6" fillId="3" borderId="17" xfId="7" quotePrefix="1" applyFont="1" applyFill="1" applyBorder="1" applyAlignment="1" applyProtection="1">
      <alignment horizontal="center" vertical="center" wrapText="1"/>
      <protection locked="0"/>
    </xf>
    <xf numFmtId="0" fontId="6" fillId="3" borderId="13" xfId="5" applyFont="1" applyFill="1" applyBorder="1" applyAlignment="1" applyProtection="1">
      <alignment horizontal="center" vertical="center" wrapText="1"/>
      <protection locked="0"/>
    </xf>
    <xf numFmtId="0" fontId="6" fillId="3" borderId="14" xfId="5" applyFont="1" applyFill="1" applyBorder="1" applyAlignment="1" applyProtection="1">
      <alignment horizontal="center" vertical="center" wrapText="1"/>
      <protection locked="0"/>
    </xf>
    <xf numFmtId="0" fontId="6" fillId="3" borderId="15" xfId="5" applyFont="1" applyFill="1" applyBorder="1" applyAlignment="1" applyProtection="1">
      <alignment horizontal="center" vertical="center" wrapText="1"/>
      <protection locked="0"/>
    </xf>
    <xf numFmtId="0" fontId="6" fillId="3" borderId="30" xfId="5" applyFont="1" applyFill="1" applyBorder="1" applyAlignment="1" applyProtection="1">
      <alignment horizontal="center" vertical="center" wrapText="1"/>
      <protection locked="0"/>
    </xf>
    <xf numFmtId="165" fontId="6" fillId="3" borderId="17" xfId="7" applyFont="1" applyFill="1" applyBorder="1" applyAlignment="1" applyProtection="1">
      <alignment horizontal="center" vertical="center" wrapText="1"/>
      <protection locked="0"/>
    </xf>
    <xf numFmtId="0" fontId="6" fillId="3" borderId="16" xfId="5" applyFont="1" applyFill="1" applyBorder="1" applyAlignment="1" applyProtection="1">
      <alignment horizontal="center" vertical="center" wrapText="1"/>
      <protection locked="0"/>
    </xf>
    <xf numFmtId="0" fontId="6" fillId="3" borderId="8" xfId="5" applyFont="1" applyFill="1" applyBorder="1" applyAlignment="1" applyProtection="1">
      <alignment horizontal="center" vertical="center" wrapText="1"/>
      <protection locked="0"/>
    </xf>
    <xf numFmtId="0" fontId="6" fillId="3" borderId="17" xfId="5" applyFont="1" applyFill="1" applyBorder="1" applyAlignment="1" applyProtection="1">
      <alignment horizontal="center" vertical="center" wrapText="1"/>
      <protection locked="0"/>
    </xf>
    <xf numFmtId="165" fontId="6" fillId="3" borderId="20" xfId="7" applyFont="1" applyFill="1" applyBorder="1" applyAlignment="1" applyProtection="1">
      <alignment horizontal="center" vertical="center" wrapText="1"/>
      <protection locked="0"/>
    </xf>
    <xf numFmtId="165" fontId="6" fillId="3" borderId="19" xfId="7" quotePrefix="1" applyFont="1" applyFill="1" applyBorder="1" applyAlignment="1" applyProtection="1">
      <alignment horizontal="center" vertical="center" wrapText="1"/>
      <protection locked="0"/>
    </xf>
    <xf numFmtId="0" fontId="6" fillId="3" borderId="20" xfId="5" applyFont="1" applyFill="1" applyBorder="1" applyAlignment="1" applyProtection="1">
      <alignment horizontal="center" vertical="center" wrapText="1"/>
      <protection locked="0"/>
    </xf>
    <xf numFmtId="0" fontId="6" fillId="3" borderId="18" xfId="5" applyFont="1" applyFill="1" applyBorder="1" applyAlignment="1" applyProtection="1">
      <alignment horizontal="center" vertical="center" wrapText="1"/>
      <protection locked="0"/>
    </xf>
    <xf numFmtId="0" fontId="6" fillId="3" borderId="19" xfId="5" applyFont="1" applyFill="1" applyBorder="1" applyAlignment="1" applyProtection="1">
      <alignment horizontal="center" vertical="center" wrapText="1"/>
      <protection locked="0"/>
    </xf>
    <xf numFmtId="0" fontId="6" fillId="3" borderId="59" xfId="5" applyFont="1" applyFill="1" applyBorder="1" applyAlignment="1" applyProtection="1">
      <alignment horizontal="center" vertical="center" wrapText="1"/>
      <protection locked="0"/>
    </xf>
    <xf numFmtId="166" fontId="3" fillId="0" borderId="3" xfId="1" applyNumberFormat="1" applyFont="1" applyBorder="1" applyAlignment="1" applyProtection="1">
      <alignment vertical="center"/>
      <protection locked="0"/>
    </xf>
    <xf numFmtId="44" fontId="3" fillId="0" borderId="35" xfId="2" applyFont="1" applyBorder="1" applyAlignment="1" applyProtection="1">
      <alignment vertical="center" wrapText="1"/>
      <protection locked="0"/>
    </xf>
    <xf numFmtId="44" fontId="3" fillId="0" borderId="1" xfId="2" applyFont="1" applyBorder="1" applyAlignment="1" applyProtection="1">
      <alignment horizontal="center" vertical="center" wrapText="1"/>
      <protection locked="0"/>
    </xf>
    <xf numFmtId="44" fontId="3" fillId="4" borderId="19" xfId="2" applyFont="1" applyFill="1" applyBorder="1" applyAlignment="1" applyProtection="1">
      <alignment horizontal="center" vertical="center" wrapText="1"/>
      <protection locked="0"/>
    </xf>
    <xf numFmtId="0" fontId="6" fillId="0" borderId="23" xfId="5" applyFont="1" applyBorder="1" applyAlignment="1" applyProtection="1">
      <alignment vertical="center" wrapText="1"/>
      <protection locked="0"/>
    </xf>
    <xf numFmtId="166" fontId="6" fillId="0" borderId="45" xfId="1" applyNumberFormat="1" applyFont="1" applyBorder="1" applyAlignment="1" applyProtection="1">
      <alignment vertical="center"/>
      <protection locked="0"/>
    </xf>
    <xf numFmtId="0" fontId="6" fillId="0" borderId="4" xfId="0" applyFont="1" applyBorder="1" applyProtection="1">
      <protection locked="0"/>
    </xf>
    <xf numFmtId="0" fontId="6" fillId="0" borderId="44" xfId="0" applyFont="1" applyBorder="1" applyProtection="1">
      <protection locked="0"/>
    </xf>
    <xf numFmtId="0" fontId="6" fillId="0" borderId="45" xfId="0" applyFont="1" applyBorder="1" applyProtection="1">
      <protection locked="0"/>
    </xf>
    <xf numFmtId="0" fontId="6" fillId="0" borderId="49" xfId="5" applyFont="1" applyBorder="1" applyAlignment="1" applyProtection="1">
      <alignment vertical="center"/>
      <protection locked="0"/>
    </xf>
    <xf numFmtId="166" fontId="6" fillId="0" borderId="46" xfId="1" applyNumberFormat="1" applyFont="1" applyBorder="1" applyAlignment="1" applyProtection="1">
      <alignment vertical="center"/>
      <protection locked="0"/>
    </xf>
    <xf numFmtId="44" fontId="6" fillId="0" borderId="9" xfId="2" applyFont="1" applyBorder="1" applyAlignment="1" applyProtection="1">
      <alignment vertical="center" wrapText="1"/>
      <protection locked="0"/>
    </xf>
    <xf numFmtId="44" fontId="6" fillId="0" borderId="9" xfId="2" applyFont="1" applyBorder="1" applyAlignment="1" applyProtection="1">
      <alignment horizontal="center" vertical="center" wrapText="1"/>
      <protection locked="0"/>
    </xf>
    <xf numFmtId="44" fontId="6" fillId="4" borderId="9" xfId="2"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165" fontId="6" fillId="3" borderId="29" xfId="7" applyFont="1" applyFill="1" applyBorder="1" applyAlignment="1" applyProtection="1">
      <alignment horizontal="center" vertical="center"/>
      <protection locked="0"/>
    </xf>
    <xf numFmtId="165" fontId="6" fillId="3" borderId="12" xfId="7" applyFont="1" applyFill="1" applyBorder="1" applyAlignment="1" applyProtection="1">
      <alignment horizontal="centerContinuous" vertical="center"/>
      <protection locked="0"/>
    </xf>
    <xf numFmtId="0" fontId="6" fillId="3" borderId="109" xfId="0" applyFont="1" applyFill="1" applyBorder="1" applyAlignment="1" applyProtection="1">
      <alignment horizontal="left" vertical="center"/>
      <protection locked="0"/>
    </xf>
    <xf numFmtId="0" fontId="3" fillId="3" borderId="15" xfId="0" applyFont="1" applyFill="1" applyBorder="1" applyProtection="1">
      <protection locked="0"/>
    </xf>
    <xf numFmtId="0" fontId="3" fillId="3" borderId="104" xfId="0" applyFont="1" applyFill="1" applyBorder="1" applyProtection="1">
      <protection locked="0"/>
    </xf>
    <xf numFmtId="165" fontId="6" fillId="3" borderId="104" xfId="7" applyFont="1" applyFill="1" applyBorder="1" applyAlignment="1" applyProtection="1">
      <alignment horizontal="centerContinuous" vertical="center"/>
      <protection locked="0"/>
    </xf>
    <xf numFmtId="165" fontId="6" fillId="3" borderId="13" xfId="7" applyFont="1" applyFill="1" applyBorder="1" applyAlignment="1" applyProtection="1">
      <alignment horizontal="centerContinuous" vertical="center"/>
      <protection locked="0"/>
    </xf>
    <xf numFmtId="0" fontId="3" fillId="3" borderId="56" xfId="0" applyFont="1" applyFill="1" applyBorder="1" applyProtection="1">
      <protection locked="0"/>
    </xf>
    <xf numFmtId="0" fontId="3" fillId="3" borderId="29" xfId="0" applyFont="1" applyFill="1" applyBorder="1" applyProtection="1">
      <protection locked="0"/>
    </xf>
    <xf numFmtId="165" fontId="6" fillId="3" borderId="30" xfId="7" applyFont="1" applyFill="1" applyBorder="1" applyAlignment="1" applyProtection="1">
      <alignment horizontal="center" vertical="center" wrapText="1"/>
      <protection locked="0"/>
    </xf>
    <xf numFmtId="165" fontId="6" fillId="3" borderId="33" xfId="7" applyFont="1" applyFill="1" applyBorder="1" applyAlignment="1" applyProtection="1">
      <alignment horizontal="center" vertical="center" wrapText="1"/>
      <protection locked="0"/>
    </xf>
    <xf numFmtId="0" fontId="6" fillId="3" borderId="8" xfId="5" quotePrefix="1" applyFont="1" applyFill="1" applyBorder="1" applyAlignment="1" applyProtection="1">
      <alignment horizontal="center" vertical="center" wrapText="1"/>
      <protection locked="0"/>
    </xf>
    <xf numFmtId="49" fontId="6" fillId="3" borderId="17" xfId="5" applyNumberFormat="1" applyFont="1" applyFill="1" applyBorder="1" applyAlignment="1" applyProtection="1">
      <alignment horizontal="center" vertical="center" wrapText="1"/>
      <protection locked="0"/>
    </xf>
    <xf numFmtId="0" fontId="6" fillId="3" borderId="47" xfId="5" applyFont="1" applyFill="1" applyBorder="1" applyAlignment="1" applyProtection="1">
      <alignment horizontal="center" vertical="center" wrapText="1"/>
      <protection locked="0"/>
    </xf>
    <xf numFmtId="0" fontId="3" fillId="3" borderId="17" xfId="0" applyFont="1" applyFill="1" applyBorder="1" applyProtection="1">
      <protection locked="0"/>
    </xf>
    <xf numFmtId="0" fontId="3" fillId="3" borderId="30" xfId="0" applyFont="1" applyFill="1" applyBorder="1" applyProtection="1">
      <protection locked="0"/>
    </xf>
    <xf numFmtId="170" fontId="6" fillId="3" borderId="30" xfId="0" quotePrefix="1" applyNumberFormat="1" applyFont="1" applyFill="1" applyBorder="1" applyAlignment="1" applyProtection="1">
      <alignment horizontal="center" vertical="center"/>
      <protection locked="0"/>
    </xf>
    <xf numFmtId="170" fontId="6" fillId="3" borderId="30" xfId="0" applyNumberFormat="1"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3" fillId="3" borderId="57" xfId="0" applyFont="1" applyFill="1" applyBorder="1" applyProtection="1">
      <protection locked="0"/>
    </xf>
    <xf numFmtId="0" fontId="6" fillId="3" borderId="17" xfId="0" applyFont="1" applyFill="1" applyBorder="1" applyAlignment="1" applyProtection="1">
      <alignment horizontal="center"/>
      <protection locked="0"/>
    </xf>
    <xf numFmtId="0" fontId="6" fillId="3" borderId="30" xfId="0" applyFont="1" applyFill="1" applyBorder="1" applyAlignment="1" applyProtection="1">
      <alignment horizontal="center"/>
      <protection locked="0"/>
    </xf>
    <xf numFmtId="165" fontId="6" fillId="3" borderId="30" xfId="7" applyFont="1" applyFill="1" applyBorder="1" applyAlignment="1" applyProtection="1">
      <alignment horizontal="centerContinuous" vertical="center"/>
      <protection locked="0"/>
    </xf>
    <xf numFmtId="165" fontId="6" fillId="3" borderId="16" xfId="7" applyFont="1" applyFill="1" applyBorder="1" applyAlignment="1" applyProtection="1">
      <alignment horizontal="centerContinuous" vertical="center"/>
      <protection locked="0"/>
    </xf>
    <xf numFmtId="0" fontId="6" fillId="3" borderId="57" xfId="0" applyFont="1" applyFill="1" applyBorder="1" applyAlignment="1" applyProtection="1">
      <alignment horizontal="center"/>
      <protection locked="0"/>
    </xf>
    <xf numFmtId="165" fontId="6" fillId="3" borderId="31" xfId="7" applyFont="1" applyFill="1" applyBorder="1" applyAlignment="1" applyProtection="1">
      <alignment horizontal="center" vertical="center" wrapText="1"/>
      <protection locked="0"/>
    </xf>
    <xf numFmtId="0" fontId="6" fillId="3" borderId="18" xfId="5" quotePrefix="1" applyFont="1" applyFill="1" applyBorder="1" applyAlignment="1" applyProtection="1">
      <alignment horizontal="center" vertical="center" wrapText="1"/>
      <protection locked="0"/>
    </xf>
    <xf numFmtId="0" fontId="6" fillId="3" borderId="101" xfId="5" applyFont="1" applyFill="1" applyBorder="1" applyAlignment="1" applyProtection="1">
      <alignment horizontal="center" vertical="center" wrapText="1"/>
      <protection locked="0"/>
    </xf>
    <xf numFmtId="0" fontId="3" fillId="3" borderId="19" xfId="0" applyFont="1" applyFill="1" applyBorder="1" applyProtection="1">
      <protection locked="0"/>
    </xf>
    <xf numFmtId="0" fontId="3" fillId="3" borderId="31" xfId="0" applyFont="1" applyFill="1" applyBorder="1" applyProtection="1">
      <protection locked="0"/>
    </xf>
    <xf numFmtId="171" fontId="6" fillId="3" borderId="31" xfId="0" quotePrefix="1" applyNumberFormat="1" applyFont="1" applyFill="1" applyBorder="1" applyAlignment="1" applyProtection="1">
      <alignment horizontal="center" vertical="center"/>
      <protection locked="0"/>
    </xf>
    <xf numFmtId="171" fontId="6" fillId="3" borderId="31" xfId="0" applyNumberFormat="1" applyFont="1" applyFill="1" applyBorder="1" applyAlignment="1" applyProtection="1">
      <alignment horizontal="center" vertical="center"/>
      <protection locked="0"/>
    </xf>
    <xf numFmtId="171" fontId="6" fillId="3" borderId="20" xfId="0" applyNumberFormat="1" applyFont="1" applyFill="1" applyBorder="1" applyAlignment="1" applyProtection="1">
      <alignment horizontal="center" vertical="center"/>
      <protection locked="0"/>
    </xf>
    <xf numFmtId="0" fontId="3" fillId="3" borderId="110" xfId="0" applyFont="1" applyFill="1" applyBorder="1" applyProtection="1">
      <protection locked="0"/>
    </xf>
    <xf numFmtId="0" fontId="3" fillId="3" borderId="59" xfId="0" applyFont="1" applyFill="1" applyBorder="1" applyProtection="1">
      <protection locked="0"/>
    </xf>
    <xf numFmtId="166" fontId="3" fillId="0" borderId="20" xfId="1" applyNumberFormat="1" applyFont="1" applyBorder="1" applyAlignment="1" applyProtection="1">
      <alignment vertical="center" wrapText="1"/>
      <protection locked="0"/>
    </xf>
    <xf numFmtId="44" fontId="3" fillId="4" borderId="18" xfId="2" applyFont="1" applyFill="1" applyBorder="1" applyAlignment="1" applyProtection="1">
      <alignment horizontal="center" vertical="center" wrapText="1"/>
      <protection locked="0"/>
    </xf>
    <xf numFmtId="44" fontId="3" fillId="0" borderId="19" xfId="2" applyFont="1" applyBorder="1" applyAlignment="1" applyProtection="1">
      <alignment horizontal="center" vertical="center" wrapText="1"/>
      <protection locked="0"/>
    </xf>
    <xf numFmtId="44" fontId="6" fillId="0" borderId="55" xfId="2" applyFont="1" applyBorder="1" applyAlignment="1" applyProtection="1">
      <alignment horizontal="center" vertical="center" wrapText="1"/>
      <protection locked="0"/>
    </xf>
    <xf numFmtId="0" fontId="6" fillId="8" borderId="1" xfId="5" applyFont="1" applyFill="1" applyBorder="1" applyAlignment="1" applyProtection="1">
      <alignment horizontal="center" vertical="center" wrapText="1"/>
      <protection locked="0"/>
    </xf>
    <xf numFmtId="44" fontId="3" fillId="0" borderId="1" xfId="0" applyNumberFormat="1" applyFont="1" applyFill="1" applyBorder="1" applyAlignment="1" applyProtection="1">
      <alignment vertical="center"/>
      <protection locked="0"/>
    </xf>
    <xf numFmtId="0" fontId="6" fillId="8" borderId="62" xfId="5" applyFont="1" applyFill="1" applyBorder="1" applyAlignment="1" applyProtection="1">
      <alignment horizontal="center" vertical="center" wrapText="1"/>
      <protection locked="0"/>
    </xf>
    <xf numFmtId="166" fontId="3" fillId="6" borderId="20" xfId="1" applyNumberFormat="1" applyFont="1" applyFill="1" applyBorder="1" applyAlignment="1" applyProtection="1">
      <alignment vertical="center" wrapText="1"/>
      <protection locked="0"/>
    </xf>
    <xf numFmtId="44" fontId="3" fillId="6" borderId="18" xfId="2" applyFont="1" applyFill="1" applyBorder="1" applyAlignment="1" applyProtection="1">
      <alignment horizontal="center" vertical="center" wrapText="1"/>
      <protection locked="0"/>
    </xf>
    <xf numFmtId="44" fontId="3" fillId="6" borderId="19" xfId="2" applyFont="1" applyFill="1" applyBorder="1" applyAlignment="1" applyProtection="1">
      <alignment horizontal="center" vertical="center" wrapText="1"/>
      <protection locked="0"/>
    </xf>
    <xf numFmtId="0" fontId="6" fillId="0" borderId="24" xfId="5" applyFont="1" applyBorder="1" applyAlignment="1" applyProtection="1">
      <alignment vertical="center" wrapText="1"/>
      <protection locked="0"/>
    </xf>
    <xf numFmtId="166" fontId="6" fillId="0" borderId="5" xfId="1" applyNumberFormat="1" applyFont="1" applyBorder="1" applyAlignment="1" applyProtection="1">
      <alignment vertical="center" wrapText="1"/>
      <protection locked="0"/>
    </xf>
    <xf numFmtId="44" fontId="6" fillId="0" borderId="6" xfId="2" applyFont="1" applyBorder="1" applyAlignment="1" applyProtection="1">
      <alignment horizontal="center" vertical="center" wrapText="1"/>
      <protection locked="0"/>
    </xf>
    <xf numFmtId="44" fontId="6" fillId="4" borderId="7" xfId="2" applyFont="1" applyFill="1" applyBorder="1" applyAlignment="1" applyProtection="1">
      <alignment horizontal="center" vertical="center" wrapText="1"/>
      <protection locked="0"/>
    </xf>
    <xf numFmtId="44" fontId="6" fillId="0" borderId="24" xfId="2" applyFont="1" applyBorder="1" applyAlignment="1" applyProtection="1">
      <alignment horizontal="center" vertical="center" wrapText="1"/>
      <protection locked="0"/>
    </xf>
    <xf numFmtId="49" fontId="6" fillId="3" borderId="59" xfId="5" applyNumberFormat="1" applyFont="1" applyFill="1" applyBorder="1" applyAlignment="1" applyProtection="1">
      <alignment horizontal="center" vertical="center" wrapText="1"/>
      <protection locked="0"/>
    </xf>
    <xf numFmtId="44" fontId="6" fillId="0" borderId="59" xfId="0" applyNumberFormat="1" applyFont="1" applyFill="1" applyBorder="1" applyAlignment="1" applyProtection="1">
      <alignment vertical="center"/>
      <protection locked="0"/>
    </xf>
    <xf numFmtId="49" fontId="6" fillId="3" borderId="9" xfId="5" applyNumberFormat="1" applyFont="1" applyFill="1" applyBorder="1" applyAlignment="1" applyProtection="1">
      <alignment horizontal="center" vertical="center" wrapText="1"/>
      <protection locked="0"/>
    </xf>
    <xf numFmtId="49" fontId="3" fillId="3" borderId="9" xfId="5" applyNumberFormat="1" applyFont="1" applyFill="1" applyBorder="1" applyAlignment="1" applyProtection="1">
      <alignment horizontal="center" vertical="center" wrapText="1"/>
      <protection locked="0"/>
    </xf>
    <xf numFmtId="0" fontId="6" fillId="6" borderId="60" xfId="0" applyFont="1" applyFill="1" applyBorder="1" applyAlignment="1" applyProtection="1">
      <alignment horizontal="centerContinuous"/>
      <protection locked="0"/>
    </xf>
    <xf numFmtId="0" fontId="6" fillId="6" borderId="61" xfId="0" applyFont="1" applyFill="1" applyBorder="1" applyAlignment="1" applyProtection="1">
      <alignment horizontal="centerContinuous"/>
      <protection locked="0"/>
    </xf>
    <xf numFmtId="0" fontId="6" fillId="6" borderId="62" xfId="0" applyFont="1" applyFill="1" applyBorder="1" applyAlignment="1" applyProtection="1">
      <alignment horizontal="centerContinuous" vertical="center"/>
      <protection locked="0"/>
    </xf>
    <xf numFmtId="0" fontId="6" fillId="3" borderId="60" xfId="0" applyFont="1" applyFill="1" applyBorder="1" applyAlignment="1" applyProtection="1">
      <alignment horizontal="centerContinuous"/>
      <protection locked="0"/>
    </xf>
    <xf numFmtId="49" fontId="6" fillId="3" borderId="30" xfId="5" applyNumberFormat="1" applyFont="1" applyFill="1" applyBorder="1" applyAlignment="1" applyProtection="1">
      <alignment horizontal="center" vertical="center" wrapText="1"/>
      <protection locked="0"/>
    </xf>
    <xf numFmtId="44" fontId="3" fillId="0" borderId="1" xfId="5" applyNumberFormat="1" applyFont="1" applyFill="1" applyBorder="1" applyAlignment="1" applyProtection="1">
      <alignment horizontal="center" vertical="center" wrapText="1"/>
      <protection locked="0"/>
    </xf>
    <xf numFmtId="49" fontId="3" fillId="3" borderId="59" xfId="5" applyNumberFormat="1" applyFont="1" applyFill="1" applyBorder="1" applyAlignment="1" applyProtection="1">
      <alignment horizontal="center" vertical="center" wrapText="1"/>
      <protection locked="0"/>
    </xf>
    <xf numFmtId="44" fontId="6" fillId="0" borderId="59" xfId="2" applyFont="1" applyBorder="1" applyAlignment="1" applyProtection="1">
      <alignment horizontal="center" vertical="center" wrapText="1"/>
      <protection locked="0"/>
    </xf>
    <xf numFmtId="0" fontId="6" fillId="8" borderId="9" xfId="5" applyFont="1" applyFill="1" applyBorder="1" applyAlignment="1" applyProtection="1">
      <alignment horizontal="center" vertical="center" wrapText="1"/>
      <protection locked="0"/>
    </xf>
    <xf numFmtId="44" fontId="6" fillId="0" borderId="34" xfId="5" applyNumberFormat="1" applyFont="1" applyFill="1" applyBorder="1" applyAlignment="1" applyProtection="1">
      <alignment horizontal="center" vertical="center" wrapText="1"/>
      <protection locked="0"/>
    </xf>
    <xf numFmtId="44" fontId="6" fillId="0" borderId="43" xfId="2" applyFont="1" applyBorder="1" applyAlignment="1" applyProtection="1">
      <alignment horizontal="center" vertical="center" wrapText="1"/>
      <protection locked="0"/>
    </xf>
    <xf numFmtId="0" fontId="3" fillId="0" borderId="0" xfId="0" applyFont="1" applyBorder="1" applyProtection="1">
      <protection locked="0"/>
    </xf>
    <xf numFmtId="0" fontId="3" fillId="0" borderId="0" xfId="0" applyFont="1" applyFill="1" applyBorder="1" applyAlignment="1" applyProtection="1">
      <alignment vertical="center"/>
      <protection locked="0"/>
    </xf>
    <xf numFmtId="0" fontId="5" fillId="0" borderId="0" xfId="0" applyFont="1" applyProtection="1">
      <protection locked="0"/>
    </xf>
    <xf numFmtId="171" fontId="0" fillId="0" borderId="0" xfId="0" applyNumberFormat="1" applyProtection="1">
      <protection locked="0"/>
    </xf>
    <xf numFmtId="0" fontId="3" fillId="0" borderId="65" xfId="0" applyFont="1" applyFill="1" applyBorder="1" applyAlignment="1" applyProtection="1">
      <alignment vertical="center"/>
      <protection locked="0"/>
    </xf>
    <xf numFmtId="0" fontId="6" fillId="3" borderId="29" xfId="0" applyFont="1" applyFill="1" applyBorder="1" applyAlignment="1" applyProtection="1">
      <alignment horizontal="left" vertical="center"/>
      <protection locked="0"/>
    </xf>
    <xf numFmtId="165" fontId="6" fillId="3" borderId="29" xfId="7" applyFont="1" applyFill="1" applyBorder="1" applyAlignment="1" applyProtection="1">
      <alignment horizontal="centerContinuous" vertical="center"/>
      <protection locked="0"/>
    </xf>
    <xf numFmtId="0" fontId="6" fillId="3" borderId="30" xfId="0" applyFont="1" applyFill="1" applyBorder="1" applyAlignment="1" applyProtection="1">
      <alignment horizontal="center" vertical="center"/>
      <protection locked="0"/>
    </xf>
    <xf numFmtId="171" fontId="6" fillId="3" borderId="59" xfId="0" quotePrefix="1" applyNumberFormat="1" applyFont="1" applyFill="1" applyBorder="1" applyAlignment="1" applyProtection="1">
      <alignment horizontal="center" vertical="center"/>
      <protection locked="0"/>
    </xf>
    <xf numFmtId="171" fontId="6" fillId="3" borderId="59" xfId="0" applyNumberFormat="1" applyFont="1" applyFill="1" applyBorder="1" applyAlignment="1" applyProtection="1">
      <alignment horizontal="center" vertical="center"/>
      <protection locked="0"/>
    </xf>
    <xf numFmtId="44" fontId="6" fillId="0" borderId="31" xfId="2" applyFont="1" applyBorder="1" applyAlignment="1" applyProtection="1">
      <alignment horizontal="center" vertical="center" wrapText="1"/>
      <protection locked="0"/>
    </xf>
    <xf numFmtId="0" fontId="3" fillId="0" borderId="0" xfId="0" applyFont="1" applyAlignment="1" applyProtection="1">
      <alignment horizontal="centerContinuous"/>
      <protection locked="0"/>
    </xf>
    <xf numFmtId="0" fontId="3" fillId="0" borderId="0" xfId="0" applyFont="1" applyFill="1" applyBorder="1" applyAlignment="1" applyProtection="1">
      <alignment horizontal="center" vertical="center"/>
      <protection locked="0"/>
    </xf>
    <xf numFmtId="166" fontId="6" fillId="6" borderId="64" xfId="1" applyNumberFormat="1" applyFont="1" applyFill="1" applyBorder="1" applyAlignment="1" applyProtection="1">
      <alignment vertical="center" wrapText="1"/>
      <protection locked="0"/>
    </xf>
    <xf numFmtId="44" fontId="6" fillId="6" borderId="36" xfId="2" applyFont="1" applyFill="1" applyBorder="1" applyAlignment="1" applyProtection="1">
      <alignment horizontal="center" vertical="center" wrapText="1"/>
      <protection locked="0"/>
    </xf>
    <xf numFmtId="44" fontId="3" fillId="6" borderId="38" xfId="2" applyFont="1" applyFill="1" applyBorder="1" applyAlignment="1" applyProtection="1">
      <alignment horizontal="center" vertical="center" wrapText="1"/>
      <protection locked="0"/>
    </xf>
    <xf numFmtId="0" fontId="6" fillId="0" borderId="50" xfId="0" applyFont="1" applyFill="1" applyBorder="1" applyAlignment="1" applyProtection="1">
      <alignment horizontal="centerContinuous" vertical="center"/>
      <protection locked="0"/>
    </xf>
    <xf numFmtId="0" fontId="6" fillId="0" borderId="52" xfId="0" applyFont="1" applyFill="1" applyBorder="1" applyAlignment="1" applyProtection="1">
      <alignment horizontal="centerContinuous" vertical="center"/>
      <protection locked="0"/>
    </xf>
    <xf numFmtId="0" fontId="3" fillId="3" borderId="11" xfId="0" applyFont="1" applyFill="1" applyBorder="1" applyAlignment="1" applyProtection="1">
      <alignment horizontal="centerContinuous"/>
      <protection locked="0"/>
    </xf>
    <xf numFmtId="44" fontId="3" fillId="10" borderId="35" xfId="2" applyFont="1" applyFill="1" applyBorder="1" applyAlignment="1" applyProtection="1">
      <alignment horizontal="center" vertical="center" wrapText="1"/>
      <protection locked="0"/>
    </xf>
    <xf numFmtId="44" fontId="3" fillId="10" borderId="39" xfId="2" applyFont="1" applyFill="1" applyBorder="1" applyAlignment="1" applyProtection="1">
      <alignment horizontal="center" vertical="center" wrapText="1"/>
      <protection locked="0"/>
    </xf>
    <xf numFmtId="44" fontId="3" fillId="10" borderId="58" xfId="2" applyFont="1" applyFill="1" applyBorder="1" applyAlignment="1" applyProtection="1">
      <alignment horizontal="center" vertical="center" wrapText="1"/>
      <protection locked="0"/>
    </xf>
    <xf numFmtId="44" fontId="3" fillId="10" borderId="20" xfId="2" applyFont="1" applyFill="1" applyBorder="1" applyAlignment="1" applyProtection="1">
      <alignment horizontal="center" vertical="center" wrapText="1"/>
      <protection locked="0"/>
    </xf>
    <xf numFmtId="44" fontId="3" fillId="10" borderId="16" xfId="2" applyFont="1" applyFill="1" applyBorder="1" applyAlignment="1" applyProtection="1">
      <alignment horizontal="center" vertical="center" wrapText="1"/>
      <protection locked="0"/>
    </xf>
    <xf numFmtId="44" fontId="3" fillId="10" borderId="33" xfId="2" applyFont="1" applyFill="1" applyBorder="1" applyAlignment="1" applyProtection="1">
      <alignment horizontal="center" vertical="center" wrapText="1"/>
      <protection locked="0"/>
    </xf>
    <xf numFmtId="44" fontId="3" fillId="10" borderId="57" xfId="2" applyFont="1" applyFill="1" applyBorder="1" applyAlignment="1" applyProtection="1">
      <alignment horizontal="center" vertical="center" wrapText="1"/>
      <protection locked="0"/>
    </xf>
    <xf numFmtId="44" fontId="3" fillId="10" borderId="76" xfId="2" applyFont="1" applyFill="1" applyBorder="1" applyAlignment="1" applyProtection="1">
      <alignment horizontal="center" vertical="center" wrapText="1"/>
      <protection locked="0"/>
    </xf>
    <xf numFmtId="44" fontId="3" fillId="10" borderId="77" xfId="2" applyFont="1" applyFill="1" applyBorder="1" applyAlignment="1" applyProtection="1">
      <alignment horizontal="center" vertical="center" wrapText="1"/>
      <protection locked="0"/>
    </xf>
    <xf numFmtId="44" fontId="3" fillId="10" borderId="78" xfId="2" applyFont="1" applyFill="1" applyBorder="1" applyAlignment="1" applyProtection="1">
      <alignment horizontal="center" vertical="center" wrapText="1"/>
      <protection locked="0"/>
    </xf>
    <xf numFmtId="0" fontId="3" fillId="0" borderId="25" xfId="0" applyFont="1" applyFill="1" applyBorder="1" applyAlignment="1" applyProtection="1">
      <alignment vertical="center"/>
      <protection locked="0"/>
    </xf>
    <xf numFmtId="44" fontId="6" fillId="0" borderId="25" xfId="2" applyFont="1" applyFill="1" applyBorder="1" applyAlignment="1" applyProtection="1">
      <alignment horizontal="center" vertical="center" wrapText="1"/>
      <protection locked="0"/>
    </xf>
    <xf numFmtId="0" fontId="6" fillId="0" borderId="25" xfId="0" applyFont="1" applyFill="1" applyBorder="1" applyAlignment="1" applyProtection="1">
      <alignment vertical="center"/>
      <protection locked="0"/>
    </xf>
    <xf numFmtId="168" fontId="6" fillId="0" borderId="25" xfId="0" applyNumberFormat="1" applyFont="1" applyFill="1" applyBorder="1" applyAlignment="1" applyProtection="1">
      <alignment vertical="center"/>
      <protection locked="0"/>
    </xf>
    <xf numFmtId="44" fontId="3" fillId="10" borderId="18" xfId="2" applyFont="1" applyFill="1" applyBorder="1" applyAlignment="1" applyProtection="1">
      <alignment horizontal="center" vertical="center" wrapText="1"/>
      <protection locked="0"/>
    </xf>
    <xf numFmtId="44" fontId="3" fillId="10" borderId="19" xfId="2" applyFont="1" applyFill="1" applyBorder="1" applyAlignment="1" applyProtection="1">
      <alignment horizontal="center" vertical="center" wrapText="1"/>
      <protection locked="0"/>
    </xf>
    <xf numFmtId="44" fontId="3" fillId="10" borderId="1" xfId="2" applyFont="1" applyFill="1" applyBorder="1" applyAlignment="1" applyProtection="1">
      <alignment horizontal="center" vertical="center" wrapText="1"/>
      <protection locked="0"/>
    </xf>
    <xf numFmtId="44" fontId="3" fillId="10" borderId="13" xfId="2" applyFont="1" applyFill="1" applyBorder="1" applyAlignment="1" applyProtection="1">
      <alignment horizontal="center" vertical="center" wrapText="1"/>
      <protection locked="0"/>
    </xf>
    <xf numFmtId="44" fontId="3" fillId="10" borderId="14" xfId="2" applyFont="1" applyFill="1" applyBorder="1" applyAlignment="1" applyProtection="1">
      <alignment horizontal="center" vertical="center" wrapText="1"/>
      <protection locked="0"/>
    </xf>
    <xf numFmtId="44" fontId="3" fillId="10" borderId="17" xfId="2" applyFont="1" applyFill="1" applyBorder="1" applyAlignment="1" applyProtection="1">
      <alignment horizontal="center" vertical="center" wrapText="1"/>
      <protection locked="0"/>
    </xf>
    <xf numFmtId="44" fontId="3" fillId="10" borderId="79" xfId="2" applyFont="1" applyFill="1" applyBorder="1" applyAlignment="1" applyProtection="1">
      <alignment horizontal="center" vertical="center" wrapText="1"/>
      <protection locked="0"/>
    </xf>
    <xf numFmtId="44" fontId="3" fillId="10" borderId="80" xfId="2" applyFont="1" applyFill="1" applyBorder="1" applyAlignment="1" applyProtection="1">
      <alignment horizontal="center" vertical="center" wrapText="1"/>
      <protection locked="0"/>
    </xf>
    <xf numFmtId="0" fontId="14" fillId="0" borderId="0" xfId="0" applyFont="1" applyFill="1" applyBorder="1" applyAlignment="1" applyProtection="1">
      <alignment vertical="center"/>
      <protection locked="0"/>
    </xf>
    <xf numFmtId="165" fontId="6" fillId="3" borderId="105" xfId="7" applyFont="1" applyFill="1" applyBorder="1" applyAlignment="1" applyProtection="1">
      <alignment horizontal="center" vertical="center"/>
      <protection locked="0"/>
    </xf>
    <xf numFmtId="0" fontId="6" fillId="3" borderId="106" xfId="0" applyFont="1" applyFill="1" applyBorder="1" applyAlignment="1" applyProtection="1">
      <alignment horizontal="center" vertical="center"/>
      <protection locked="0"/>
    </xf>
    <xf numFmtId="0" fontId="6" fillId="3" borderId="106" xfId="0" applyFont="1" applyFill="1" applyBorder="1" applyAlignment="1" applyProtection="1">
      <alignment horizontal="centerContinuous" vertical="center"/>
      <protection locked="0"/>
    </xf>
    <xf numFmtId="0" fontId="3" fillId="3" borderId="107" xfId="0" applyFont="1" applyFill="1" applyBorder="1" applyAlignment="1" applyProtection="1">
      <alignment horizontal="centerContinuous"/>
      <protection locked="0"/>
    </xf>
    <xf numFmtId="165" fontId="6" fillId="3" borderId="35" xfId="7" applyFont="1" applyFill="1" applyBorder="1" applyAlignment="1" applyProtection="1">
      <alignment horizontal="center" vertical="center" wrapText="1"/>
      <protection locked="0"/>
    </xf>
    <xf numFmtId="0" fontId="6" fillId="3" borderId="1" xfId="5" applyFont="1" applyFill="1" applyBorder="1" applyAlignment="1" applyProtection="1">
      <alignment horizontal="center" vertical="center" wrapText="1"/>
      <protection locked="0"/>
    </xf>
    <xf numFmtId="0" fontId="6" fillId="3" borderId="3" xfId="5" applyFont="1" applyFill="1" applyBorder="1" applyAlignment="1" applyProtection="1">
      <alignment horizontal="center" vertical="center" wrapText="1"/>
      <protection locked="0"/>
    </xf>
    <xf numFmtId="166" fontId="3" fillId="0" borderId="1" xfId="1" applyNumberFormat="1" applyFont="1" applyBorder="1" applyAlignment="1" applyProtection="1">
      <alignment vertical="center" wrapText="1"/>
      <protection locked="0"/>
    </xf>
    <xf numFmtId="44" fontId="3" fillId="0" borderId="3" xfId="2" applyFont="1" applyBorder="1" applyAlignment="1" applyProtection="1">
      <alignment horizontal="center" vertical="center" wrapText="1"/>
      <protection locked="0"/>
    </xf>
    <xf numFmtId="0" fontId="6" fillId="0" borderId="35" xfId="5" applyFont="1" applyBorder="1" applyAlignment="1" applyProtection="1">
      <alignment vertical="center" wrapText="1"/>
      <protection locked="0"/>
    </xf>
    <xf numFmtId="166" fontId="6" fillId="0" borderId="1" xfId="1" applyNumberFormat="1" applyFont="1" applyBorder="1" applyAlignment="1" applyProtection="1">
      <alignment vertical="center" wrapText="1"/>
      <protection locked="0"/>
    </xf>
    <xf numFmtId="0" fontId="3" fillId="0" borderId="3" xfId="0" applyFont="1" applyFill="1" applyBorder="1" applyAlignment="1" applyProtection="1">
      <alignment vertical="center"/>
      <protection locked="0"/>
    </xf>
    <xf numFmtId="44" fontId="6" fillId="0" borderId="1" xfId="2" applyFont="1" applyFill="1" applyBorder="1" applyAlignment="1" applyProtection="1">
      <alignment horizontal="center" vertical="center" wrapText="1"/>
      <protection locked="0"/>
    </xf>
    <xf numFmtId="44" fontId="6" fillId="0" borderId="3" xfId="2" applyFont="1" applyFill="1" applyBorder="1" applyAlignment="1" applyProtection="1">
      <alignment horizontal="center" vertical="center" wrapText="1"/>
      <protection locked="0"/>
    </xf>
    <xf numFmtId="0" fontId="6" fillId="0" borderId="37" xfId="0" applyFont="1" applyFill="1" applyBorder="1" applyAlignment="1" applyProtection="1">
      <alignment vertical="center"/>
      <protection locked="0"/>
    </xf>
    <xf numFmtId="0" fontId="3" fillId="0" borderId="36" xfId="0" applyFont="1" applyFill="1" applyBorder="1" applyAlignment="1" applyProtection="1">
      <alignment vertical="center"/>
      <protection locked="0"/>
    </xf>
    <xf numFmtId="168" fontId="6" fillId="0" borderId="38" xfId="0" applyNumberFormat="1" applyFont="1" applyFill="1" applyBorder="1" applyAlignment="1" applyProtection="1">
      <alignment vertical="center"/>
      <protection locked="0"/>
    </xf>
    <xf numFmtId="10" fontId="6" fillId="0" borderId="21" xfId="8" applyNumberFormat="1" applyFont="1" applyFill="1" applyBorder="1" applyAlignment="1" applyProtection="1">
      <alignment horizontal="center" vertical="center" wrapText="1"/>
      <protection locked="0"/>
    </xf>
    <xf numFmtId="10" fontId="6" fillId="0" borderId="21" xfId="8" applyNumberFormat="1" applyFont="1" applyFill="1" applyBorder="1" applyAlignment="1" applyProtection="1">
      <alignment horizontal="center" vertical="center"/>
      <protection locked="0"/>
    </xf>
    <xf numFmtId="10" fontId="6" fillId="0" borderId="21" xfId="8" quotePrefix="1" applyNumberFormat="1" applyFont="1" applyFill="1" applyBorder="1" applyAlignment="1" applyProtection="1">
      <alignment horizontal="center" vertical="center" wrapText="1"/>
      <protection locked="0"/>
    </xf>
    <xf numFmtId="10" fontId="6" fillId="0" borderId="21" xfId="8" applyNumberFormat="1" applyFont="1" applyBorder="1" applyAlignment="1" applyProtection="1">
      <alignment horizontal="center" vertical="center" wrapText="1"/>
      <protection locked="0"/>
    </xf>
    <xf numFmtId="0" fontId="14" fillId="0" borderId="0" xfId="5" applyFont="1" applyBorder="1" applyAlignment="1" applyProtection="1">
      <alignment vertical="center" wrapText="1"/>
      <protection locked="0"/>
    </xf>
    <xf numFmtId="10" fontId="6" fillId="0" borderId="22" xfId="8" applyNumberFormat="1" applyFont="1" applyFill="1" applyBorder="1" applyAlignment="1" applyProtection="1">
      <alignment horizontal="center" vertical="center" wrapText="1"/>
      <protection locked="0"/>
    </xf>
    <xf numFmtId="0" fontId="6" fillId="3" borderId="32" xfId="5" applyFont="1" applyFill="1" applyBorder="1" applyAlignment="1" applyProtection="1">
      <alignment horizontal="center" vertical="center" wrapText="1"/>
      <protection locked="0"/>
    </xf>
    <xf numFmtId="0" fontId="6" fillId="3" borderId="50" xfId="5" applyFont="1" applyFill="1" applyBorder="1" applyAlignment="1" applyProtection="1">
      <alignment horizontal="center" vertical="center" wrapText="1"/>
      <protection locked="0"/>
    </xf>
    <xf numFmtId="10" fontId="6" fillId="0" borderId="16" xfId="8" applyNumberFormat="1" applyFont="1" applyFill="1" applyBorder="1" applyAlignment="1" applyProtection="1">
      <alignment horizontal="center" vertical="center"/>
      <protection locked="0"/>
    </xf>
    <xf numFmtId="0" fontId="6" fillId="3" borderId="33" xfId="5" applyFont="1" applyFill="1" applyBorder="1" applyAlignment="1" applyProtection="1">
      <alignment horizontal="center" vertical="center" wrapText="1"/>
      <protection locked="0"/>
    </xf>
    <xf numFmtId="0" fontId="6" fillId="3" borderId="51" xfId="5" applyFont="1" applyFill="1" applyBorder="1" applyAlignment="1" applyProtection="1">
      <alignment horizontal="center" vertical="center" wrapText="1"/>
      <protection locked="0"/>
    </xf>
    <xf numFmtId="10" fontId="6" fillId="0" borderId="16" xfId="8" quotePrefix="1" applyNumberFormat="1" applyFont="1" applyFill="1" applyBorder="1" applyAlignment="1" applyProtection="1">
      <alignment horizontal="center" vertical="center" wrapText="1"/>
      <protection locked="0"/>
    </xf>
    <xf numFmtId="0" fontId="6" fillId="3" borderId="39" xfId="5" applyFont="1" applyFill="1" applyBorder="1" applyAlignment="1" applyProtection="1">
      <alignment horizontal="center" vertical="center" wrapText="1"/>
      <protection locked="0"/>
    </xf>
    <xf numFmtId="0" fontId="6" fillId="3" borderId="52" xfId="5" applyFont="1" applyFill="1" applyBorder="1" applyAlignment="1" applyProtection="1">
      <alignment horizontal="center" vertical="center" wrapText="1"/>
      <protection locked="0"/>
    </xf>
    <xf numFmtId="10" fontId="6" fillId="0" borderId="20" xfId="8" applyNumberFormat="1" applyFont="1" applyFill="1" applyBorder="1" applyAlignment="1" applyProtection="1">
      <alignment horizontal="center" vertical="center" wrapText="1"/>
      <protection locked="0"/>
    </xf>
    <xf numFmtId="44" fontId="3" fillId="0" borderId="21" xfId="2" applyFont="1" applyBorder="1" applyAlignment="1" applyProtection="1">
      <alignment vertical="center" wrapText="1"/>
      <protection locked="0"/>
    </xf>
    <xf numFmtId="44" fontId="3" fillId="0" borderId="2" xfId="2" applyFont="1" applyBorder="1" applyAlignment="1" applyProtection="1">
      <alignment horizontal="center" vertical="center" wrapText="1"/>
      <protection locked="0"/>
    </xf>
    <xf numFmtId="0" fontId="6" fillId="0" borderId="25" xfId="5" applyFont="1" applyBorder="1" applyAlignment="1" applyProtection="1">
      <alignment vertical="center" wrapText="1"/>
      <protection locked="0"/>
    </xf>
    <xf numFmtId="166" fontId="6" fillId="0" borderId="25" xfId="1" applyNumberFormat="1" applyFont="1" applyBorder="1" applyAlignment="1" applyProtection="1">
      <alignment vertical="center"/>
      <protection locked="0"/>
    </xf>
    <xf numFmtId="44" fontId="6" fillId="0" borderId="25" xfId="2" applyFont="1" applyBorder="1" applyAlignment="1" applyProtection="1">
      <alignment vertical="center" wrapText="1"/>
      <protection locked="0"/>
    </xf>
    <xf numFmtId="44" fontId="6" fillId="0" borderId="25" xfId="2" applyFont="1" applyBorder="1" applyAlignment="1" applyProtection="1">
      <alignment horizontal="center" vertical="center" wrapText="1"/>
      <protection locked="0"/>
    </xf>
    <xf numFmtId="10" fontId="6" fillId="0" borderId="108" xfId="8" applyNumberFormat="1" applyFont="1" applyFill="1" applyBorder="1" applyAlignment="1" applyProtection="1">
      <alignment horizontal="center" vertical="center" wrapText="1"/>
      <protection locked="0"/>
    </xf>
    <xf numFmtId="166" fontId="6" fillId="0" borderId="25" xfId="1" applyNumberFormat="1" applyFont="1" applyBorder="1" applyAlignment="1" applyProtection="1">
      <alignment vertical="center" wrapText="1"/>
      <protection locked="0"/>
    </xf>
    <xf numFmtId="10" fontId="6" fillId="0" borderId="37" xfId="8" applyNumberFormat="1" applyFont="1" applyFill="1" applyBorder="1" applyAlignment="1" applyProtection="1">
      <alignment horizontal="center" vertical="center" wrapText="1"/>
      <protection locked="0"/>
    </xf>
    <xf numFmtId="0" fontId="6" fillId="0" borderId="25" xfId="0" quotePrefix="1" applyFont="1" applyFill="1" applyBorder="1" applyAlignment="1" applyProtection="1">
      <alignment vertical="center"/>
      <protection locked="0"/>
    </xf>
    <xf numFmtId="0" fontId="6" fillId="0" borderId="26" xfId="0" quotePrefix="1" applyFont="1" applyFill="1" applyBorder="1" applyAlignment="1" applyProtection="1">
      <alignment horizontal="left" vertical="center"/>
      <protection locked="0"/>
    </xf>
    <xf numFmtId="0" fontId="6" fillId="0" borderId="27" xfId="0" applyFont="1" applyFill="1" applyBorder="1" applyAlignment="1" applyProtection="1">
      <alignment vertical="center"/>
      <protection locked="0"/>
    </xf>
    <xf numFmtId="168" fontId="6" fillId="0" borderId="28" xfId="0" applyNumberFormat="1" applyFont="1" applyFill="1" applyBorder="1" applyAlignment="1" applyProtection="1">
      <alignment vertical="center"/>
      <protection locked="0"/>
    </xf>
    <xf numFmtId="10" fontId="6" fillId="0" borderId="49" xfId="8" applyNumberFormat="1" applyFont="1" applyFill="1" applyBorder="1" applyAlignment="1" applyProtection="1">
      <alignment horizontal="center" vertical="center" wrapText="1"/>
      <protection locked="0"/>
    </xf>
    <xf numFmtId="10" fontId="3" fillId="0" borderId="33" xfId="8" applyNumberFormat="1" applyFont="1" applyFill="1" applyBorder="1" applyAlignment="1" applyProtection="1">
      <alignment vertical="center"/>
      <protection locked="0"/>
    </xf>
    <xf numFmtId="10" fontId="6" fillId="0" borderId="29" xfId="8" applyNumberFormat="1" applyFont="1" applyFill="1" applyBorder="1" applyAlignment="1" applyProtection="1">
      <alignment horizontal="center" vertical="center" wrapText="1"/>
      <protection locked="0"/>
    </xf>
    <xf numFmtId="10" fontId="6" fillId="0" borderId="30" xfId="8" applyNumberFormat="1" applyFont="1" applyFill="1" applyBorder="1" applyAlignment="1" applyProtection="1">
      <alignment horizontal="center" vertical="center"/>
      <protection locked="0"/>
    </xf>
    <xf numFmtId="10" fontId="6" fillId="0" borderId="30" xfId="8" quotePrefix="1" applyNumberFormat="1" applyFont="1" applyFill="1" applyBorder="1" applyAlignment="1" applyProtection="1">
      <alignment horizontal="center" vertical="center" wrapText="1"/>
      <protection locked="0"/>
    </xf>
    <xf numFmtId="10" fontId="6" fillId="0" borderId="31" xfId="8" applyNumberFormat="1" applyFont="1" applyFill="1" applyBorder="1" applyAlignment="1" applyProtection="1">
      <alignment horizontal="center" vertical="center" wrapText="1"/>
      <protection locked="0"/>
    </xf>
    <xf numFmtId="10" fontId="6" fillId="0" borderId="60" xfId="8" applyNumberFormat="1" applyFont="1" applyFill="1" applyBorder="1" applyAlignment="1" applyProtection="1">
      <alignment horizontal="center" vertical="center" wrapText="1"/>
      <protection locked="0"/>
    </xf>
    <xf numFmtId="10" fontId="6" fillId="0" borderId="43" xfId="8" applyNumberFormat="1" applyFont="1" applyFill="1" applyBorder="1" applyAlignment="1" applyProtection="1">
      <alignment horizontal="center" vertical="center" wrapText="1"/>
      <protection locked="0"/>
    </xf>
    <xf numFmtId="10" fontId="3" fillId="0" borderId="0" xfId="8" applyNumberFormat="1" applyFont="1" applyFill="1" applyBorder="1" applyAlignment="1" applyProtection="1">
      <alignment vertical="center"/>
      <protection locked="0"/>
    </xf>
    <xf numFmtId="165" fontId="6" fillId="3" borderId="56" xfId="7" applyFont="1" applyFill="1" applyBorder="1" applyAlignment="1" applyProtection="1">
      <alignment horizontal="center" vertical="center"/>
      <protection locked="0"/>
    </xf>
    <xf numFmtId="165" fontId="6" fillId="3" borderId="57" xfId="7" quotePrefix="1" applyFont="1" applyFill="1" applyBorder="1" applyAlignment="1" applyProtection="1">
      <alignment horizontal="center" vertical="center" wrapText="1"/>
      <protection locked="0"/>
    </xf>
    <xf numFmtId="165" fontId="6" fillId="3" borderId="57" xfId="7" applyFont="1" applyFill="1" applyBorder="1" applyAlignment="1" applyProtection="1">
      <alignment horizontal="center" vertical="center" wrapText="1"/>
      <protection locked="0"/>
    </xf>
    <xf numFmtId="165" fontId="6" fillId="3" borderId="58" xfId="7" quotePrefix="1" applyFont="1" applyFill="1" applyBorder="1" applyAlignment="1" applyProtection="1">
      <alignment horizontal="center" vertical="center" wrapText="1"/>
      <protection locked="0"/>
    </xf>
    <xf numFmtId="10" fontId="6" fillId="0" borderId="29" xfId="8" applyNumberFormat="1" applyFont="1" applyFill="1" applyBorder="1" applyAlignment="1" applyProtection="1">
      <alignment horizontal="centerContinuous" vertical="center"/>
      <protection locked="0"/>
    </xf>
    <xf numFmtId="10" fontId="6" fillId="0" borderId="30" xfId="8" applyNumberFormat="1" applyFont="1" applyFill="1" applyBorder="1" applyAlignment="1" applyProtection="1">
      <alignment horizontal="center" vertical="center" wrapText="1"/>
      <protection locked="0"/>
    </xf>
    <xf numFmtId="10" fontId="14" fillId="0" borderId="30" xfId="8" quotePrefix="1" applyNumberFormat="1" applyFont="1" applyFill="1" applyBorder="1" applyAlignment="1" applyProtection="1">
      <alignment horizontal="center" vertical="center" wrapText="1"/>
      <protection locked="0"/>
    </xf>
    <xf numFmtId="10" fontId="14" fillId="0" borderId="31" xfId="8" applyNumberFormat="1" applyFont="1" applyFill="1" applyBorder="1" applyAlignment="1" applyProtection="1">
      <alignment horizontal="center" vertical="center" wrapText="1"/>
      <protection locked="0"/>
    </xf>
    <xf numFmtId="10" fontId="14" fillId="0" borderId="42" xfId="8" applyNumberFormat="1" applyFont="1" applyFill="1" applyBorder="1" applyAlignment="1" applyProtection="1">
      <alignment horizontal="center" vertical="center" wrapText="1"/>
      <protection locked="0"/>
    </xf>
    <xf numFmtId="10" fontId="14" fillId="0" borderId="104" xfId="8" applyNumberFormat="1" applyFont="1" applyFill="1" applyBorder="1" applyAlignment="1" applyProtection="1">
      <alignment horizontal="center" vertical="center" wrapText="1"/>
      <protection locked="0"/>
    </xf>
    <xf numFmtId="10" fontId="14" fillId="0" borderId="43" xfId="8" applyNumberFormat="1" applyFont="1" applyFill="1" applyBorder="1" applyAlignment="1" applyProtection="1">
      <alignment horizontal="center" vertical="center" wrapText="1"/>
      <protection locked="0"/>
    </xf>
    <xf numFmtId="10" fontId="14" fillId="0" borderId="34" xfId="8" applyNumberFormat="1" applyFont="1" applyFill="1" applyBorder="1" applyAlignment="1" applyProtection="1">
      <alignment horizontal="center" vertical="center" wrapText="1"/>
      <protection locked="0"/>
    </xf>
    <xf numFmtId="164" fontId="6" fillId="0" borderId="29" xfId="0" applyNumberFormat="1" applyFont="1" applyFill="1" applyBorder="1" applyAlignment="1" applyProtection="1">
      <alignment horizontal="centerContinuous" vertical="center"/>
      <protection locked="0"/>
    </xf>
    <xf numFmtId="164" fontId="6" fillId="0" borderId="30" xfId="5" applyNumberFormat="1" applyFont="1" applyFill="1" applyBorder="1" applyAlignment="1" applyProtection="1">
      <alignment horizontal="center" vertical="center" wrapText="1"/>
      <protection locked="0"/>
    </xf>
    <xf numFmtId="164" fontId="6" fillId="0" borderId="30" xfId="5" quotePrefix="1" applyNumberFormat="1" applyFont="1" applyFill="1" applyBorder="1" applyAlignment="1" applyProtection="1">
      <alignment horizontal="center" vertical="center" wrapText="1"/>
      <protection locked="0"/>
    </xf>
    <xf numFmtId="164" fontId="6" fillId="0" borderId="31" xfId="5" applyNumberFormat="1" applyFont="1" applyFill="1" applyBorder="1" applyAlignment="1" applyProtection="1">
      <alignment horizontal="center" vertical="center" wrapText="1"/>
      <protection locked="0"/>
    </xf>
    <xf numFmtId="164" fontId="6" fillId="0" borderId="42" xfId="2" applyNumberFormat="1" applyFont="1" applyFill="1" applyBorder="1" applyAlignment="1" applyProtection="1">
      <alignment horizontal="center" vertical="center" wrapText="1"/>
      <protection locked="0"/>
    </xf>
    <xf numFmtId="164" fontId="6" fillId="0" borderId="104" xfId="2" applyNumberFormat="1" applyFont="1" applyFill="1" applyBorder="1" applyAlignment="1" applyProtection="1">
      <alignment horizontal="center" vertical="center" wrapText="1"/>
      <protection locked="0"/>
    </xf>
    <xf numFmtId="164" fontId="6" fillId="0" borderId="43" xfId="2" applyNumberFormat="1" applyFont="1" applyFill="1" applyBorder="1" applyAlignment="1" applyProtection="1">
      <alignment horizontal="center" vertical="center" wrapText="1"/>
      <protection locked="0"/>
    </xf>
    <xf numFmtId="164" fontId="6" fillId="0" borderId="34" xfId="2" applyNumberFormat="1" applyFont="1" applyFill="1" applyBorder="1" applyAlignment="1" applyProtection="1">
      <alignment horizontal="center" vertical="center" wrapText="1"/>
      <protection locked="0"/>
    </xf>
    <xf numFmtId="0" fontId="4" fillId="0" borderId="0" xfId="0" applyFont="1" applyProtection="1">
      <protection locked="0"/>
    </xf>
    <xf numFmtId="10" fontId="0" fillId="0" borderId="0" xfId="0" applyNumberFormat="1" applyProtection="1">
      <protection locked="0"/>
    </xf>
    <xf numFmtId="0" fontId="4" fillId="0" borderId="0" xfId="0" applyFont="1" applyFill="1" applyProtection="1">
      <protection locked="0"/>
    </xf>
    <xf numFmtId="10" fontId="0" fillId="0" borderId="0" xfId="0" applyNumberFormat="1" applyFill="1" applyProtection="1">
      <protection locked="0"/>
    </xf>
  </cellXfs>
  <cellStyles count="9">
    <cellStyle name="Comma" xfId="1" builtinId="3"/>
    <cellStyle name="Currency" xfId="2" builtinId="4"/>
    <cellStyle name="Normal" xfId="0" builtinId="0"/>
    <cellStyle name="Normal 2" xfId="3"/>
    <cellStyle name="Normal_adminsummary_fy0304waiver" xfId="4"/>
    <cellStyle name="Normal_Conversion CE sample" xfId="5"/>
    <cellStyle name="Normal_NE6410WAIVER_BYQ4.XLW" xfId="6"/>
    <cellStyle name="Normal_Psych_Psych" xfId="7"/>
    <cellStyle name="Percent"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539687</xdr:colOff>
      <xdr:row>9</xdr:row>
      <xdr:rowOff>102616</xdr:rowOff>
    </xdr:to>
    <xdr:sp macro="" textlink="">
      <xdr:nvSpPr>
        <xdr:cNvPr id="2" name="EsriDoNotEdit">
          <a:extLst>
            <a:ext uri="{FF2B5EF4-FFF2-40B4-BE49-F238E27FC236}">
              <a16:creationId xmlns:a16="http://schemas.microsoft.com/office/drawing/2014/main" id="{C92DD11A-FE68-40E5-83FF-ACF50DA4654E}"/>
            </a:ext>
          </a:extLst>
        </xdr:cNvPr>
        <xdr:cNvSpPr/>
      </xdr:nvSpPr>
      <xdr:spPr>
        <a:xfrm>
          <a:off x="0" y="0"/>
          <a:ext cx="6390147" cy="1605568"/>
        </a:xfrm>
        <a:prstGeom prst="rect">
          <a:avLst/>
        </a:prstGeom>
        <a:noFill/>
      </xdr:spPr>
      <xdr:txBody>
        <a:bodyPr wrap="none" lIns="91440" tIns="45720" rIns="91440" bIns="45720">
          <a:spAutoFit/>
        </a:bodyPr>
        <a:lstStyle/>
        <a:p>
          <a:pPr algn="ctr">
            <a:lnSpc>
              <a:spcPts val="56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lnSpc>
              <a:spcPts val="58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ykim/AppData/Local/Microsoft/Windows/INetCache/Content.Outlook/S2WJXTRF/Summary%20Sheet%20for%20CE%20Update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Tab 1"/>
      <sheetName val="Assumptions"/>
      <sheetName val="Member Months"/>
      <sheetName val="Expenditures"/>
      <sheetName val="OOSFFCY"/>
      <sheetName val="LIPW"/>
      <sheetName val="CGM Dyadic"/>
      <sheetName val="All others"/>
      <sheetName val="ECM"/>
      <sheetName val="WCM"/>
      <sheetName val="MSSP"/>
      <sheetName val="Incentives"/>
      <sheetName val="Prop 56"/>
      <sheetName val="DP to use"/>
      <sheetName val="MOT"/>
      <sheetName val="Pharmacy"/>
      <sheetName val="Dual"/>
      <sheetName val="LTC"/>
      <sheetName val="Updated Sources&gt;"/>
      <sheetName val="Incentives (2)"/>
      <sheetName val="Admin Update"/>
      <sheetName val="WQIP"/>
      <sheetName val="COHS CRCS"/>
      <sheetName val="HHIP"/>
      <sheetName val="SBHI2"/>
      <sheetName val="MCO"/>
      <sheetName val="Non-CMC MCO"/>
      <sheetName val="CY22 - Add-On Details (Jan-Jun)"/>
      <sheetName val="CY22 - Add-On Details (Jul-Dec)"/>
      <sheetName val="BHI Summary"/>
      <sheetName val="CY 22 FINAL PEACH"/>
      <sheetName val="M22 RX PC"/>
      <sheetName val="M22 CY 2022 @2%UG"/>
      <sheetName val="2.17.22 CY 23 MOT"/>
      <sheetName val="CY22-24 ECM (Mainstream)"/>
      <sheetName val="CY 22-24 Budget Est&gt;&gt;"/>
      <sheetName val="Undocumented 50+"/>
      <sheetName val="GEMT (Private)"/>
      <sheetName val="Community Supports"/>
      <sheetName val="Dyadic Behavioral Health"/>
      <sheetName val="Community Health Worker"/>
      <sheetName val="Long Term Care Carve-In"/>
      <sheetName val="Mandatory Duals Carve-In"/>
      <sheetName val="GEMT (Public)"/>
      <sheetName val="Calcs"/>
      <sheetName val="DP Totals"/>
      <sheetName val="DP"/>
      <sheetName val="UIS Splits"/>
      <sheetName val="ESRI_MAPINFO_SHEET"/>
    </sheetNames>
    <sheetDataSet>
      <sheetData sheetId="0"/>
      <sheetData sheetId="1"/>
      <sheetData sheetId="2"/>
      <sheetData sheetId="3">
        <row r="2">
          <cell r="P2">
            <v>17155167263.120972</v>
          </cell>
          <cell r="AS2">
            <v>-3.2294699161792999E-2</v>
          </cell>
        </row>
        <row r="3">
          <cell r="P3">
            <v>3300358825.5450473</v>
          </cell>
          <cell r="AS3">
            <v>1.5876359155468426E-2</v>
          </cell>
        </row>
        <row r="4">
          <cell r="P4">
            <v>359452878.14710563</v>
          </cell>
          <cell r="AS4">
            <v>5.4144317451937356E-3</v>
          </cell>
        </row>
        <row r="5">
          <cell r="P5">
            <v>11665762529.114956</v>
          </cell>
          <cell r="AS5">
            <v>3.7395417931973388E-2</v>
          </cell>
        </row>
        <row r="6">
          <cell r="P6">
            <v>209129120.8072072</v>
          </cell>
          <cell r="AS6">
            <v>8.1730935664467028E-2</v>
          </cell>
        </row>
        <row r="7">
          <cell r="P7">
            <v>2185601728.4425297</v>
          </cell>
          <cell r="AS7">
            <v>7.2032297509230597E-2</v>
          </cell>
        </row>
        <row r="8">
          <cell r="P8">
            <v>10769907875.34133</v>
          </cell>
          <cell r="AS8">
            <v>-5.9991671247615265E-2</v>
          </cell>
        </row>
        <row r="9">
          <cell r="P9">
            <v>1210804913.7909296</v>
          </cell>
          <cell r="AS9">
            <v>7.3787477166260607E-2</v>
          </cell>
        </row>
        <row r="13">
          <cell r="AS13">
            <v>-1.5819702229285935E-2</v>
          </cell>
        </row>
        <row r="14">
          <cell r="AS14">
            <v>-1</v>
          </cell>
        </row>
        <row r="15">
          <cell r="AS15">
            <v>-1</v>
          </cell>
        </row>
        <row r="16">
          <cell r="AS16">
            <v>-7.3942900777819329E-2</v>
          </cell>
        </row>
        <row r="17">
          <cell r="AS17">
            <v>-6.9546720195645645E-2</v>
          </cell>
        </row>
        <row r="18">
          <cell r="AS18">
            <v>-0.10704540952683371</v>
          </cell>
        </row>
        <row r="19">
          <cell r="AS19">
            <v>3.2584762579292083E-2</v>
          </cell>
        </row>
        <row r="20">
          <cell r="AS20">
            <v>0.29367102952646468</v>
          </cell>
        </row>
        <row r="24">
          <cell r="AS24">
            <v>-1.2740174776524773E-2</v>
          </cell>
        </row>
        <row r="25">
          <cell r="AS25">
            <v>0</v>
          </cell>
        </row>
        <row r="26">
          <cell r="AS26">
            <v>0</v>
          </cell>
        </row>
        <row r="27">
          <cell r="AS27">
            <v>-1.2634462395751509E-2</v>
          </cell>
        </row>
        <row r="28">
          <cell r="AS28">
            <v>-1.1894753322697424E-2</v>
          </cell>
        </row>
        <row r="29">
          <cell r="AS29">
            <v>-1.258814511923091E-2</v>
          </cell>
        </row>
        <row r="30">
          <cell r="AS30">
            <v>-1.2476882116395157E-2</v>
          </cell>
        </row>
        <row r="31">
          <cell r="AS31">
            <v>-8.3173753397804244E-3</v>
          </cell>
        </row>
        <row r="35">
          <cell r="AS35">
            <v>-9.1163671314177172E-3</v>
          </cell>
        </row>
        <row r="36">
          <cell r="AS36">
            <v>0</v>
          </cell>
        </row>
        <row r="37">
          <cell r="AS37">
            <v>0</v>
          </cell>
        </row>
        <row r="38">
          <cell r="AS38">
            <v>-1.5829977055247028E-2</v>
          </cell>
        </row>
        <row r="39">
          <cell r="AS39">
            <v>-1.5142782855933892E-2</v>
          </cell>
        </row>
        <row r="40">
          <cell r="AS40">
            <v>-1.8995524701322201E-2</v>
          </cell>
        </row>
        <row r="41">
          <cell r="AS41">
            <v>-8.9255849097697668E-3</v>
          </cell>
        </row>
        <row r="42">
          <cell r="AS42">
            <v>-5.925042660920081E-3</v>
          </cell>
        </row>
        <row r="46">
          <cell r="AS46">
            <v>0</v>
          </cell>
        </row>
        <row r="47">
          <cell r="AS47">
            <v>0</v>
          </cell>
        </row>
        <row r="48">
          <cell r="AS48">
            <v>0</v>
          </cell>
        </row>
        <row r="49">
          <cell r="AS49">
            <v>0</v>
          </cell>
        </row>
        <row r="50">
          <cell r="AS50">
            <v>0</v>
          </cell>
        </row>
        <row r="51">
          <cell r="AS51">
            <v>0</v>
          </cell>
        </row>
        <row r="52">
          <cell r="AS52">
            <v>0</v>
          </cell>
        </row>
        <row r="53">
          <cell r="AS53">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56"/>
  <sheetViews>
    <sheetView showGridLines="0" tabSelected="1" zoomScale="90" zoomScaleNormal="90" workbookViewId="0">
      <selection activeCell="B8" sqref="B8:N19"/>
    </sheetView>
  </sheetViews>
  <sheetFormatPr defaultColWidth="0" defaultRowHeight="12.75" zeroHeight="1" x14ac:dyDescent="0.2"/>
  <cols>
    <col min="1" max="1" width="7.140625" style="4" bestFit="1" customWidth="1"/>
    <col min="2" max="2" width="41.85546875" style="7" customWidth="1"/>
    <col min="3" max="3" width="12.140625" style="7" customWidth="1"/>
    <col min="4" max="4" width="12" style="7" customWidth="1"/>
    <col min="5" max="5" width="10.5703125" style="7" customWidth="1"/>
    <col min="6" max="6" width="10.85546875" style="7" customWidth="1"/>
    <col min="7" max="7" width="10.5703125" style="7" customWidth="1"/>
    <col min="8" max="8" width="10.85546875" style="7" customWidth="1"/>
    <col min="9" max="9" width="15.42578125" style="7" bestFit="1" customWidth="1"/>
    <col min="10" max="10" width="13.42578125" style="7" bestFit="1" customWidth="1"/>
    <col min="11" max="11" width="10.85546875" style="7" customWidth="1"/>
    <col min="12" max="12" width="12.42578125" style="7" customWidth="1"/>
    <col min="13" max="13" width="10.5703125" style="7" bestFit="1" customWidth="1"/>
    <col min="14" max="14" width="11.140625" style="7" bestFit="1" customWidth="1"/>
    <col min="15" max="16" width="15.42578125" style="7" bestFit="1" customWidth="1"/>
    <col min="17" max="17" width="12.42578125" style="7" customWidth="1"/>
    <col min="18" max="18" width="9.140625" style="7" customWidth="1"/>
    <col min="19" max="19" width="20.85546875" style="7" bestFit="1" customWidth="1"/>
    <col min="20" max="20" width="10.5703125" style="7" customWidth="1"/>
    <col min="21" max="249" width="0" style="7" hidden="1"/>
    <col min="250" max="16384" width="9.140625" style="7" hidden="1"/>
  </cols>
  <sheetData>
    <row r="1" spans="1:249" s="2" customFormat="1" ht="11.25" x14ac:dyDescent="0.2">
      <c r="A1" s="205" t="s">
        <v>538</v>
      </c>
      <c r="B1" s="2" t="s">
        <v>1</v>
      </c>
      <c r="C1" s="2" t="s">
        <v>2</v>
      </c>
      <c r="D1" s="2" t="s">
        <v>3</v>
      </c>
      <c r="E1" s="2" t="s">
        <v>4</v>
      </c>
      <c r="F1" s="2" t="s">
        <v>5</v>
      </c>
      <c r="G1" s="2" t="s">
        <v>6</v>
      </c>
      <c r="H1" s="2" t="s">
        <v>7</v>
      </c>
      <c r="I1" s="2" t="s">
        <v>8</v>
      </c>
      <c r="J1" s="2" t="s">
        <v>9</v>
      </c>
      <c r="K1" s="2" t="s">
        <v>10</v>
      </c>
      <c r="L1" s="2" t="s">
        <v>11</v>
      </c>
      <c r="M1" s="2" t="s">
        <v>12</v>
      </c>
      <c r="N1" s="2" t="s">
        <v>13</v>
      </c>
      <c r="IO1" s="3"/>
    </row>
    <row r="2" spans="1:249" ht="17.25" customHeight="1" x14ac:dyDescent="0.2">
      <c r="B2" s="206" t="s">
        <v>236</v>
      </c>
      <c r="C2" s="6"/>
      <c r="D2" s="6"/>
      <c r="E2" s="6"/>
      <c r="F2" s="6"/>
      <c r="G2" s="6"/>
      <c r="H2" s="6"/>
      <c r="I2" s="6"/>
      <c r="J2" s="6"/>
      <c r="K2" s="6"/>
      <c r="L2" s="6"/>
      <c r="M2" s="6"/>
      <c r="N2" s="6"/>
      <c r="O2" s="6"/>
    </row>
    <row r="3" spans="1:249" ht="17.25" customHeight="1" x14ac:dyDescent="0.2">
      <c r="B3" s="206" t="s">
        <v>387</v>
      </c>
      <c r="C3" s="6"/>
      <c r="D3" s="6"/>
      <c r="E3" s="6"/>
      <c r="F3" s="6"/>
      <c r="G3" s="6"/>
      <c r="H3" s="6"/>
      <c r="I3" s="6"/>
      <c r="J3" s="6"/>
      <c r="K3" s="6"/>
      <c r="L3" s="6"/>
      <c r="M3" s="6"/>
      <c r="N3" s="6"/>
      <c r="O3" s="6"/>
    </row>
    <row r="4" spans="1:249" ht="17.25" customHeight="1" x14ac:dyDescent="0.2">
      <c r="B4" s="151"/>
      <c r="C4" s="6"/>
      <c r="D4" s="6"/>
      <c r="E4" s="163"/>
      <c r="F4" s="207" t="s">
        <v>382</v>
      </c>
      <c r="G4" s="208" t="s">
        <v>523</v>
      </c>
      <c r="H4" s="163"/>
      <c r="I4" s="6"/>
      <c r="J4" s="6"/>
      <c r="K4" s="6"/>
      <c r="L4" s="6"/>
      <c r="M4" s="6"/>
      <c r="N4" s="6"/>
      <c r="O4" s="164"/>
    </row>
    <row r="5" spans="1:249" ht="24" customHeight="1" x14ac:dyDescent="0.2">
      <c r="B5" s="209" t="s">
        <v>385</v>
      </c>
      <c r="C5" s="207" t="s">
        <v>392</v>
      </c>
      <c r="D5" s="210">
        <v>43282</v>
      </c>
      <c r="E5" s="209" t="s">
        <v>386</v>
      </c>
      <c r="F5" s="210">
        <v>43646</v>
      </c>
      <c r="G5" s="209" t="s">
        <v>390</v>
      </c>
      <c r="H5" s="210">
        <v>43282</v>
      </c>
      <c r="I5" s="209" t="s">
        <v>386</v>
      </c>
      <c r="J5" s="210">
        <v>43646</v>
      </c>
      <c r="K5" s="211" t="s">
        <v>391</v>
      </c>
      <c r="L5" s="212"/>
      <c r="M5" s="212"/>
      <c r="N5" s="213"/>
    </row>
    <row r="6" spans="1:249" s="8" customFormat="1" ht="18" customHeight="1" x14ac:dyDescent="0.2">
      <c r="A6" s="4"/>
      <c r="B6" s="214" t="s">
        <v>388</v>
      </c>
      <c r="C6" s="207" t="s">
        <v>383</v>
      </c>
      <c r="D6" s="210">
        <v>44562</v>
      </c>
      <c r="E6" s="209" t="s">
        <v>386</v>
      </c>
      <c r="F6" s="210">
        <v>44926</v>
      </c>
      <c r="G6" s="207" t="s">
        <v>384</v>
      </c>
      <c r="H6" s="210">
        <v>44927</v>
      </c>
      <c r="I6" s="209" t="s">
        <v>386</v>
      </c>
      <c r="J6" s="210">
        <v>45291</v>
      </c>
      <c r="K6" s="211" t="s">
        <v>389</v>
      </c>
      <c r="L6" s="209"/>
      <c r="M6" s="209"/>
      <c r="N6" s="209"/>
    </row>
    <row r="7" spans="1:249" s="8" customFormat="1" ht="18" customHeight="1" thickBot="1" x14ac:dyDescent="0.25">
      <c r="A7" s="4"/>
      <c r="B7" s="214" t="s">
        <v>388</v>
      </c>
      <c r="C7" s="207" t="s">
        <v>432</v>
      </c>
      <c r="D7" s="210">
        <v>45292</v>
      </c>
      <c r="E7" s="209" t="s">
        <v>386</v>
      </c>
      <c r="F7" s="210">
        <v>45657</v>
      </c>
      <c r="G7" s="207" t="s">
        <v>433</v>
      </c>
      <c r="H7" s="210">
        <v>45658</v>
      </c>
      <c r="I7" s="209" t="s">
        <v>386</v>
      </c>
      <c r="J7" s="210">
        <v>46022</v>
      </c>
      <c r="K7" s="207" t="s">
        <v>434</v>
      </c>
      <c r="L7" s="210">
        <v>46023</v>
      </c>
      <c r="M7" s="209" t="s">
        <v>386</v>
      </c>
      <c r="N7" s="210">
        <v>46387</v>
      </c>
      <c r="S7" s="242" t="s">
        <v>393</v>
      </c>
      <c r="T7" s="243"/>
    </row>
    <row r="8" spans="1:249" s="8" customFormat="1" ht="31.5" customHeight="1" x14ac:dyDescent="0.2">
      <c r="A8" s="4"/>
      <c r="B8" s="215" t="s">
        <v>14</v>
      </c>
      <c r="C8" s="216" t="s">
        <v>234</v>
      </c>
      <c r="D8" s="216" t="s">
        <v>235</v>
      </c>
      <c r="E8" s="216" t="s">
        <v>212</v>
      </c>
      <c r="F8" s="216" t="s">
        <v>213</v>
      </c>
      <c r="G8" s="216" t="s">
        <v>214</v>
      </c>
      <c r="H8" s="216" t="s">
        <v>215</v>
      </c>
      <c r="I8" s="217" t="s">
        <v>15</v>
      </c>
      <c r="J8" s="216" t="s">
        <v>216</v>
      </c>
      <c r="K8" s="216" t="s">
        <v>217</v>
      </c>
      <c r="L8" s="216" t="s">
        <v>218</v>
      </c>
      <c r="M8" s="216" t="s">
        <v>219</v>
      </c>
      <c r="N8" s="218" t="s">
        <v>16</v>
      </c>
      <c r="S8" s="244" t="s">
        <v>242</v>
      </c>
      <c r="T8" s="245">
        <f>J5-H5</f>
        <v>364</v>
      </c>
    </row>
    <row r="9" spans="1:249" s="8" customFormat="1" ht="25.5" customHeight="1" x14ac:dyDescent="0.2">
      <c r="A9" s="4"/>
      <c r="B9" s="219"/>
      <c r="C9" s="220">
        <f>F5</f>
        <v>43646</v>
      </c>
      <c r="D9" s="220">
        <f>J5</f>
        <v>43646</v>
      </c>
      <c r="E9" s="221">
        <v>44562</v>
      </c>
      <c r="F9" s="221">
        <v>44652</v>
      </c>
      <c r="G9" s="221">
        <f>F9+91</f>
        <v>44743</v>
      </c>
      <c r="H9" s="221">
        <f>G9+92</f>
        <v>44835</v>
      </c>
      <c r="I9" s="222" t="s">
        <v>18</v>
      </c>
      <c r="J9" s="221">
        <f>H6</f>
        <v>44927</v>
      </c>
      <c r="K9" s="221">
        <f>+J9+90</f>
        <v>45017</v>
      </c>
      <c r="L9" s="221">
        <f>K9+91</f>
        <v>45108</v>
      </c>
      <c r="M9" s="221">
        <f>L9+92</f>
        <v>45200</v>
      </c>
      <c r="N9" s="223" t="s">
        <v>19</v>
      </c>
      <c r="S9" s="244" t="s">
        <v>373</v>
      </c>
      <c r="T9" s="245">
        <f>J5-D6</f>
        <v>-916</v>
      </c>
    </row>
    <row r="10" spans="1:249" s="8" customFormat="1" ht="18" customHeight="1" x14ac:dyDescent="0.2">
      <c r="A10" s="4"/>
      <c r="B10" s="224" t="s">
        <v>519</v>
      </c>
      <c r="C10" s="225">
        <v>36779905</v>
      </c>
      <c r="D10" s="225">
        <f>C10</f>
        <v>36779905</v>
      </c>
      <c r="E10" s="225">
        <f>$C10/4</f>
        <v>9194976.25</v>
      </c>
      <c r="F10" s="225">
        <f>$C10/4</f>
        <v>9194976.25</v>
      </c>
      <c r="G10" s="225">
        <f>$C10/4</f>
        <v>9194976.25</v>
      </c>
      <c r="H10" s="225">
        <f>$C10/4</f>
        <v>9194976.25</v>
      </c>
      <c r="I10" s="226">
        <f>SUM(E10:H10)</f>
        <v>36779905</v>
      </c>
      <c r="J10" s="225">
        <f>H10</f>
        <v>9194976.25</v>
      </c>
      <c r="K10" s="225">
        <f>J10</f>
        <v>9194976.25</v>
      </c>
      <c r="L10" s="225">
        <f>K10</f>
        <v>9194976.25</v>
      </c>
      <c r="M10" s="225">
        <f>L10</f>
        <v>9194976.25</v>
      </c>
      <c r="N10" s="227">
        <f>SUM(J10:M10)</f>
        <v>36779905</v>
      </c>
      <c r="S10" s="244" t="s">
        <v>374</v>
      </c>
      <c r="T10" s="245">
        <f>F6-D6</f>
        <v>364</v>
      </c>
    </row>
    <row r="11" spans="1:249" s="8" customFormat="1" ht="18" customHeight="1" x14ac:dyDescent="0.2">
      <c r="A11" s="4"/>
      <c r="B11" s="224" t="s">
        <v>525</v>
      </c>
      <c r="C11" s="225">
        <v>6866224</v>
      </c>
      <c r="D11" s="225">
        <f t="shared" ref="D11:D17" si="0">C11</f>
        <v>6866224</v>
      </c>
      <c r="E11" s="225">
        <f t="shared" ref="E11:H17" si="1">$C11/4</f>
        <v>1716556</v>
      </c>
      <c r="F11" s="225">
        <f t="shared" si="1"/>
        <v>1716556</v>
      </c>
      <c r="G11" s="225">
        <f t="shared" si="1"/>
        <v>1716556</v>
      </c>
      <c r="H11" s="225">
        <f t="shared" si="1"/>
        <v>1716556</v>
      </c>
      <c r="I11" s="226">
        <f t="shared" ref="I11:I17" si="2">SUM(E11:H11)</f>
        <v>6866224</v>
      </c>
      <c r="J11" s="225">
        <v>0</v>
      </c>
      <c r="K11" s="225">
        <f t="shared" ref="K11:L17" si="3">J11</f>
        <v>0</v>
      </c>
      <c r="L11" s="225">
        <f t="shared" si="3"/>
        <v>0</v>
      </c>
      <c r="M11" s="225">
        <f t="shared" ref="M11:M17" si="4">L11</f>
        <v>0</v>
      </c>
      <c r="N11" s="227">
        <f t="shared" ref="N11:N17" si="5">SUM(J11:M11)</f>
        <v>0</v>
      </c>
      <c r="S11" s="244"/>
      <c r="T11" s="245"/>
    </row>
    <row r="12" spans="1:249" s="8" customFormat="1" ht="18" customHeight="1" x14ac:dyDescent="0.2">
      <c r="A12" s="4"/>
      <c r="B12" s="224" t="s">
        <v>520</v>
      </c>
      <c r="C12" s="225">
        <v>1316547</v>
      </c>
      <c r="D12" s="225">
        <f t="shared" si="0"/>
        <v>1316547</v>
      </c>
      <c r="E12" s="225">
        <f t="shared" si="1"/>
        <v>329136.75</v>
      </c>
      <c r="F12" s="225">
        <f t="shared" si="1"/>
        <v>329136.75</v>
      </c>
      <c r="G12" s="225">
        <f t="shared" si="1"/>
        <v>329136.75</v>
      </c>
      <c r="H12" s="225">
        <f t="shared" si="1"/>
        <v>329136.75</v>
      </c>
      <c r="I12" s="226">
        <f t="shared" si="2"/>
        <v>1316547</v>
      </c>
      <c r="J12" s="225">
        <v>0</v>
      </c>
      <c r="K12" s="225">
        <f t="shared" si="3"/>
        <v>0</v>
      </c>
      <c r="L12" s="225">
        <f t="shared" si="3"/>
        <v>0</v>
      </c>
      <c r="M12" s="225">
        <f t="shared" si="4"/>
        <v>0</v>
      </c>
      <c r="N12" s="227">
        <f t="shared" si="5"/>
        <v>0</v>
      </c>
      <c r="S12" s="244"/>
      <c r="T12" s="245"/>
    </row>
    <row r="13" spans="1:249" s="8" customFormat="1" ht="18" customHeight="1" x14ac:dyDescent="0.2">
      <c r="A13" s="4"/>
      <c r="B13" s="224" t="s">
        <v>518</v>
      </c>
      <c r="C13" s="225">
        <v>54139905</v>
      </c>
      <c r="D13" s="225">
        <f t="shared" si="0"/>
        <v>54139905</v>
      </c>
      <c r="E13" s="225">
        <f t="shared" si="1"/>
        <v>13534976.25</v>
      </c>
      <c r="F13" s="225">
        <f t="shared" si="1"/>
        <v>13534976.25</v>
      </c>
      <c r="G13" s="225">
        <f t="shared" si="1"/>
        <v>13534976.25</v>
      </c>
      <c r="H13" s="225">
        <f t="shared" si="1"/>
        <v>13534976.25</v>
      </c>
      <c r="I13" s="226">
        <f t="shared" si="2"/>
        <v>54139905</v>
      </c>
      <c r="J13" s="225">
        <f>H13</f>
        <v>13534976.25</v>
      </c>
      <c r="K13" s="225">
        <f t="shared" si="3"/>
        <v>13534976.25</v>
      </c>
      <c r="L13" s="225">
        <f t="shared" si="3"/>
        <v>13534976.25</v>
      </c>
      <c r="M13" s="225">
        <f t="shared" si="4"/>
        <v>13534976.25</v>
      </c>
      <c r="N13" s="227">
        <f t="shared" si="5"/>
        <v>54139905</v>
      </c>
      <c r="S13" s="244" t="s">
        <v>375</v>
      </c>
      <c r="T13" s="245">
        <f>J6-H6</f>
        <v>364</v>
      </c>
    </row>
    <row r="14" spans="1:249" s="8" customFormat="1" ht="18" customHeight="1" x14ac:dyDescent="0.2">
      <c r="A14" s="4"/>
      <c r="B14" s="224" t="s">
        <v>521</v>
      </c>
      <c r="C14" s="225">
        <v>994882</v>
      </c>
      <c r="D14" s="225">
        <f t="shared" si="0"/>
        <v>994882</v>
      </c>
      <c r="E14" s="225">
        <f t="shared" si="1"/>
        <v>248720.5</v>
      </c>
      <c r="F14" s="225">
        <f t="shared" si="1"/>
        <v>248720.5</v>
      </c>
      <c r="G14" s="225">
        <f t="shared" si="1"/>
        <v>248720.5</v>
      </c>
      <c r="H14" s="225">
        <f t="shared" si="1"/>
        <v>248720.5</v>
      </c>
      <c r="I14" s="226">
        <f t="shared" si="2"/>
        <v>994882</v>
      </c>
      <c r="J14" s="225">
        <f>$H14</f>
        <v>248720.5</v>
      </c>
      <c r="K14" s="225">
        <f t="shared" si="3"/>
        <v>248720.5</v>
      </c>
      <c r="L14" s="225">
        <f t="shared" si="3"/>
        <v>248720.5</v>
      </c>
      <c r="M14" s="225">
        <f t="shared" si="4"/>
        <v>248720.5</v>
      </c>
      <c r="N14" s="227">
        <f t="shared" si="5"/>
        <v>994882</v>
      </c>
      <c r="S14" s="244"/>
      <c r="T14" s="245"/>
    </row>
    <row r="15" spans="1:249" s="8" customFormat="1" ht="18" customHeight="1" x14ac:dyDescent="0.2">
      <c r="A15" s="4"/>
      <c r="B15" s="224" t="s">
        <v>516</v>
      </c>
      <c r="C15" s="225">
        <v>14869740</v>
      </c>
      <c r="D15" s="225">
        <f t="shared" si="0"/>
        <v>14869740</v>
      </c>
      <c r="E15" s="225">
        <f t="shared" si="1"/>
        <v>3717435</v>
      </c>
      <c r="F15" s="225">
        <f t="shared" si="1"/>
        <v>3717435</v>
      </c>
      <c r="G15" s="225">
        <f t="shared" si="1"/>
        <v>3717435</v>
      </c>
      <c r="H15" s="225">
        <f t="shared" si="1"/>
        <v>3717435</v>
      </c>
      <c r="I15" s="226">
        <f t="shared" si="2"/>
        <v>14869740</v>
      </c>
      <c r="J15" s="225">
        <f>$H15</f>
        <v>3717435</v>
      </c>
      <c r="K15" s="225">
        <f t="shared" si="3"/>
        <v>3717435</v>
      </c>
      <c r="L15" s="225">
        <f t="shared" si="3"/>
        <v>3717435</v>
      </c>
      <c r="M15" s="225">
        <f t="shared" si="4"/>
        <v>3717435</v>
      </c>
      <c r="N15" s="227">
        <f t="shared" si="5"/>
        <v>14869740</v>
      </c>
      <c r="S15" s="244" t="s">
        <v>435</v>
      </c>
      <c r="T15" s="245">
        <f>F7-D7</f>
        <v>365</v>
      </c>
    </row>
    <row r="16" spans="1:249" s="8" customFormat="1" ht="18" customHeight="1" x14ac:dyDescent="0.2">
      <c r="A16" s="4"/>
      <c r="B16" s="224" t="s">
        <v>517</v>
      </c>
      <c r="C16" s="225">
        <v>9108336</v>
      </c>
      <c r="D16" s="225">
        <f t="shared" si="0"/>
        <v>9108336</v>
      </c>
      <c r="E16" s="225">
        <f t="shared" si="1"/>
        <v>2277084</v>
      </c>
      <c r="F16" s="225">
        <f t="shared" si="1"/>
        <v>2277084</v>
      </c>
      <c r="G16" s="225">
        <f t="shared" si="1"/>
        <v>2277084</v>
      </c>
      <c r="H16" s="225">
        <f t="shared" si="1"/>
        <v>2277084</v>
      </c>
      <c r="I16" s="226">
        <f t="shared" si="2"/>
        <v>9108336</v>
      </c>
      <c r="J16" s="225">
        <f>($H16)+(205000/4)</f>
        <v>2328334</v>
      </c>
      <c r="K16" s="225">
        <f t="shared" si="3"/>
        <v>2328334</v>
      </c>
      <c r="L16" s="225">
        <f t="shared" si="3"/>
        <v>2328334</v>
      </c>
      <c r="M16" s="225">
        <f t="shared" si="4"/>
        <v>2328334</v>
      </c>
      <c r="N16" s="227">
        <f t="shared" si="5"/>
        <v>9313336</v>
      </c>
      <c r="S16" s="244"/>
      <c r="T16" s="245"/>
    </row>
    <row r="17" spans="1:20" s="8" customFormat="1" ht="18" customHeight="1" thickBot="1" x14ac:dyDescent="0.25">
      <c r="A17" s="4"/>
      <c r="B17" s="228" t="s">
        <v>522</v>
      </c>
      <c r="C17" s="229">
        <v>3415064</v>
      </c>
      <c r="D17" s="229">
        <f t="shared" si="0"/>
        <v>3415064</v>
      </c>
      <c r="E17" s="229">
        <f t="shared" si="1"/>
        <v>853766</v>
      </c>
      <c r="F17" s="229">
        <f t="shared" si="1"/>
        <v>853766</v>
      </c>
      <c r="G17" s="229">
        <f t="shared" si="1"/>
        <v>853766</v>
      </c>
      <c r="H17" s="229">
        <f t="shared" si="1"/>
        <v>853766</v>
      </c>
      <c r="I17" s="230">
        <f t="shared" si="2"/>
        <v>3415064</v>
      </c>
      <c r="J17" s="229">
        <f>(H17+H11+H12)+(3660000/4)</f>
        <v>3814458.75</v>
      </c>
      <c r="K17" s="229">
        <f t="shared" si="3"/>
        <v>3814458.75</v>
      </c>
      <c r="L17" s="229">
        <f t="shared" si="3"/>
        <v>3814458.75</v>
      </c>
      <c r="M17" s="229">
        <f t="shared" si="4"/>
        <v>3814458.75</v>
      </c>
      <c r="N17" s="231">
        <f t="shared" si="5"/>
        <v>15257835</v>
      </c>
      <c r="S17" s="244" t="s">
        <v>436</v>
      </c>
      <c r="T17" s="245">
        <f>J7-H7</f>
        <v>364</v>
      </c>
    </row>
    <row r="18" spans="1:20" s="8" customFormat="1" ht="18" customHeight="1" thickTop="1" x14ac:dyDescent="0.2">
      <c r="A18" s="4"/>
      <c r="B18" s="232" t="s">
        <v>21</v>
      </c>
      <c r="C18" s="233">
        <f>SUM(C10:C17)</f>
        <v>127490603</v>
      </c>
      <c r="D18" s="233">
        <f>SUM(D10:D17)</f>
        <v>127490603</v>
      </c>
      <c r="E18" s="233">
        <f t="shared" ref="E18:N18" si="6">SUM(E10:E17)</f>
        <v>31872650.75</v>
      </c>
      <c r="F18" s="233">
        <f t="shared" si="6"/>
        <v>31872650.75</v>
      </c>
      <c r="G18" s="233">
        <f t="shared" si="6"/>
        <v>31872650.75</v>
      </c>
      <c r="H18" s="233">
        <f t="shared" si="6"/>
        <v>31872650.75</v>
      </c>
      <c r="I18" s="233">
        <f t="shared" si="6"/>
        <v>127490603</v>
      </c>
      <c r="J18" s="233">
        <f t="shared" si="6"/>
        <v>32838900.75</v>
      </c>
      <c r="K18" s="233">
        <f t="shared" si="6"/>
        <v>32838900.75</v>
      </c>
      <c r="L18" s="233">
        <f t="shared" si="6"/>
        <v>32838900.75</v>
      </c>
      <c r="M18" s="233">
        <f t="shared" si="6"/>
        <v>32838900.75</v>
      </c>
      <c r="N18" s="234">
        <f t="shared" si="6"/>
        <v>131355603</v>
      </c>
      <c r="S18" s="244" t="s">
        <v>437</v>
      </c>
      <c r="T18" s="245">
        <f>N7-L7</f>
        <v>364</v>
      </c>
    </row>
    <row r="19" spans="1:20" s="108" customFormat="1" ht="18" customHeight="1" thickBot="1" x14ac:dyDescent="0.25">
      <c r="A19" s="4"/>
      <c r="B19" s="235" t="s">
        <v>22</v>
      </c>
      <c r="C19" s="236"/>
      <c r="D19" s="236"/>
      <c r="E19" s="236"/>
      <c r="F19" s="236">
        <f>F18/E18-1</f>
        <v>0</v>
      </c>
      <c r="G19" s="236">
        <f>G18/F18-1</f>
        <v>0</v>
      </c>
      <c r="H19" s="236">
        <f>H18/G18-1</f>
        <v>0</v>
      </c>
      <c r="I19" s="236"/>
      <c r="J19" s="236">
        <f>J18/H18-1</f>
        <v>3.0315959835879092E-2</v>
      </c>
      <c r="K19" s="236">
        <f>K18/J18-1</f>
        <v>0</v>
      </c>
      <c r="L19" s="236">
        <f>L18/K18-1</f>
        <v>0</v>
      </c>
      <c r="M19" s="236">
        <f>M18/L18-1</f>
        <v>0</v>
      </c>
      <c r="N19" s="237"/>
      <c r="S19" s="244" t="s">
        <v>397</v>
      </c>
      <c r="T19" s="246">
        <f>SUM(T8:T13)</f>
        <v>176</v>
      </c>
    </row>
    <row r="20" spans="1:20" s="8" customFormat="1" ht="18" customHeight="1" x14ac:dyDescent="0.2">
      <c r="A20" s="4"/>
      <c r="B20" s="201"/>
      <c r="C20" s="238" t="s">
        <v>524</v>
      </c>
      <c r="D20" s="170"/>
      <c r="E20" s="201"/>
      <c r="F20" s="201"/>
      <c r="G20" s="201"/>
      <c r="H20" s="201"/>
      <c r="I20" s="170"/>
      <c r="J20" s="170"/>
      <c r="K20" s="170"/>
      <c r="L20" s="170"/>
      <c r="M20" s="170"/>
      <c r="N20" s="170"/>
      <c r="S20" s="244" t="s">
        <v>394</v>
      </c>
      <c r="T20" s="244">
        <f>+T19-365</f>
        <v>-189</v>
      </c>
    </row>
    <row r="21" spans="1:20" ht="18" customHeight="1" x14ac:dyDescent="0.2">
      <c r="B21" s="10"/>
      <c r="K21" s="11"/>
      <c r="L21" s="11"/>
      <c r="M21" s="11"/>
      <c r="N21" s="11"/>
      <c r="S21" s="247" t="s">
        <v>396</v>
      </c>
      <c r="T21" s="226">
        <f>SUM(T8:T10)</f>
        <v>-188</v>
      </c>
    </row>
    <row r="22" spans="1:20" ht="18" customHeight="1" x14ac:dyDescent="0.2">
      <c r="B22" s="12"/>
      <c r="E22" s="109"/>
      <c r="F22" s="110"/>
      <c r="G22" s="110"/>
      <c r="H22" s="110"/>
      <c r="J22" s="222" t="s">
        <v>17</v>
      </c>
      <c r="K22" s="222" t="s">
        <v>17</v>
      </c>
      <c r="L22" s="11"/>
      <c r="M22" s="11"/>
      <c r="N22" s="11"/>
      <c r="S22" s="248" t="s">
        <v>395</v>
      </c>
      <c r="T22" s="226">
        <f>T21-365</f>
        <v>-553</v>
      </c>
    </row>
    <row r="23" spans="1:20" x14ac:dyDescent="0.2">
      <c r="E23" s="109"/>
      <c r="F23" s="110"/>
      <c r="G23" s="110"/>
      <c r="H23" s="110"/>
      <c r="J23" s="239" t="s">
        <v>400</v>
      </c>
      <c r="K23" s="239" t="s">
        <v>401</v>
      </c>
      <c r="S23" s="244" t="s">
        <v>438</v>
      </c>
      <c r="T23" s="246">
        <f>T8+T9+T10+T13+T15</f>
        <v>541</v>
      </c>
    </row>
    <row r="24" spans="1:20" ht="12.75" customHeight="1" x14ac:dyDescent="0.2">
      <c r="B24" s="114"/>
      <c r="C24" s="115"/>
      <c r="D24" s="115"/>
      <c r="E24" s="114"/>
      <c r="F24" s="114"/>
      <c r="G24" s="114"/>
      <c r="H24" s="113"/>
      <c r="I24" s="241" t="s">
        <v>519</v>
      </c>
      <c r="J24" s="226">
        <f>I10+N10</f>
        <v>73559810</v>
      </c>
      <c r="K24" s="226">
        <f>I10+N10+G40+L40+Q40</f>
        <v>183899525</v>
      </c>
      <c r="S24" s="244" t="s">
        <v>394</v>
      </c>
      <c r="T24" s="244">
        <f>+T23-365</f>
        <v>176</v>
      </c>
    </row>
    <row r="25" spans="1:20" ht="12.75" customHeight="1" x14ac:dyDescent="0.2">
      <c r="B25" s="153" t="s">
        <v>330</v>
      </c>
      <c r="C25" s="154"/>
      <c r="D25" s="18"/>
      <c r="E25" s="43"/>
      <c r="F25" s="43"/>
      <c r="G25" s="43"/>
      <c r="H25" s="113"/>
      <c r="I25" s="241" t="s">
        <v>525</v>
      </c>
      <c r="J25" s="226">
        <f t="shared" ref="J25:J31" si="7">I11+N11</f>
        <v>6866224</v>
      </c>
      <c r="K25" s="226">
        <f t="shared" ref="K25:K31" si="8">I11+N11+G41+L41+Q41</f>
        <v>6866224</v>
      </c>
      <c r="S25" s="244"/>
      <c r="T25" s="244"/>
    </row>
    <row r="26" spans="1:20" ht="12.75" customHeight="1" x14ac:dyDescent="0.2">
      <c r="B26" s="157" t="s">
        <v>331</v>
      </c>
      <c r="D26" s="66"/>
      <c r="E26" s="66"/>
      <c r="F26" s="66"/>
      <c r="G26" s="66"/>
      <c r="H26" s="113"/>
      <c r="I26" s="241" t="s">
        <v>520</v>
      </c>
      <c r="J26" s="226">
        <f t="shared" si="7"/>
        <v>1316547</v>
      </c>
      <c r="K26" s="226">
        <f t="shared" si="8"/>
        <v>1316547</v>
      </c>
      <c r="S26" s="244"/>
      <c r="T26" s="244"/>
    </row>
    <row r="27" spans="1:20" ht="12.75" customHeight="1" x14ac:dyDescent="0.2">
      <c r="B27" s="158" t="s">
        <v>429</v>
      </c>
      <c r="C27" s="167"/>
      <c r="D27" s="168"/>
      <c r="E27" s="168"/>
      <c r="F27" s="168"/>
      <c r="G27" s="168"/>
      <c r="H27" s="113"/>
      <c r="I27" s="241" t="s">
        <v>518</v>
      </c>
      <c r="J27" s="226">
        <f t="shared" si="7"/>
        <v>108279810</v>
      </c>
      <c r="K27" s="226">
        <f t="shared" si="8"/>
        <v>270699525</v>
      </c>
      <c r="S27" s="244"/>
      <c r="T27" s="244"/>
    </row>
    <row r="28" spans="1:20" ht="12.75" customHeight="1" x14ac:dyDescent="0.2">
      <c r="B28" s="158" t="s">
        <v>430</v>
      </c>
      <c r="C28" s="158"/>
      <c r="D28" s="158"/>
      <c r="E28" s="158"/>
      <c r="F28" s="158"/>
      <c r="G28" s="158"/>
      <c r="H28" s="113"/>
      <c r="I28" s="241" t="s">
        <v>521</v>
      </c>
      <c r="J28" s="226">
        <f t="shared" si="7"/>
        <v>1989764</v>
      </c>
      <c r="K28" s="226">
        <f t="shared" si="8"/>
        <v>4974410</v>
      </c>
      <c r="S28" s="247" t="s">
        <v>439</v>
      </c>
      <c r="T28" s="226">
        <f>SUM(T8:T17)</f>
        <v>905</v>
      </c>
    </row>
    <row r="29" spans="1:20" ht="12.75" customHeight="1" x14ac:dyDescent="0.2">
      <c r="B29" s="158" t="s">
        <v>399</v>
      </c>
      <c r="C29" s="158"/>
      <c r="D29" s="158"/>
      <c r="E29" s="158"/>
      <c r="F29" s="158"/>
      <c r="G29" s="158"/>
      <c r="H29" s="66"/>
      <c r="I29" s="241" t="s">
        <v>516</v>
      </c>
      <c r="J29" s="226">
        <f t="shared" si="7"/>
        <v>29739480</v>
      </c>
      <c r="K29" s="226">
        <f t="shared" si="8"/>
        <v>74348700</v>
      </c>
      <c r="S29" s="248" t="s">
        <v>395</v>
      </c>
      <c r="T29" s="226">
        <f>T28-365</f>
        <v>540</v>
      </c>
    </row>
    <row r="30" spans="1:20" ht="12.75" customHeight="1" x14ac:dyDescent="0.2">
      <c r="H30" s="66"/>
      <c r="I30" s="241" t="s">
        <v>517</v>
      </c>
      <c r="J30" s="226">
        <f t="shared" si="7"/>
        <v>18421672</v>
      </c>
      <c r="K30" s="226">
        <f t="shared" si="8"/>
        <v>46361680</v>
      </c>
      <c r="S30" s="249"/>
      <c r="T30" s="250"/>
    </row>
    <row r="31" spans="1:20" x14ac:dyDescent="0.2">
      <c r="H31" s="171"/>
      <c r="I31" s="241" t="s">
        <v>522</v>
      </c>
      <c r="J31" s="226">
        <f t="shared" si="7"/>
        <v>18672899</v>
      </c>
      <c r="K31" s="226">
        <f t="shared" si="8"/>
        <v>64446404</v>
      </c>
      <c r="O31" s="172"/>
      <c r="S31" s="251" t="s">
        <v>440</v>
      </c>
      <c r="T31" s="252">
        <f>SUM(T8:T18)</f>
        <v>1269</v>
      </c>
    </row>
    <row r="32" spans="1:20" x14ac:dyDescent="0.2">
      <c r="H32" s="171"/>
      <c r="J32" s="240">
        <f>SUM(J24:J31)</f>
        <v>258846206</v>
      </c>
      <c r="K32" s="240">
        <f>SUM(K24:K31)</f>
        <v>652913015</v>
      </c>
      <c r="L32" s="183"/>
      <c r="M32" s="183"/>
      <c r="O32" s="173"/>
      <c r="S32" s="248" t="s">
        <v>395</v>
      </c>
      <c r="T32" s="226">
        <f>T31-365</f>
        <v>904</v>
      </c>
    </row>
    <row r="33" spans="2:17" x14ac:dyDescent="0.2">
      <c r="H33" s="171"/>
      <c r="K33" s="11"/>
      <c r="O33" s="11"/>
    </row>
    <row r="34" spans="2:17" x14ac:dyDescent="0.2">
      <c r="B34" s="62"/>
      <c r="C34" s="66"/>
      <c r="D34" s="66"/>
      <c r="E34" s="66"/>
      <c r="F34" s="66"/>
      <c r="G34" s="66"/>
      <c r="H34" s="66"/>
      <c r="K34" s="111"/>
      <c r="L34" s="169"/>
      <c r="M34" s="11"/>
      <c r="N34" s="169"/>
      <c r="O34" s="11"/>
    </row>
    <row r="35" spans="2:17" x14ac:dyDescent="0.2">
      <c r="B35" s="62"/>
      <c r="C35" s="66"/>
      <c r="D35" s="66"/>
      <c r="E35" s="66"/>
      <c r="F35" s="66"/>
      <c r="G35" s="66"/>
      <c r="H35" s="66"/>
      <c r="K35" s="111"/>
      <c r="L35" s="170"/>
      <c r="N35" s="170"/>
    </row>
    <row r="36" spans="2:17" x14ac:dyDescent="0.2">
      <c r="B36" s="62"/>
      <c r="C36" s="66"/>
      <c r="D36" s="66"/>
      <c r="E36" s="66"/>
      <c r="F36" s="66"/>
      <c r="G36" s="66"/>
      <c r="H36"/>
    </row>
    <row r="37" spans="2:17" ht="13.5" thickBot="1" x14ac:dyDescent="0.25">
      <c r="B37" s="62"/>
      <c r="C37" s="66"/>
      <c r="D37" s="66"/>
      <c r="E37" s="66"/>
      <c r="F37" s="66"/>
      <c r="G37" s="66"/>
      <c r="H37"/>
      <c r="I37"/>
    </row>
    <row r="38" spans="2:17" ht="24" customHeight="1" x14ac:dyDescent="0.2">
      <c r="B38" s="215" t="s">
        <v>14</v>
      </c>
      <c r="C38" s="216" t="s">
        <v>402</v>
      </c>
      <c r="D38" s="216" t="s">
        <v>403</v>
      </c>
      <c r="E38" s="216" t="s">
        <v>404</v>
      </c>
      <c r="F38" s="216" t="s">
        <v>405</v>
      </c>
      <c r="G38" s="217" t="s">
        <v>406</v>
      </c>
      <c r="H38" s="216" t="s">
        <v>407</v>
      </c>
      <c r="I38" s="216" t="s">
        <v>408</v>
      </c>
      <c r="J38" s="216" t="s">
        <v>409</v>
      </c>
      <c r="K38" s="216" t="s">
        <v>410</v>
      </c>
      <c r="L38" s="217" t="s">
        <v>411</v>
      </c>
      <c r="M38" s="216" t="s">
        <v>414</v>
      </c>
      <c r="N38" s="216" t="s">
        <v>415</v>
      </c>
      <c r="O38" s="216" t="s">
        <v>416</v>
      </c>
      <c r="P38" s="216" t="s">
        <v>417</v>
      </c>
      <c r="Q38" s="218" t="s">
        <v>418</v>
      </c>
    </row>
    <row r="39" spans="2:17" ht="18" customHeight="1" x14ac:dyDescent="0.2">
      <c r="B39" s="219"/>
      <c r="C39" s="221">
        <f>D7</f>
        <v>45292</v>
      </c>
      <c r="D39" s="221">
        <f>C39+91</f>
        <v>45383</v>
      </c>
      <c r="E39" s="221">
        <f>D39+91</f>
        <v>45474</v>
      </c>
      <c r="F39" s="221">
        <f>E39+92</f>
        <v>45566</v>
      </c>
      <c r="G39" s="222" t="s">
        <v>412</v>
      </c>
      <c r="H39" s="221">
        <f>H7</f>
        <v>45658</v>
      </c>
      <c r="I39" s="221">
        <f>H39+90</f>
        <v>45748</v>
      </c>
      <c r="J39" s="221">
        <f>I39+91</f>
        <v>45839</v>
      </c>
      <c r="K39" s="221">
        <f>J39+92</f>
        <v>45931</v>
      </c>
      <c r="L39" s="222" t="s">
        <v>413</v>
      </c>
      <c r="M39" s="221">
        <f>L7</f>
        <v>46023</v>
      </c>
      <c r="N39" s="221">
        <f>+M39+90</f>
        <v>46113</v>
      </c>
      <c r="O39" s="221">
        <f>N39+91</f>
        <v>46204</v>
      </c>
      <c r="P39" s="221">
        <f>O39+92</f>
        <v>46296</v>
      </c>
      <c r="Q39" s="223" t="s">
        <v>419</v>
      </c>
    </row>
    <row r="40" spans="2:17" ht="18" customHeight="1" x14ac:dyDescent="0.2">
      <c r="B40" s="224" t="s">
        <v>519</v>
      </c>
      <c r="C40" s="225">
        <f>M10</f>
        <v>9194976.25</v>
      </c>
      <c r="D40" s="225">
        <f t="shared" ref="D40:F47" si="9">C40</f>
        <v>9194976.25</v>
      </c>
      <c r="E40" s="225">
        <f t="shared" si="9"/>
        <v>9194976.25</v>
      </c>
      <c r="F40" s="225">
        <f t="shared" si="9"/>
        <v>9194976.25</v>
      </c>
      <c r="G40" s="253">
        <f>SUM(C40:F40)</f>
        <v>36779905</v>
      </c>
      <c r="H40" s="225">
        <f>F40</f>
        <v>9194976.25</v>
      </c>
      <c r="I40" s="225">
        <f t="shared" ref="I40:K47" si="10">H40</f>
        <v>9194976.25</v>
      </c>
      <c r="J40" s="225">
        <f t="shared" si="10"/>
        <v>9194976.25</v>
      </c>
      <c r="K40" s="225">
        <f t="shared" si="10"/>
        <v>9194976.25</v>
      </c>
      <c r="L40" s="253">
        <f>SUM(H40:K40)</f>
        <v>36779905</v>
      </c>
      <c r="M40" s="225">
        <f>K40</f>
        <v>9194976.25</v>
      </c>
      <c r="N40" s="225">
        <f t="shared" ref="N40:P47" si="11">M40</f>
        <v>9194976.25</v>
      </c>
      <c r="O40" s="225">
        <f t="shared" si="11"/>
        <v>9194976.25</v>
      </c>
      <c r="P40" s="225">
        <f t="shared" si="11"/>
        <v>9194976.25</v>
      </c>
      <c r="Q40" s="254">
        <f>SUM(M40:P40)</f>
        <v>36779905</v>
      </c>
    </row>
    <row r="41" spans="2:17" ht="18" customHeight="1" x14ac:dyDescent="0.2">
      <c r="B41" s="224" t="s">
        <v>525</v>
      </c>
      <c r="C41" s="225">
        <f t="shared" ref="C41:C47" si="12">M11</f>
        <v>0</v>
      </c>
      <c r="D41" s="225">
        <f t="shared" si="9"/>
        <v>0</v>
      </c>
      <c r="E41" s="225">
        <f t="shared" si="9"/>
        <v>0</v>
      </c>
      <c r="F41" s="225">
        <f t="shared" si="9"/>
        <v>0</v>
      </c>
      <c r="G41" s="253">
        <f t="shared" ref="G41:G47" si="13">SUM(C41:F41)</f>
        <v>0</v>
      </c>
      <c r="H41" s="225">
        <f t="shared" ref="H41:H47" si="14">F41</f>
        <v>0</v>
      </c>
      <c r="I41" s="225">
        <f t="shared" si="10"/>
        <v>0</v>
      </c>
      <c r="J41" s="225">
        <f t="shared" si="10"/>
        <v>0</v>
      </c>
      <c r="K41" s="225">
        <f t="shared" si="10"/>
        <v>0</v>
      </c>
      <c r="L41" s="253">
        <f t="shared" ref="L41:L47" si="15">SUM(H41:K41)</f>
        <v>0</v>
      </c>
      <c r="M41" s="225">
        <f t="shared" ref="M41:M47" si="16">K41</f>
        <v>0</v>
      </c>
      <c r="N41" s="225">
        <f t="shared" si="11"/>
        <v>0</v>
      </c>
      <c r="O41" s="225">
        <f t="shared" si="11"/>
        <v>0</v>
      </c>
      <c r="P41" s="225">
        <f t="shared" si="11"/>
        <v>0</v>
      </c>
      <c r="Q41" s="254">
        <f t="shared" ref="Q41:Q47" si="17">SUM(M41:P41)</f>
        <v>0</v>
      </c>
    </row>
    <row r="42" spans="2:17" ht="18" customHeight="1" x14ac:dyDescent="0.2">
      <c r="B42" s="224" t="s">
        <v>520</v>
      </c>
      <c r="C42" s="225">
        <f t="shared" si="12"/>
        <v>0</v>
      </c>
      <c r="D42" s="225">
        <f t="shared" si="9"/>
        <v>0</v>
      </c>
      <c r="E42" s="225">
        <f t="shared" si="9"/>
        <v>0</v>
      </c>
      <c r="F42" s="225">
        <f t="shared" si="9"/>
        <v>0</v>
      </c>
      <c r="G42" s="253">
        <f t="shared" si="13"/>
        <v>0</v>
      </c>
      <c r="H42" s="225">
        <f t="shared" si="14"/>
        <v>0</v>
      </c>
      <c r="I42" s="225">
        <f t="shared" si="10"/>
        <v>0</v>
      </c>
      <c r="J42" s="225">
        <f t="shared" si="10"/>
        <v>0</v>
      </c>
      <c r="K42" s="225">
        <f t="shared" si="10"/>
        <v>0</v>
      </c>
      <c r="L42" s="253">
        <f t="shared" si="15"/>
        <v>0</v>
      </c>
      <c r="M42" s="225">
        <f t="shared" si="16"/>
        <v>0</v>
      </c>
      <c r="N42" s="225">
        <f t="shared" si="11"/>
        <v>0</v>
      </c>
      <c r="O42" s="225">
        <f t="shared" si="11"/>
        <v>0</v>
      </c>
      <c r="P42" s="225">
        <f t="shared" si="11"/>
        <v>0</v>
      </c>
      <c r="Q42" s="254">
        <f t="shared" si="17"/>
        <v>0</v>
      </c>
    </row>
    <row r="43" spans="2:17" ht="18" customHeight="1" x14ac:dyDescent="0.2">
      <c r="B43" s="224" t="s">
        <v>518</v>
      </c>
      <c r="C43" s="225">
        <f t="shared" si="12"/>
        <v>13534976.25</v>
      </c>
      <c r="D43" s="225">
        <f t="shared" si="9"/>
        <v>13534976.25</v>
      </c>
      <c r="E43" s="225">
        <f t="shared" si="9"/>
        <v>13534976.25</v>
      </c>
      <c r="F43" s="225">
        <f t="shared" si="9"/>
        <v>13534976.25</v>
      </c>
      <c r="G43" s="253">
        <f t="shared" si="13"/>
        <v>54139905</v>
      </c>
      <c r="H43" s="225">
        <f t="shared" si="14"/>
        <v>13534976.25</v>
      </c>
      <c r="I43" s="225">
        <f t="shared" si="10"/>
        <v>13534976.25</v>
      </c>
      <c r="J43" s="225">
        <f t="shared" si="10"/>
        <v>13534976.25</v>
      </c>
      <c r="K43" s="225">
        <f t="shared" si="10"/>
        <v>13534976.25</v>
      </c>
      <c r="L43" s="253">
        <f t="shared" si="15"/>
        <v>54139905</v>
      </c>
      <c r="M43" s="225">
        <f t="shared" si="16"/>
        <v>13534976.25</v>
      </c>
      <c r="N43" s="225">
        <f t="shared" si="11"/>
        <v>13534976.25</v>
      </c>
      <c r="O43" s="225">
        <f t="shared" si="11"/>
        <v>13534976.25</v>
      </c>
      <c r="P43" s="225">
        <f t="shared" si="11"/>
        <v>13534976.25</v>
      </c>
      <c r="Q43" s="254">
        <f t="shared" si="17"/>
        <v>54139905</v>
      </c>
    </row>
    <row r="44" spans="2:17" ht="18" customHeight="1" x14ac:dyDescent="0.2">
      <c r="B44" s="224" t="s">
        <v>521</v>
      </c>
      <c r="C44" s="225">
        <f t="shared" si="12"/>
        <v>248720.5</v>
      </c>
      <c r="D44" s="225">
        <f t="shared" si="9"/>
        <v>248720.5</v>
      </c>
      <c r="E44" s="225">
        <f t="shared" si="9"/>
        <v>248720.5</v>
      </c>
      <c r="F44" s="225">
        <f t="shared" si="9"/>
        <v>248720.5</v>
      </c>
      <c r="G44" s="253">
        <f t="shared" si="13"/>
        <v>994882</v>
      </c>
      <c r="H44" s="225">
        <f t="shared" si="14"/>
        <v>248720.5</v>
      </c>
      <c r="I44" s="225">
        <f t="shared" si="10"/>
        <v>248720.5</v>
      </c>
      <c r="J44" s="225">
        <f t="shared" si="10"/>
        <v>248720.5</v>
      </c>
      <c r="K44" s="225">
        <f t="shared" si="10"/>
        <v>248720.5</v>
      </c>
      <c r="L44" s="253">
        <f t="shared" si="15"/>
        <v>994882</v>
      </c>
      <c r="M44" s="225">
        <f t="shared" si="16"/>
        <v>248720.5</v>
      </c>
      <c r="N44" s="225">
        <f t="shared" si="11"/>
        <v>248720.5</v>
      </c>
      <c r="O44" s="225">
        <f t="shared" si="11"/>
        <v>248720.5</v>
      </c>
      <c r="P44" s="225">
        <f t="shared" si="11"/>
        <v>248720.5</v>
      </c>
      <c r="Q44" s="254">
        <f t="shared" si="17"/>
        <v>994882</v>
      </c>
    </row>
    <row r="45" spans="2:17" ht="18" customHeight="1" x14ac:dyDescent="0.2">
      <c r="B45" s="224" t="s">
        <v>516</v>
      </c>
      <c r="C45" s="225">
        <f t="shared" si="12"/>
        <v>3717435</v>
      </c>
      <c r="D45" s="225">
        <f t="shared" si="9"/>
        <v>3717435</v>
      </c>
      <c r="E45" s="225">
        <f t="shared" si="9"/>
        <v>3717435</v>
      </c>
      <c r="F45" s="225">
        <f t="shared" si="9"/>
        <v>3717435</v>
      </c>
      <c r="G45" s="253">
        <f t="shared" si="13"/>
        <v>14869740</v>
      </c>
      <c r="H45" s="225">
        <f t="shared" si="14"/>
        <v>3717435</v>
      </c>
      <c r="I45" s="225">
        <f t="shared" si="10"/>
        <v>3717435</v>
      </c>
      <c r="J45" s="225">
        <f t="shared" si="10"/>
        <v>3717435</v>
      </c>
      <c r="K45" s="225">
        <f t="shared" si="10"/>
        <v>3717435</v>
      </c>
      <c r="L45" s="253">
        <f t="shared" si="15"/>
        <v>14869740</v>
      </c>
      <c r="M45" s="225">
        <f t="shared" si="16"/>
        <v>3717435</v>
      </c>
      <c r="N45" s="225">
        <f t="shared" si="11"/>
        <v>3717435</v>
      </c>
      <c r="O45" s="225">
        <f t="shared" si="11"/>
        <v>3717435</v>
      </c>
      <c r="P45" s="225">
        <f t="shared" si="11"/>
        <v>3717435</v>
      </c>
      <c r="Q45" s="254">
        <f t="shared" si="17"/>
        <v>14869740</v>
      </c>
    </row>
    <row r="46" spans="2:17" ht="18" customHeight="1" x14ac:dyDescent="0.2">
      <c r="B46" s="224" t="s">
        <v>517</v>
      </c>
      <c r="C46" s="225">
        <f t="shared" si="12"/>
        <v>2328334</v>
      </c>
      <c r="D46" s="225">
        <f t="shared" si="9"/>
        <v>2328334</v>
      </c>
      <c r="E46" s="225">
        <f t="shared" si="9"/>
        <v>2328334</v>
      </c>
      <c r="F46" s="225">
        <f t="shared" si="9"/>
        <v>2328334</v>
      </c>
      <c r="G46" s="253">
        <f t="shared" si="13"/>
        <v>9313336</v>
      </c>
      <c r="H46" s="225">
        <f t="shared" si="14"/>
        <v>2328334</v>
      </c>
      <c r="I46" s="225">
        <f t="shared" si="10"/>
        <v>2328334</v>
      </c>
      <c r="J46" s="225">
        <f t="shared" si="10"/>
        <v>2328334</v>
      </c>
      <c r="K46" s="225">
        <f t="shared" si="10"/>
        <v>2328334</v>
      </c>
      <c r="L46" s="253">
        <f t="shared" si="15"/>
        <v>9313336</v>
      </c>
      <c r="M46" s="225">
        <f t="shared" si="16"/>
        <v>2328334</v>
      </c>
      <c r="N46" s="225">
        <f t="shared" si="11"/>
        <v>2328334</v>
      </c>
      <c r="O46" s="225">
        <f t="shared" si="11"/>
        <v>2328334</v>
      </c>
      <c r="P46" s="225">
        <f t="shared" si="11"/>
        <v>2328334</v>
      </c>
      <c r="Q46" s="254">
        <f t="shared" si="17"/>
        <v>9313336</v>
      </c>
    </row>
    <row r="47" spans="2:17" ht="18" customHeight="1" thickBot="1" x14ac:dyDescent="0.25">
      <c r="B47" s="228" t="s">
        <v>522</v>
      </c>
      <c r="C47" s="229">
        <f t="shared" si="12"/>
        <v>3814458.75</v>
      </c>
      <c r="D47" s="229">
        <f t="shared" si="9"/>
        <v>3814458.75</v>
      </c>
      <c r="E47" s="229">
        <f t="shared" si="9"/>
        <v>3814458.75</v>
      </c>
      <c r="F47" s="229">
        <f t="shared" si="9"/>
        <v>3814458.75</v>
      </c>
      <c r="G47" s="255">
        <f t="shared" si="13"/>
        <v>15257835</v>
      </c>
      <c r="H47" s="229">
        <f t="shared" si="14"/>
        <v>3814458.75</v>
      </c>
      <c r="I47" s="229">
        <f t="shared" si="10"/>
        <v>3814458.75</v>
      </c>
      <c r="J47" s="229">
        <f t="shared" si="10"/>
        <v>3814458.75</v>
      </c>
      <c r="K47" s="229">
        <f t="shared" si="10"/>
        <v>3814458.75</v>
      </c>
      <c r="L47" s="255">
        <f t="shared" si="15"/>
        <v>15257835</v>
      </c>
      <c r="M47" s="229">
        <f t="shared" si="16"/>
        <v>3814458.75</v>
      </c>
      <c r="N47" s="229">
        <f t="shared" si="11"/>
        <v>3814458.75</v>
      </c>
      <c r="O47" s="229">
        <f t="shared" si="11"/>
        <v>3814458.75</v>
      </c>
      <c r="P47" s="229">
        <f t="shared" si="11"/>
        <v>3814458.75</v>
      </c>
      <c r="Q47" s="256">
        <f t="shared" si="17"/>
        <v>15257835</v>
      </c>
    </row>
    <row r="48" spans="2:17" ht="18" customHeight="1" thickTop="1" x14ac:dyDescent="0.2">
      <c r="B48" s="232" t="s">
        <v>21</v>
      </c>
      <c r="C48" s="233">
        <f t="shared" ref="C48:L48" si="18">SUM(C40:C47)</f>
        <v>32838900.75</v>
      </c>
      <c r="D48" s="233">
        <f t="shared" si="18"/>
        <v>32838900.75</v>
      </c>
      <c r="E48" s="233">
        <f t="shared" si="18"/>
        <v>32838900.75</v>
      </c>
      <c r="F48" s="233">
        <f t="shared" si="18"/>
        <v>32838900.75</v>
      </c>
      <c r="G48" s="233">
        <f t="shared" si="18"/>
        <v>131355603</v>
      </c>
      <c r="H48" s="233">
        <f t="shared" si="18"/>
        <v>32838900.75</v>
      </c>
      <c r="I48" s="233">
        <f t="shared" si="18"/>
        <v>32838900.75</v>
      </c>
      <c r="J48" s="233">
        <f t="shared" si="18"/>
        <v>32838900.75</v>
      </c>
      <c r="K48" s="233">
        <f t="shared" si="18"/>
        <v>32838900.75</v>
      </c>
      <c r="L48" s="233">
        <f t="shared" si="18"/>
        <v>131355603</v>
      </c>
      <c r="M48" s="233">
        <f>SUM(M40:M47)</f>
        <v>32838900.75</v>
      </c>
      <c r="N48" s="233">
        <f>SUM(N40:N47)</f>
        <v>32838900.75</v>
      </c>
      <c r="O48" s="233">
        <f>SUM(O40:O47)</f>
        <v>32838900.75</v>
      </c>
      <c r="P48" s="233">
        <f>SUM(P40:P47)</f>
        <v>32838900.75</v>
      </c>
      <c r="Q48" s="234">
        <f>SUM(Q40:Q47)</f>
        <v>131355603</v>
      </c>
    </row>
    <row r="49" spans="2:17" ht="18" customHeight="1" thickBot="1" x14ac:dyDescent="0.25">
      <c r="B49" s="235" t="s">
        <v>22</v>
      </c>
      <c r="C49" s="236">
        <f>C48/M18-1</f>
        <v>0</v>
      </c>
      <c r="D49" s="236">
        <f>D48/C48-1</f>
        <v>0</v>
      </c>
      <c r="E49" s="236">
        <f>E48/D48-1</f>
        <v>0</v>
      </c>
      <c r="F49" s="236">
        <f>F48/E48-1</f>
        <v>0</v>
      </c>
      <c r="G49" s="236"/>
      <c r="H49" s="236">
        <f>H48/F48-1</f>
        <v>0</v>
      </c>
      <c r="I49" s="236">
        <f>I48/H48-1</f>
        <v>0</v>
      </c>
      <c r="J49" s="236">
        <f>J48/I48-1</f>
        <v>0</v>
      </c>
      <c r="K49" s="236">
        <f>K48/J48-1</f>
        <v>0</v>
      </c>
      <c r="L49" s="236"/>
      <c r="M49" s="236">
        <f>M48/K48-1</f>
        <v>0</v>
      </c>
      <c r="N49" s="236">
        <f>N48/M48-1</f>
        <v>0</v>
      </c>
      <c r="O49" s="236">
        <f>O48/N48-1</f>
        <v>0</v>
      </c>
      <c r="P49" s="236">
        <f>P48/O48-1</f>
        <v>0</v>
      </c>
      <c r="Q49" s="237"/>
    </row>
    <row r="50" spans="2:17" ht="18" customHeight="1" x14ac:dyDescent="0.2">
      <c r="B50" s="201"/>
      <c r="C50" s="201"/>
      <c r="D50" s="201"/>
      <c r="E50" s="201"/>
      <c r="F50" s="201"/>
      <c r="G50" s="170"/>
      <c r="H50" s="170"/>
      <c r="I50" s="170"/>
      <c r="J50" s="170"/>
      <c r="K50" s="170"/>
      <c r="L50" s="170"/>
      <c r="M50" s="170"/>
      <c r="N50" s="170"/>
      <c r="O50" s="170"/>
      <c r="P50" s="170"/>
      <c r="Q50" s="170"/>
    </row>
    <row r="51" spans="2:17" x14ac:dyDescent="0.2"/>
    <row r="52" spans="2:17" x14ac:dyDescent="0.2"/>
    <row r="53" spans="2:17" x14ac:dyDescent="0.2">
      <c r="C53" s="257" t="s">
        <v>421</v>
      </c>
      <c r="D53" s="257" t="s">
        <v>422</v>
      </c>
      <c r="E53" s="257" t="s">
        <v>423</v>
      </c>
      <c r="F53" s="257" t="s">
        <v>424</v>
      </c>
      <c r="G53" s="257" t="s">
        <v>425</v>
      </c>
      <c r="H53" s="257" t="s">
        <v>426</v>
      </c>
      <c r="I53" s="257" t="s">
        <v>427</v>
      </c>
      <c r="J53" s="257" t="s">
        <v>428</v>
      </c>
    </row>
    <row r="54" spans="2:17" x14ac:dyDescent="0.2">
      <c r="B54" s="257" t="s">
        <v>420</v>
      </c>
      <c r="C54" s="258">
        <f>D18/C18-1</f>
        <v>0</v>
      </c>
      <c r="D54" s="258">
        <f>(1+D55)^(1/3.5)-1</f>
        <v>0</v>
      </c>
      <c r="E54" s="259" t="s">
        <v>534</v>
      </c>
      <c r="F54" s="259" t="s">
        <v>534</v>
      </c>
      <c r="G54" s="259" t="s">
        <v>534</v>
      </c>
      <c r="H54" s="259" t="s">
        <v>534</v>
      </c>
      <c r="I54" s="258">
        <f>(1+I55)^(1/4.5)-1</f>
        <v>6.6588527466224789E-3</v>
      </c>
      <c r="J54" s="258">
        <f>(1+J55)^(1/7.5)-1</f>
        <v>3.9900072781402507E-3</v>
      </c>
    </row>
    <row r="55" spans="2:17" x14ac:dyDescent="0.2">
      <c r="B55" s="257" t="s">
        <v>514</v>
      </c>
      <c r="C55" s="259">
        <f>D18/C18-1</f>
        <v>0</v>
      </c>
      <c r="D55" s="259">
        <f>I18/D18-1</f>
        <v>0</v>
      </c>
      <c r="E55" s="259">
        <f>N18/I18-1</f>
        <v>3.0315959835879092E-2</v>
      </c>
      <c r="F55" s="259">
        <f>G48/N18-1</f>
        <v>0</v>
      </c>
      <c r="G55" s="259">
        <f>L48/G48-1</f>
        <v>0</v>
      </c>
      <c r="H55" s="259">
        <f>Q48/L48-1</f>
        <v>0</v>
      </c>
      <c r="I55" s="259">
        <f>N18/D18-1</f>
        <v>3.0315959835879092E-2</v>
      </c>
      <c r="J55" s="259">
        <f>Q48/D18-1</f>
        <v>3.0315959835879092E-2</v>
      </c>
    </row>
    <row r="56" spans="2:17" x14ac:dyDescent="0.2">
      <c r="C56" s="209" t="s">
        <v>515</v>
      </c>
    </row>
  </sheetData>
  <sheetProtection algorithmName="SHA-512" hashValue="p7NZrKyP6KN6ddfKT8ztW5cSXdwqwbZxna6G7vzu/6ev7dlmHevU8thooj86Dc/8vywXLo8IHDaPJ385blg8Qw==" saltValue="u1dobgRc+uvH9r1T7R0Kjw==" spinCount="100000" sheet="1" objects="1" scenarios="1" selectLockedCells="1"/>
  <phoneticPr fontId="0" type="noConversion"/>
  <printOptions horizontalCentered="1"/>
  <pageMargins left="0.25" right="0.25" top="1.5" bottom="1" header="1" footer="0.5"/>
  <pageSetup scale="55" orientation="landscape" horizontalDpi="300" r:id="rId1"/>
  <headerFooter alignWithMargins="0">
    <oddHeader>&amp;L&amp;"Arial,Bold"&amp;12State of &amp;C&amp;"Arial,Bold"&amp;12Appendix &amp;A&amp;R&amp;"Arial,Bold"&amp;12.</oddHeader>
    <oddFooter>&amp;L&amp;8'&amp;A'&amp;C&amp;8Page &amp;P of &amp;N&amp;R&amp;8&amp;F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72"/>
  <sheetViews>
    <sheetView showGridLines="0" zoomScale="110" zoomScaleNormal="110" workbookViewId="0"/>
  </sheetViews>
  <sheetFormatPr defaultColWidth="0" defaultRowHeight="12.75" zeroHeight="1" x14ac:dyDescent="0.2"/>
  <cols>
    <col min="1" max="1" width="9.140625" style="15" customWidth="1"/>
    <col min="2" max="2" width="39" style="18" customWidth="1"/>
    <col min="3" max="11" width="14.85546875" style="18" customWidth="1"/>
    <col min="12" max="12" width="9.5703125" style="18" hidden="1"/>
    <col min="13" max="80" width="0" style="18" hidden="1"/>
    <col min="81" max="16384" width="9.140625" style="18" hidden="1"/>
  </cols>
  <sheetData>
    <row r="1" spans="1:80" x14ac:dyDescent="0.2">
      <c r="A1" s="287" t="s">
        <v>539</v>
      </c>
    </row>
    <row r="2" spans="1:80" s="4" customFormat="1" ht="33.75" x14ac:dyDescent="0.2">
      <c r="A2" s="13" t="s">
        <v>0</v>
      </c>
      <c r="B2" s="4" t="s">
        <v>1</v>
      </c>
      <c r="C2" s="4" t="s">
        <v>2</v>
      </c>
      <c r="D2" s="4" t="s">
        <v>3</v>
      </c>
      <c r="E2" s="4" t="s">
        <v>4</v>
      </c>
      <c r="F2" s="4" t="s">
        <v>5</v>
      </c>
      <c r="G2" s="4" t="s">
        <v>6</v>
      </c>
      <c r="H2" s="199" t="s">
        <v>7</v>
      </c>
      <c r="I2" s="199" t="s">
        <v>8</v>
      </c>
      <c r="J2" s="199" t="s">
        <v>9</v>
      </c>
      <c r="K2" s="199" t="s">
        <v>10</v>
      </c>
      <c r="M2" s="14"/>
    </row>
    <row r="3" spans="1:80" x14ac:dyDescent="0.2">
      <c r="A3" s="15">
        <v>3</v>
      </c>
      <c r="B3" s="284" t="s">
        <v>204</v>
      </c>
      <c r="C3" s="16"/>
      <c r="D3" s="16"/>
      <c r="E3" s="16"/>
      <c r="F3" s="16"/>
      <c r="G3" s="16"/>
      <c r="H3" s="16"/>
      <c r="I3" s="16"/>
      <c r="J3" s="16"/>
      <c r="K3" s="16"/>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row>
    <row r="4" spans="1:80" x14ac:dyDescent="0.2">
      <c r="A4" s="15">
        <f>A3+1</f>
        <v>4</v>
      </c>
      <c r="B4" s="212"/>
      <c r="C4"/>
      <c r="D4"/>
      <c r="E4" s="212" t="s">
        <v>398</v>
      </c>
      <c r="F4" s="212" t="str">
        <f>'D1. Member Months'!G4</f>
        <v>California</v>
      </c>
      <c r="G4" s="16"/>
      <c r="H4" s="16"/>
      <c r="I4" s="16"/>
      <c r="J4" s="16"/>
      <c r="K4" s="16"/>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row>
    <row r="5" spans="1:80" x14ac:dyDescent="0.2">
      <c r="A5" s="15">
        <f t="shared" ref="A5:A42" si="0">A4+1</f>
        <v>5</v>
      </c>
      <c r="B5" s="284" t="s">
        <v>236</v>
      </c>
      <c r="C5" s="16"/>
      <c r="D5" s="16"/>
      <c r="E5" s="152"/>
      <c r="F5" s="152"/>
      <c r="G5" s="16"/>
      <c r="H5" s="16"/>
      <c r="I5" s="16"/>
      <c r="J5" s="16"/>
      <c r="K5" s="16"/>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row>
    <row r="6" spans="1:80" x14ac:dyDescent="0.2">
      <c r="A6" s="15">
        <f t="shared" si="0"/>
        <v>6</v>
      </c>
      <c r="B6" s="285" t="s">
        <v>190</v>
      </c>
      <c r="C6" s="16"/>
      <c r="D6" s="16"/>
      <c r="E6" s="16"/>
      <c r="F6" s="16"/>
      <c r="G6" s="16"/>
      <c r="H6" s="16"/>
      <c r="I6" s="16"/>
      <c r="J6" s="16"/>
      <c r="K6" s="16"/>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row>
    <row r="7" spans="1:80" x14ac:dyDescent="0.2">
      <c r="A7" s="15">
        <f t="shared" si="0"/>
        <v>7</v>
      </c>
      <c r="B7" s="286" t="s">
        <v>191</v>
      </c>
      <c r="C7" s="16"/>
      <c r="D7" s="16"/>
      <c r="E7" s="16"/>
      <c r="F7" s="16"/>
      <c r="G7" s="16"/>
      <c r="H7" s="16"/>
      <c r="I7" s="16"/>
      <c r="J7" s="16"/>
      <c r="K7" s="16"/>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row>
    <row r="8" spans="1:80" ht="18" customHeight="1" x14ac:dyDescent="0.2">
      <c r="A8" s="15">
        <f t="shared" si="0"/>
        <v>8</v>
      </c>
      <c r="B8" s="19"/>
      <c r="C8" s="20"/>
      <c r="D8" s="20"/>
      <c r="E8" s="20"/>
      <c r="F8" s="20"/>
      <c r="G8" s="20"/>
      <c r="H8" s="20"/>
      <c r="I8" s="20"/>
      <c r="J8" s="20"/>
      <c r="K8" s="20"/>
      <c r="L8" s="21"/>
      <c r="M8" s="21"/>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row>
    <row r="9" spans="1:80" x14ac:dyDescent="0.2">
      <c r="A9" s="15">
        <f t="shared" si="0"/>
        <v>9</v>
      </c>
      <c r="B9" s="260" t="s">
        <v>23</v>
      </c>
      <c r="C9" s="261"/>
      <c r="D9" s="261"/>
      <c r="E9" s="262"/>
      <c r="F9" s="262"/>
      <c r="G9" s="262"/>
      <c r="H9" s="263"/>
      <c r="I9" s="263"/>
      <c r="J9" s="262" t="s">
        <v>163</v>
      </c>
      <c r="K9" s="264" t="s">
        <v>163</v>
      </c>
      <c r="L9" s="22"/>
      <c r="M9" s="22"/>
    </row>
    <row r="10" spans="1:80" x14ac:dyDescent="0.2">
      <c r="A10" s="15">
        <f t="shared" si="0"/>
        <v>10</v>
      </c>
      <c r="B10" s="265" t="s">
        <v>25</v>
      </c>
      <c r="C10" s="266" t="s">
        <v>26</v>
      </c>
      <c r="D10" s="266" t="s">
        <v>27</v>
      </c>
      <c r="E10" s="266" t="s">
        <v>28</v>
      </c>
      <c r="F10" s="267" t="s">
        <v>29</v>
      </c>
      <c r="G10" s="266" t="s">
        <v>30</v>
      </c>
      <c r="H10" s="266" t="s">
        <v>31</v>
      </c>
      <c r="I10" s="266" t="s">
        <v>31</v>
      </c>
      <c r="J10" s="266" t="s">
        <v>328</v>
      </c>
      <c r="K10" s="266" t="s">
        <v>328</v>
      </c>
      <c r="L10" s="22"/>
      <c r="M10" s="22"/>
    </row>
    <row r="11" spans="1:80" x14ac:dyDescent="0.2">
      <c r="A11" s="15">
        <f t="shared" si="0"/>
        <v>11</v>
      </c>
      <c r="B11" s="268"/>
      <c r="C11" s="269" t="s">
        <v>32</v>
      </c>
      <c r="D11" s="269" t="s">
        <v>33</v>
      </c>
      <c r="E11" s="269" t="s">
        <v>34</v>
      </c>
      <c r="F11" s="270" t="s">
        <v>35</v>
      </c>
      <c r="G11" s="269" t="s">
        <v>36</v>
      </c>
      <c r="H11" s="269" t="s">
        <v>34</v>
      </c>
      <c r="I11" s="269" t="s">
        <v>36</v>
      </c>
      <c r="J11" s="269" t="s">
        <v>34</v>
      </c>
      <c r="K11" s="269" t="s">
        <v>36</v>
      </c>
      <c r="L11" s="23"/>
      <c r="M11" s="23"/>
    </row>
    <row r="12" spans="1:80" x14ac:dyDescent="0.2">
      <c r="A12" s="15">
        <f t="shared" si="0"/>
        <v>12</v>
      </c>
      <c r="B12" s="271"/>
      <c r="C12" s="272" t="s">
        <v>33</v>
      </c>
      <c r="D12" s="272"/>
      <c r="E12" s="272" t="s">
        <v>37</v>
      </c>
      <c r="F12" s="272" t="s">
        <v>38</v>
      </c>
      <c r="G12" s="272" t="s">
        <v>37</v>
      </c>
      <c r="H12" s="272" t="s">
        <v>37</v>
      </c>
      <c r="I12" s="272" t="s">
        <v>37</v>
      </c>
      <c r="J12" s="272" t="s">
        <v>37</v>
      </c>
      <c r="K12" s="272" t="s">
        <v>37</v>
      </c>
      <c r="L12" s="23"/>
      <c r="M12" s="23"/>
    </row>
    <row r="13" spans="1:80" x14ac:dyDescent="0.2">
      <c r="A13" s="15">
        <f t="shared" si="0"/>
        <v>13</v>
      </c>
      <c r="B13" s="273" t="s">
        <v>39</v>
      </c>
      <c r="C13" s="274" t="s">
        <v>40</v>
      </c>
      <c r="D13" s="274"/>
      <c r="E13" s="274" t="s">
        <v>40</v>
      </c>
      <c r="F13" s="274"/>
      <c r="G13" s="274"/>
      <c r="H13" s="275"/>
      <c r="I13" s="275"/>
      <c r="J13" s="275"/>
      <c r="K13" s="276"/>
      <c r="L13" s="15"/>
      <c r="M13" s="24"/>
    </row>
    <row r="14" spans="1:80" x14ac:dyDescent="0.2">
      <c r="A14" s="15">
        <f t="shared" si="0"/>
        <v>14</v>
      </c>
      <c r="B14" s="277" t="s">
        <v>41</v>
      </c>
      <c r="C14" s="278"/>
      <c r="D14" s="278"/>
      <c r="E14" s="278"/>
      <c r="F14" s="278"/>
      <c r="G14" s="278"/>
      <c r="H14" s="279"/>
      <c r="I14" s="279"/>
      <c r="J14" s="279"/>
      <c r="K14" s="280"/>
      <c r="L14" s="25"/>
      <c r="M14" s="24"/>
    </row>
    <row r="15" spans="1:80" x14ac:dyDescent="0.2">
      <c r="A15" s="15">
        <f t="shared" si="0"/>
        <v>15</v>
      </c>
      <c r="B15" s="277" t="s">
        <v>42</v>
      </c>
      <c r="C15" s="278"/>
      <c r="D15" s="278"/>
      <c r="E15" s="278"/>
      <c r="F15" s="278"/>
      <c r="G15" s="278"/>
      <c r="H15" s="279"/>
      <c r="I15" s="279"/>
      <c r="J15" s="279"/>
      <c r="K15" s="280"/>
      <c r="L15" s="15"/>
      <c r="M15" s="24"/>
    </row>
    <row r="16" spans="1:80" x14ac:dyDescent="0.2">
      <c r="A16" s="15">
        <f t="shared" si="0"/>
        <v>16</v>
      </c>
      <c r="B16" s="277" t="s">
        <v>43</v>
      </c>
      <c r="C16" s="278" t="s">
        <v>40</v>
      </c>
      <c r="D16" s="278"/>
      <c r="E16" s="278" t="s">
        <v>40</v>
      </c>
      <c r="F16" s="278"/>
      <c r="G16" s="278"/>
      <c r="H16" s="279"/>
      <c r="I16" s="279"/>
      <c r="J16" s="279"/>
      <c r="K16" s="280"/>
      <c r="L16" s="15"/>
      <c r="M16" s="24"/>
    </row>
    <row r="17" spans="1:13" x14ac:dyDescent="0.2">
      <c r="A17" s="15">
        <f t="shared" si="0"/>
        <v>17</v>
      </c>
      <c r="B17" s="277" t="s">
        <v>44</v>
      </c>
      <c r="C17" s="278"/>
      <c r="D17" s="278"/>
      <c r="E17" s="278"/>
      <c r="F17" s="278"/>
      <c r="G17" s="278"/>
      <c r="H17" s="279"/>
      <c r="I17" s="279"/>
      <c r="J17" s="279"/>
      <c r="K17" s="280"/>
      <c r="L17" s="15"/>
      <c r="M17" s="24"/>
    </row>
    <row r="18" spans="1:13" x14ac:dyDescent="0.2">
      <c r="A18" s="15">
        <f t="shared" si="0"/>
        <v>18</v>
      </c>
      <c r="B18" s="277" t="s">
        <v>45</v>
      </c>
      <c r="C18" s="278"/>
      <c r="D18" s="278"/>
      <c r="E18" s="278"/>
      <c r="F18" s="278"/>
      <c r="G18" s="278"/>
      <c r="H18" s="279"/>
      <c r="I18" s="279"/>
      <c r="J18" s="279"/>
      <c r="K18" s="280"/>
      <c r="L18" s="15"/>
      <c r="M18" s="22"/>
    </row>
    <row r="19" spans="1:13" x14ac:dyDescent="0.2">
      <c r="A19" s="15">
        <f t="shared" si="0"/>
        <v>19</v>
      </c>
      <c r="B19" s="277" t="s">
        <v>46</v>
      </c>
      <c r="C19" s="278" t="s">
        <v>40</v>
      </c>
      <c r="D19" s="278"/>
      <c r="E19" s="278" t="s">
        <v>40</v>
      </c>
      <c r="F19" s="278"/>
      <c r="G19" s="278"/>
      <c r="H19" s="279"/>
      <c r="I19" s="279"/>
      <c r="J19" s="279"/>
      <c r="K19" s="280"/>
      <c r="L19" s="15"/>
      <c r="M19" s="22"/>
    </row>
    <row r="20" spans="1:13" x14ac:dyDescent="0.2">
      <c r="A20" s="15">
        <f t="shared" si="0"/>
        <v>20</v>
      </c>
      <c r="B20" s="277" t="s">
        <v>47</v>
      </c>
      <c r="C20" s="278" t="s">
        <v>40</v>
      </c>
      <c r="D20" s="278"/>
      <c r="E20" s="278" t="s">
        <v>40</v>
      </c>
      <c r="F20" s="278"/>
      <c r="G20" s="278"/>
      <c r="H20" s="279"/>
      <c r="I20" s="279"/>
      <c r="J20" s="279"/>
      <c r="K20" s="280"/>
      <c r="L20" s="15"/>
      <c r="M20" s="22"/>
    </row>
    <row r="21" spans="1:13" x14ac:dyDescent="0.2">
      <c r="A21" s="15">
        <f t="shared" si="0"/>
        <v>21</v>
      </c>
      <c r="B21" s="277" t="s">
        <v>48</v>
      </c>
      <c r="C21" s="278" t="s">
        <v>40</v>
      </c>
      <c r="D21" s="278"/>
      <c r="E21" s="278" t="s">
        <v>40</v>
      </c>
      <c r="F21" s="278"/>
      <c r="G21" s="278"/>
      <c r="H21" s="279"/>
      <c r="I21" s="279"/>
      <c r="J21" s="279"/>
      <c r="K21" s="280"/>
      <c r="L21" s="15"/>
      <c r="M21" s="22"/>
    </row>
    <row r="22" spans="1:13" x14ac:dyDescent="0.2">
      <c r="A22" s="15">
        <f t="shared" si="0"/>
        <v>22</v>
      </c>
      <c r="B22" s="277" t="s">
        <v>49</v>
      </c>
      <c r="C22" s="278"/>
      <c r="D22" s="278"/>
      <c r="E22" s="278"/>
      <c r="F22" s="278"/>
      <c r="G22" s="278"/>
      <c r="H22" s="279"/>
      <c r="I22" s="279"/>
      <c r="J22" s="279"/>
      <c r="K22" s="280"/>
      <c r="L22" s="25"/>
      <c r="M22" s="22"/>
    </row>
    <row r="23" spans="1:13" x14ac:dyDescent="0.2">
      <c r="A23" s="15">
        <f t="shared" si="0"/>
        <v>23</v>
      </c>
      <c r="B23" s="277" t="s">
        <v>50</v>
      </c>
      <c r="C23" s="278" t="s">
        <v>40</v>
      </c>
      <c r="D23" s="278"/>
      <c r="E23" s="278" t="s">
        <v>536</v>
      </c>
      <c r="F23" s="278"/>
      <c r="G23" s="278"/>
      <c r="H23" s="279"/>
      <c r="I23" s="279"/>
      <c r="J23" s="279"/>
      <c r="K23" s="280"/>
      <c r="L23" s="15"/>
      <c r="M23" s="22"/>
    </row>
    <row r="24" spans="1:13" x14ac:dyDescent="0.2">
      <c r="A24" s="15">
        <f t="shared" si="0"/>
        <v>24</v>
      </c>
      <c r="B24" s="277" t="s">
        <v>51</v>
      </c>
      <c r="C24" s="278" t="s">
        <v>40</v>
      </c>
      <c r="D24" s="278"/>
      <c r="E24" s="278" t="s">
        <v>40</v>
      </c>
      <c r="F24" s="278"/>
      <c r="G24" s="278"/>
      <c r="H24" s="279"/>
      <c r="I24" s="279"/>
      <c r="J24" s="279" t="s">
        <v>40</v>
      </c>
      <c r="K24" s="280"/>
      <c r="L24" s="15"/>
      <c r="M24" s="22"/>
    </row>
    <row r="25" spans="1:13" x14ac:dyDescent="0.2">
      <c r="A25" s="15">
        <f t="shared" si="0"/>
        <v>25</v>
      </c>
      <c r="B25" s="277" t="s">
        <v>52</v>
      </c>
      <c r="C25" s="278" t="s">
        <v>40</v>
      </c>
      <c r="D25" s="278"/>
      <c r="E25" s="278" t="s">
        <v>40</v>
      </c>
      <c r="F25" s="278"/>
      <c r="G25" s="278"/>
      <c r="H25" s="279"/>
      <c r="I25" s="279"/>
      <c r="J25" s="279"/>
      <c r="K25" s="280"/>
      <c r="L25" s="15"/>
      <c r="M25" s="22"/>
    </row>
    <row r="26" spans="1:13" x14ac:dyDescent="0.2">
      <c r="A26" s="15">
        <f t="shared" si="0"/>
        <v>26</v>
      </c>
      <c r="B26" s="277" t="s">
        <v>53</v>
      </c>
      <c r="C26" s="278" t="s">
        <v>40</v>
      </c>
      <c r="D26" s="278"/>
      <c r="E26" s="278" t="s">
        <v>40</v>
      </c>
      <c r="F26" s="278"/>
      <c r="G26" s="278"/>
      <c r="H26" s="279"/>
      <c r="I26" s="279"/>
      <c r="J26" s="279"/>
      <c r="K26" s="280"/>
      <c r="L26" s="15"/>
      <c r="M26" s="23"/>
    </row>
    <row r="27" spans="1:13" x14ac:dyDescent="0.2">
      <c r="A27" s="15">
        <f t="shared" si="0"/>
        <v>27</v>
      </c>
      <c r="B27" s="277" t="s">
        <v>54</v>
      </c>
      <c r="C27" s="278" t="s">
        <v>40</v>
      </c>
      <c r="D27" s="278"/>
      <c r="E27" s="278" t="s">
        <v>40</v>
      </c>
      <c r="F27" s="278"/>
      <c r="G27" s="278"/>
      <c r="H27" s="279"/>
      <c r="I27" s="279"/>
      <c r="J27" s="279"/>
      <c r="K27" s="280"/>
      <c r="L27" s="15"/>
      <c r="M27" s="23"/>
    </row>
    <row r="28" spans="1:13" x14ac:dyDescent="0.2">
      <c r="A28" s="15">
        <f t="shared" si="0"/>
        <v>28</v>
      </c>
      <c r="B28" s="277" t="s">
        <v>55</v>
      </c>
      <c r="C28" s="278" t="s">
        <v>40</v>
      </c>
      <c r="D28" s="278"/>
      <c r="E28" s="278" t="s">
        <v>40</v>
      </c>
      <c r="F28" s="278"/>
      <c r="G28" s="278"/>
      <c r="H28" s="279"/>
      <c r="I28" s="279"/>
      <c r="J28" s="279"/>
      <c r="K28" s="280"/>
      <c r="L28" s="15"/>
      <c r="M28" s="22"/>
    </row>
    <row r="29" spans="1:13" x14ac:dyDescent="0.2">
      <c r="A29" s="15">
        <f t="shared" si="0"/>
        <v>29</v>
      </c>
      <c r="B29" s="277" t="s">
        <v>376</v>
      </c>
      <c r="C29" s="278"/>
      <c r="D29" s="278"/>
      <c r="E29" s="278"/>
      <c r="F29" s="278"/>
      <c r="G29" s="278"/>
      <c r="H29" s="279"/>
      <c r="I29" s="279"/>
      <c r="J29" s="279"/>
      <c r="K29" s="280"/>
      <c r="L29" s="15"/>
      <c r="M29" s="22"/>
    </row>
    <row r="30" spans="1:13" x14ac:dyDescent="0.2">
      <c r="A30" s="15">
        <f t="shared" si="0"/>
        <v>30</v>
      </c>
      <c r="B30" s="277" t="s">
        <v>56</v>
      </c>
      <c r="C30" s="278" t="s">
        <v>40</v>
      </c>
      <c r="D30" s="278"/>
      <c r="E30" s="278" t="s">
        <v>40</v>
      </c>
      <c r="F30" s="278"/>
      <c r="G30" s="278"/>
      <c r="H30" s="279"/>
      <c r="I30" s="279"/>
      <c r="J30" s="279"/>
      <c r="K30" s="280"/>
      <c r="L30" s="15"/>
      <c r="M30" s="22"/>
    </row>
    <row r="31" spans="1:13" x14ac:dyDescent="0.2">
      <c r="A31" s="15">
        <f t="shared" si="0"/>
        <v>31</v>
      </c>
      <c r="B31" s="277" t="s">
        <v>57</v>
      </c>
      <c r="C31" s="278" t="s">
        <v>40</v>
      </c>
      <c r="D31" s="278"/>
      <c r="E31" s="278" t="s">
        <v>40</v>
      </c>
      <c r="F31" s="278"/>
      <c r="G31" s="278"/>
      <c r="H31" s="279"/>
      <c r="I31" s="279"/>
      <c r="J31" s="279"/>
      <c r="K31" s="280"/>
      <c r="L31" s="25"/>
      <c r="M31" s="22"/>
    </row>
    <row r="32" spans="1:13" x14ac:dyDescent="0.2">
      <c r="A32" s="15">
        <f t="shared" si="0"/>
        <v>32</v>
      </c>
      <c r="B32" s="277" t="s">
        <v>58</v>
      </c>
      <c r="C32" s="278" t="s">
        <v>40</v>
      </c>
      <c r="D32" s="278"/>
      <c r="E32" s="278" t="s">
        <v>40</v>
      </c>
      <c r="F32" s="278"/>
      <c r="G32" s="278"/>
      <c r="H32" s="279"/>
      <c r="I32" s="279"/>
      <c r="J32" s="279"/>
      <c r="K32" s="280"/>
      <c r="L32" s="25"/>
      <c r="M32" s="22"/>
    </row>
    <row r="33" spans="1:13" x14ac:dyDescent="0.2">
      <c r="A33" s="15">
        <f t="shared" si="0"/>
        <v>33</v>
      </c>
      <c r="B33" s="277" t="s">
        <v>59</v>
      </c>
      <c r="C33" s="278" t="s">
        <v>40</v>
      </c>
      <c r="D33" s="278"/>
      <c r="E33" s="278" t="s">
        <v>40</v>
      </c>
      <c r="F33" s="278"/>
      <c r="G33" s="278"/>
      <c r="H33" s="279"/>
      <c r="I33" s="279"/>
      <c r="J33" s="279"/>
      <c r="K33" s="280"/>
      <c r="L33" s="25"/>
      <c r="M33" s="22"/>
    </row>
    <row r="34" spans="1:13" x14ac:dyDescent="0.2">
      <c r="A34" s="15">
        <f t="shared" si="0"/>
        <v>34</v>
      </c>
      <c r="B34" s="277" t="s">
        <v>60</v>
      </c>
      <c r="C34" s="278"/>
      <c r="D34" s="278"/>
      <c r="E34" s="278"/>
      <c r="F34" s="278"/>
      <c r="G34" s="278"/>
      <c r="H34" s="279"/>
      <c r="I34" s="279"/>
      <c r="J34" s="279"/>
      <c r="K34" s="280"/>
      <c r="L34" s="15"/>
      <c r="M34" s="22"/>
    </row>
    <row r="35" spans="1:13" x14ac:dyDescent="0.2">
      <c r="A35" s="15">
        <f t="shared" si="0"/>
        <v>35</v>
      </c>
      <c r="B35" s="277" t="s">
        <v>61</v>
      </c>
      <c r="C35" s="278"/>
      <c r="D35" s="278"/>
      <c r="E35" s="278"/>
      <c r="F35" s="278"/>
      <c r="G35" s="278"/>
      <c r="H35" s="279"/>
      <c r="I35" s="279"/>
      <c r="J35" s="279"/>
      <c r="K35" s="280"/>
      <c r="L35" s="15"/>
      <c r="M35" s="22"/>
    </row>
    <row r="36" spans="1:13" x14ac:dyDescent="0.2">
      <c r="A36" s="15">
        <f t="shared" si="0"/>
        <v>36</v>
      </c>
      <c r="B36" s="277" t="s">
        <v>62</v>
      </c>
      <c r="C36" s="278" t="s">
        <v>40</v>
      </c>
      <c r="D36" s="278"/>
      <c r="E36" s="278" t="s">
        <v>40</v>
      </c>
      <c r="F36" s="278"/>
      <c r="G36" s="278"/>
      <c r="H36" s="279"/>
      <c r="I36" s="279"/>
      <c r="J36" s="279"/>
      <c r="K36" s="280"/>
      <c r="L36" s="15"/>
      <c r="M36" s="22"/>
    </row>
    <row r="37" spans="1:13" x14ac:dyDescent="0.2">
      <c r="A37" s="15">
        <f t="shared" si="0"/>
        <v>37</v>
      </c>
      <c r="B37" s="277" t="s">
        <v>63</v>
      </c>
      <c r="C37" s="278" t="s">
        <v>40</v>
      </c>
      <c r="D37" s="278"/>
      <c r="E37" s="278" t="s">
        <v>40</v>
      </c>
      <c r="F37" s="278"/>
      <c r="G37" s="278"/>
      <c r="H37" s="279"/>
      <c r="I37" s="279"/>
      <c r="J37" s="279"/>
      <c r="K37" s="280"/>
      <c r="L37" s="15"/>
      <c r="M37" s="22"/>
    </row>
    <row r="38" spans="1:13" x14ac:dyDescent="0.2">
      <c r="A38" s="15">
        <f t="shared" si="0"/>
        <v>38</v>
      </c>
      <c r="B38" s="277" t="s">
        <v>64</v>
      </c>
      <c r="C38" s="278"/>
      <c r="D38" s="278"/>
      <c r="E38" s="278"/>
      <c r="F38" s="278"/>
      <c r="G38" s="278"/>
      <c r="H38" s="279"/>
      <c r="I38" s="279"/>
      <c r="J38" s="279"/>
      <c r="K38" s="280"/>
      <c r="L38" s="15"/>
      <c r="M38" s="24"/>
    </row>
    <row r="39" spans="1:13" x14ac:dyDescent="0.2">
      <c r="A39" s="15">
        <f t="shared" si="0"/>
        <v>39</v>
      </c>
      <c r="B39" s="277" t="s">
        <v>65</v>
      </c>
      <c r="C39" s="278"/>
      <c r="D39" s="278"/>
      <c r="E39" s="278"/>
      <c r="F39" s="278"/>
      <c r="G39" s="278"/>
      <c r="H39" s="279"/>
      <c r="I39" s="279"/>
      <c r="J39" s="279"/>
      <c r="K39" s="280"/>
      <c r="L39" s="15"/>
      <c r="M39" s="24"/>
    </row>
    <row r="40" spans="1:13" x14ac:dyDescent="0.2">
      <c r="A40" s="15">
        <f t="shared" si="0"/>
        <v>40</v>
      </c>
      <c r="B40" s="277" t="s">
        <v>66</v>
      </c>
      <c r="C40" s="278"/>
      <c r="D40" s="278"/>
      <c r="E40" s="278"/>
      <c r="F40" s="278"/>
      <c r="G40" s="278"/>
      <c r="H40" s="279"/>
      <c r="I40" s="279"/>
      <c r="J40" s="279"/>
      <c r="K40" s="280"/>
      <c r="L40" s="15"/>
      <c r="M40" s="22"/>
    </row>
    <row r="41" spans="1:13" x14ac:dyDescent="0.2">
      <c r="A41" s="15">
        <f t="shared" si="0"/>
        <v>41</v>
      </c>
      <c r="B41" s="277" t="s">
        <v>67</v>
      </c>
      <c r="C41" s="278" t="s">
        <v>40</v>
      </c>
      <c r="D41" s="278"/>
      <c r="E41" s="278" t="s">
        <v>40</v>
      </c>
      <c r="F41" s="278"/>
      <c r="G41" s="278"/>
      <c r="H41" s="279"/>
      <c r="I41" s="279"/>
      <c r="J41" s="279"/>
      <c r="K41" s="280"/>
      <c r="L41" s="15"/>
      <c r="M41" s="22"/>
    </row>
    <row r="42" spans="1:13" x14ac:dyDescent="0.2">
      <c r="A42" s="15">
        <f t="shared" si="0"/>
        <v>42</v>
      </c>
      <c r="B42" s="277" t="s">
        <v>220</v>
      </c>
      <c r="C42" s="278"/>
      <c r="D42" s="278"/>
      <c r="E42" s="278"/>
      <c r="F42" s="278"/>
      <c r="G42" s="278"/>
      <c r="H42" s="279"/>
      <c r="I42" s="279"/>
      <c r="J42" s="279"/>
      <c r="K42" s="280"/>
      <c r="L42" s="15"/>
      <c r="M42" s="24"/>
    </row>
    <row r="43" spans="1:13" ht="50.1" customHeight="1" x14ac:dyDescent="0.2">
      <c r="B43" s="281" t="s">
        <v>537</v>
      </c>
      <c r="C43" s="282"/>
      <c r="D43" s="282"/>
      <c r="E43" s="282"/>
      <c r="F43" s="282"/>
      <c r="G43" s="282"/>
      <c r="H43" s="282"/>
      <c r="I43" s="282"/>
      <c r="J43" s="282"/>
      <c r="K43" s="283"/>
      <c r="L43" s="15"/>
      <c r="M43" s="24"/>
    </row>
    <row r="44" spans="1:13" x14ac:dyDescent="0.2">
      <c r="B44" s="51"/>
      <c r="C44" s="51"/>
      <c r="D44" s="51"/>
      <c r="E44" s="51"/>
      <c r="F44" s="51"/>
      <c r="G44" s="51"/>
      <c r="H44" s="51"/>
      <c r="I44" s="51"/>
      <c r="J44" s="51"/>
      <c r="K44" s="51"/>
      <c r="L44" s="15"/>
      <c r="M44" s="24"/>
    </row>
    <row r="45" spans="1:13" x14ac:dyDescent="0.2">
      <c r="B45" s="153" t="s">
        <v>329</v>
      </c>
      <c r="C45" s="154"/>
      <c r="D45" s="15"/>
      <c r="E45" s="15"/>
      <c r="F45" s="15"/>
      <c r="G45" s="15"/>
      <c r="H45" s="15"/>
      <c r="I45" s="15"/>
      <c r="J45" s="15"/>
      <c r="K45" s="15"/>
      <c r="L45" s="15"/>
      <c r="M45" s="24"/>
    </row>
    <row r="46" spans="1:13" x14ac:dyDescent="0.2">
      <c r="B46" s="157" t="s">
        <v>331</v>
      </c>
      <c r="C46" s="24"/>
      <c r="D46" s="24"/>
      <c r="E46" s="24"/>
      <c r="F46" s="24"/>
      <c r="G46" s="24"/>
      <c r="H46" s="24"/>
      <c r="I46" s="24"/>
      <c r="J46" s="24"/>
      <c r="K46" s="24"/>
      <c r="M46" s="24"/>
    </row>
    <row r="47" spans="1:13" hidden="1" x14ac:dyDescent="0.2">
      <c r="B47" s="24"/>
      <c r="C47" s="24"/>
      <c r="D47" s="24"/>
      <c r="E47" s="24"/>
      <c r="F47" s="24"/>
      <c r="G47" s="24"/>
      <c r="H47" s="24"/>
      <c r="I47" s="24"/>
      <c r="J47" s="24"/>
      <c r="K47" s="24"/>
      <c r="L47" s="24"/>
      <c r="M47" s="24"/>
    </row>
    <row r="48" spans="1:13" hidden="1" x14ac:dyDescent="0.2">
      <c r="B48" s="24"/>
      <c r="C48" s="24"/>
      <c r="D48" s="24"/>
      <c r="E48" s="24"/>
      <c r="F48" s="24"/>
      <c r="G48" s="24"/>
      <c r="H48" s="24"/>
      <c r="I48" s="24"/>
      <c r="J48" s="24"/>
      <c r="K48" s="24"/>
      <c r="L48" s="24"/>
      <c r="M48" s="24"/>
    </row>
    <row r="49" spans="1:13" hidden="1" x14ac:dyDescent="0.2">
      <c r="B49" s="24"/>
      <c r="C49" s="24"/>
      <c r="D49" s="24"/>
      <c r="E49" s="24"/>
      <c r="F49" s="24"/>
      <c r="G49" s="24"/>
      <c r="H49" s="24"/>
      <c r="I49" s="24"/>
      <c r="J49" s="24"/>
      <c r="K49" s="24"/>
      <c r="L49" s="24"/>
      <c r="M49" s="24"/>
    </row>
    <row r="50" spans="1:13" hidden="1" x14ac:dyDescent="0.2">
      <c r="A50" s="26"/>
      <c r="B50" s="24"/>
    </row>
    <row r="51" spans="1:13" hidden="1" x14ac:dyDescent="0.2">
      <c r="A51" s="26"/>
      <c r="B51" s="24"/>
    </row>
    <row r="52" spans="1:13" hidden="1" x14ac:dyDescent="0.2">
      <c r="A52" s="26"/>
      <c r="B52" s="24"/>
    </row>
    <row r="53" spans="1:13" hidden="1" x14ac:dyDescent="0.2">
      <c r="A53" s="26"/>
    </row>
    <row r="54" spans="1:13" hidden="1" x14ac:dyDescent="0.2">
      <c r="A54" s="26"/>
    </row>
    <row r="55" spans="1:13" hidden="1" x14ac:dyDescent="0.2">
      <c r="A55" s="26"/>
    </row>
    <row r="56" spans="1:13" hidden="1" x14ac:dyDescent="0.2">
      <c r="A56" s="26"/>
    </row>
    <row r="57" spans="1:13" hidden="1" x14ac:dyDescent="0.2">
      <c r="A57" s="26"/>
    </row>
    <row r="58" spans="1:13" hidden="1" x14ac:dyDescent="0.2">
      <c r="A58" s="26"/>
    </row>
    <row r="59" spans="1:13" hidden="1" x14ac:dyDescent="0.2">
      <c r="A59" s="26"/>
    </row>
    <row r="60" spans="1:13" hidden="1" x14ac:dyDescent="0.2">
      <c r="A60" s="26"/>
    </row>
    <row r="61" spans="1:13" hidden="1" x14ac:dyDescent="0.2"/>
    <row r="62" spans="1:13" hidden="1" x14ac:dyDescent="0.2"/>
    <row r="63" spans="1:13" hidden="1" x14ac:dyDescent="0.2">
      <c r="A63" s="26"/>
    </row>
    <row r="64" spans="1:13" hidden="1" x14ac:dyDescent="0.2">
      <c r="A64" s="26"/>
    </row>
    <row r="65" spans="1:1" hidden="1" x14ac:dyDescent="0.2">
      <c r="A65" s="26"/>
    </row>
    <row r="66" spans="1:1" hidden="1" x14ac:dyDescent="0.2">
      <c r="A66" s="26"/>
    </row>
    <row r="67" spans="1:1" hidden="1" x14ac:dyDescent="0.2">
      <c r="A67" s="26"/>
    </row>
    <row r="68" spans="1:1" hidden="1" x14ac:dyDescent="0.2">
      <c r="A68" s="26"/>
    </row>
    <row r="69" spans="1:1" hidden="1" x14ac:dyDescent="0.2">
      <c r="A69" s="26"/>
    </row>
    <row r="70" spans="1:1" hidden="1" x14ac:dyDescent="0.2">
      <c r="A70" s="26"/>
    </row>
    <row r="71" spans="1:1" hidden="1" x14ac:dyDescent="0.2">
      <c r="A71" s="26"/>
    </row>
    <row r="72" spans="1:1" hidden="1" x14ac:dyDescent="0.2">
      <c r="A72" s="26"/>
    </row>
  </sheetData>
  <mergeCells count="2">
    <mergeCell ref="B10:B12"/>
    <mergeCell ref="B43:K43"/>
  </mergeCells>
  <phoneticPr fontId="0" type="noConversion"/>
  <printOptions horizontalCentered="1"/>
  <pageMargins left="0.25" right="0.25" top="1.5" bottom="1" header="1" footer="0.5"/>
  <pageSetup scale="75" orientation="landscape" horizontalDpi="30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0"/>
  <sheetViews>
    <sheetView zoomScale="70" zoomScaleNormal="70" workbookViewId="0">
      <selection activeCell="B8" sqref="B8:F36"/>
    </sheetView>
  </sheetViews>
  <sheetFormatPr defaultColWidth="0" defaultRowHeight="12.75" zeroHeight="1" x14ac:dyDescent="0.2"/>
  <cols>
    <col min="1" max="1" width="9.140625" customWidth="1"/>
    <col min="2" max="2" width="21" customWidth="1"/>
    <col min="3" max="3" width="64.85546875" customWidth="1"/>
    <col min="4" max="4" width="24.42578125" bestFit="1" customWidth="1"/>
    <col min="5" max="5" width="13.5703125" customWidth="1"/>
    <col min="6" max="6" width="19.5703125" customWidth="1"/>
    <col min="77" max="16384" width="9.140625" hidden="1"/>
  </cols>
  <sheetData>
    <row r="1" spans="1:76" x14ac:dyDescent="0.2">
      <c r="A1" s="288" t="s">
        <v>540</v>
      </c>
    </row>
    <row r="2" spans="1:76" s="4" customFormat="1" ht="33.75" x14ac:dyDescent="0.2">
      <c r="A2" s="13" t="s">
        <v>0</v>
      </c>
      <c r="B2" s="4" t="s">
        <v>1</v>
      </c>
      <c r="C2" s="4" t="s">
        <v>2</v>
      </c>
      <c r="D2" s="4" t="s">
        <v>3</v>
      </c>
      <c r="E2" s="4" t="s">
        <v>4</v>
      </c>
      <c r="F2" s="4" t="s">
        <v>5</v>
      </c>
      <c r="I2" s="14"/>
    </row>
    <row r="3" spans="1:76" s="18" customFormat="1" x14ac:dyDescent="0.2">
      <c r="A3" s="15">
        <v>3</v>
      </c>
      <c r="B3" s="284" t="s">
        <v>262</v>
      </c>
      <c r="C3" s="16"/>
      <c r="D3" s="16"/>
      <c r="E3" s="16"/>
      <c r="F3" s="16"/>
      <c r="G3" s="16"/>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row>
    <row r="4" spans="1:76" s="18" customFormat="1" x14ac:dyDescent="0.2">
      <c r="A4" s="15">
        <f>A3+1</f>
        <v>4</v>
      </c>
      <c r="B4"/>
      <c r="C4"/>
      <c r="D4" s="212" t="s">
        <v>398</v>
      </c>
      <c r="E4" s="212" t="str">
        <f>'D1. Member Months'!G4</f>
        <v>California</v>
      </c>
      <c r="F4" s="16"/>
      <c r="G4" s="16"/>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row>
    <row r="5" spans="1:76" s="18" customFormat="1" x14ac:dyDescent="0.2">
      <c r="A5" s="15">
        <f t="shared" ref="A5:A40" si="0">A4+1</f>
        <v>5</v>
      </c>
      <c r="B5" s="284" t="s">
        <v>236</v>
      </c>
      <c r="C5" s="152"/>
      <c r="D5" s="152"/>
      <c r="E5" s="152"/>
      <c r="F5" s="16"/>
      <c r="G5" s="16"/>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row>
    <row r="6" spans="1:76" s="18" customFormat="1" x14ac:dyDescent="0.2">
      <c r="A6" s="15">
        <f t="shared" si="0"/>
        <v>6</v>
      </c>
      <c r="B6" s="284" t="s">
        <v>263</v>
      </c>
      <c r="C6" s="16"/>
      <c r="D6" s="16"/>
      <c r="E6" s="16"/>
      <c r="F6" s="16"/>
      <c r="G6" s="16"/>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row>
    <row r="7" spans="1:76" s="18" customFormat="1" x14ac:dyDescent="0.2">
      <c r="A7" s="15">
        <f t="shared" si="0"/>
        <v>7</v>
      </c>
      <c r="B7" s="16"/>
      <c r="C7" s="125"/>
      <c r="D7" s="16"/>
      <c r="E7" s="16"/>
      <c r="F7" s="16"/>
      <c r="G7" s="16"/>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row>
    <row r="8" spans="1:76" s="18" customFormat="1" ht="18" customHeight="1" x14ac:dyDescent="0.2">
      <c r="A8" s="15">
        <f t="shared" si="0"/>
        <v>8</v>
      </c>
      <c r="B8" s="289" t="s">
        <v>264</v>
      </c>
      <c r="C8" s="290" t="s">
        <v>265</v>
      </c>
      <c r="D8" s="290" t="s">
        <v>266</v>
      </c>
      <c r="E8" s="290" t="s">
        <v>267</v>
      </c>
      <c r="F8" s="290" t="s">
        <v>333</v>
      </c>
      <c r="G8" s="21"/>
      <c r="H8" s="21"/>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row>
    <row r="9" spans="1:76" x14ac:dyDescent="0.2">
      <c r="A9" s="15">
        <f t="shared" si="0"/>
        <v>9</v>
      </c>
      <c r="B9" s="291">
        <v>1</v>
      </c>
      <c r="C9" s="292" t="s">
        <v>334</v>
      </c>
      <c r="D9" s="293"/>
      <c r="E9" s="294" t="s">
        <v>335</v>
      </c>
      <c r="F9" s="295">
        <v>0</v>
      </c>
    </row>
    <row r="10" spans="1:76" x14ac:dyDescent="0.2">
      <c r="A10" s="15">
        <f t="shared" si="0"/>
        <v>10</v>
      </c>
      <c r="B10" s="296">
        <v>2</v>
      </c>
      <c r="C10" s="297" t="s">
        <v>377</v>
      </c>
      <c r="D10" s="298"/>
      <c r="E10" s="299" t="s">
        <v>335</v>
      </c>
      <c r="F10" s="295">
        <v>0</v>
      </c>
    </row>
    <row r="11" spans="1:76" x14ac:dyDescent="0.2">
      <c r="A11" s="15">
        <f t="shared" si="0"/>
        <v>11</v>
      </c>
      <c r="B11" s="296" t="s">
        <v>336</v>
      </c>
      <c r="C11" s="297" t="s">
        <v>337</v>
      </c>
      <c r="D11" s="298"/>
      <c r="E11" s="299" t="s">
        <v>335</v>
      </c>
      <c r="F11" s="295">
        <v>0</v>
      </c>
    </row>
    <row r="12" spans="1:76" x14ac:dyDescent="0.2">
      <c r="A12" s="15">
        <f t="shared" si="0"/>
        <v>12</v>
      </c>
      <c r="B12" s="296" t="s">
        <v>338</v>
      </c>
      <c r="C12" s="297" t="s">
        <v>339</v>
      </c>
      <c r="D12" s="298"/>
      <c r="E12" s="299" t="s">
        <v>335</v>
      </c>
      <c r="F12" s="295">
        <v>0</v>
      </c>
    </row>
    <row r="13" spans="1:76" x14ac:dyDescent="0.2">
      <c r="A13" s="15">
        <f t="shared" si="0"/>
        <v>13</v>
      </c>
      <c r="B13" s="300" t="s">
        <v>340</v>
      </c>
      <c r="C13" s="301" t="s">
        <v>341</v>
      </c>
      <c r="D13" s="302"/>
      <c r="E13" s="299" t="s">
        <v>335</v>
      </c>
      <c r="F13" s="295">
        <v>0</v>
      </c>
    </row>
    <row r="14" spans="1:76" x14ac:dyDescent="0.2">
      <c r="A14" s="15">
        <f t="shared" si="0"/>
        <v>14</v>
      </c>
      <c r="B14" s="300">
        <v>3</v>
      </c>
      <c r="C14" s="301" t="s">
        <v>342</v>
      </c>
      <c r="D14" s="303"/>
      <c r="E14" s="299" t="s">
        <v>268</v>
      </c>
      <c r="F14" s="295">
        <v>0</v>
      </c>
    </row>
    <row r="15" spans="1:76" x14ac:dyDescent="0.2">
      <c r="A15" s="15">
        <f t="shared" si="0"/>
        <v>15</v>
      </c>
      <c r="B15" s="296">
        <v>4</v>
      </c>
      <c r="C15" s="297" t="s">
        <v>378</v>
      </c>
      <c r="D15" s="298"/>
      <c r="E15" s="299" t="s">
        <v>268</v>
      </c>
      <c r="F15" s="295">
        <v>0</v>
      </c>
    </row>
    <row r="16" spans="1:76" x14ac:dyDescent="0.2">
      <c r="A16" s="15">
        <f t="shared" si="0"/>
        <v>16</v>
      </c>
      <c r="B16" s="296" t="s">
        <v>336</v>
      </c>
      <c r="C16" s="297" t="s">
        <v>337</v>
      </c>
      <c r="D16" s="298"/>
      <c r="E16" s="299" t="s">
        <v>268</v>
      </c>
      <c r="F16" s="295">
        <v>2177735.16</v>
      </c>
    </row>
    <row r="17" spans="1:6" x14ac:dyDescent="0.2">
      <c r="A17" s="15">
        <f t="shared" si="0"/>
        <v>17</v>
      </c>
      <c r="B17" s="300" t="s">
        <v>343</v>
      </c>
      <c r="C17" s="301" t="s">
        <v>339</v>
      </c>
      <c r="D17" s="303" t="s">
        <v>528</v>
      </c>
      <c r="E17" s="299" t="s">
        <v>268</v>
      </c>
      <c r="F17" s="295">
        <v>6136225.0700000003</v>
      </c>
    </row>
    <row r="18" spans="1:6" x14ac:dyDescent="0.2">
      <c r="A18" s="15">
        <f t="shared" si="0"/>
        <v>18</v>
      </c>
      <c r="B18" s="296">
        <v>5</v>
      </c>
      <c r="C18" s="297" t="s">
        <v>344</v>
      </c>
      <c r="D18" s="298"/>
      <c r="E18" s="304" t="s">
        <v>269</v>
      </c>
      <c r="F18" s="295">
        <v>0</v>
      </c>
    </row>
    <row r="19" spans="1:6" x14ac:dyDescent="0.2">
      <c r="A19" s="15">
        <f t="shared" si="0"/>
        <v>19</v>
      </c>
      <c r="B19" s="296" t="s">
        <v>336</v>
      </c>
      <c r="C19" s="297" t="s">
        <v>345</v>
      </c>
      <c r="D19" s="298"/>
      <c r="E19" s="304" t="s">
        <v>269</v>
      </c>
      <c r="F19" s="295">
        <v>39472494.730000004</v>
      </c>
    </row>
    <row r="20" spans="1:6" x14ac:dyDescent="0.2">
      <c r="A20" s="15">
        <f t="shared" si="0"/>
        <v>20</v>
      </c>
      <c r="B20" s="300" t="s">
        <v>338</v>
      </c>
      <c r="C20" s="301" t="s">
        <v>339</v>
      </c>
      <c r="D20" s="303" t="s">
        <v>527</v>
      </c>
      <c r="E20" s="304" t="s">
        <v>269</v>
      </c>
      <c r="F20" s="295">
        <v>13021102.5</v>
      </c>
    </row>
    <row r="21" spans="1:6" x14ac:dyDescent="0.2">
      <c r="A21" s="15">
        <f t="shared" si="0"/>
        <v>21</v>
      </c>
      <c r="B21" s="300">
        <v>6</v>
      </c>
      <c r="C21" s="301" t="s">
        <v>346</v>
      </c>
      <c r="D21" s="303"/>
      <c r="E21" s="299" t="s">
        <v>268</v>
      </c>
      <c r="F21" s="295">
        <v>0</v>
      </c>
    </row>
    <row r="22" spans="1:6" x14ac:dyDescent="0.2">
      <c r="A22" s="15">
        <f t="shared" si="0"/>
        <v>22</v>
      </c>
      <c r="B22" s="296" t="s">
        <v>347</v>
      </c>
      <c r="C22" s="297" t="s">
        <v>348</v>
      </c>
      <c r="D22" s="298"/>
      <c r="E22" s="304" t="s">
        <v>269</v>
      </c>
      <c r="F22" s="295">
        <v>292680.8</v>
      </c>
    </row>
    <row r="23" spans="1:6" x14ac:dyDescent="0.2">
      <c r="A23" s="15">
        <f t="shared" si="0"/>
        <v>23</v>
      </c>
      <c r="B23" s="300" t="s">
        <v>343</v>
      </c>
      <c r="C23" s="301" t="s">
        <v>349</v>
      </c>
      <c r="D23" s="303"/>
      <c r="E23" s="304" t="s">
        <v>269</v>
      </c>
      <c r="F23" s="295">
        <v>601.20000000000005</v>
      </c>
    </row>
    <row r="24" spans="1:6" x14ac:dyDescent="0.2">
      <c r="A24" s="15">
        <f t="shared" si="0"/>
        <v>24</v>
      </c>
      <c r="B24" s="305">
        <v>8</v>
      </c>
      <c r="C24" s="305" t="s">
        <v>350</v>
      </c>
      <c r="D24" s="306"/>
      <c r="E24" s="307" t="s">
        <v>351</v>
      </c>
      <c r="F24" s="295">
        <v>0</v>
      </c>
    </row>
    <row r="25" spans="1:6" x14ac:dyDescent="0.2">
      <c r="A25" s="15">
        <f t="shared" si="0"/>
        <v>25</v>
      </c>
      <c r="B25" s="292">
        <v>9</v>
      </c>
      <c r="C25" s="292" t="s">
        <v>352</v>
      </c>
      <c r="D25" s="308"/>
      <c r="E25" s="309" t="s">
        <v>269</v>
      </c>
      <c r="F25" s="295">
        <v>0</v>
      </c>
    </row>
    <row r="26" spans="1:6" x14ac:dyDescent="0.2">
      <c r="A26" s="15">
        <f t="shared" si="0"/>
        <v>26</v>
      </c>
      <c r="B26" s="300">
        <v>10</v>
      </c>
      <c r="C26" s="301" t="s">
        <v>353</v>
      </c>
      <c r="D26" s="303"/>
      <c r="E26" s="299" t="s">
        <v>268</v>
      </c>
      <c r="F26" s="295">
        <v>0</v>
      </c>
    </row>
    <row r="27" spans="1:6" x14ac:dyDescent="0.2">
      <c r="A27" s="15">
        <f t="shared" si="0"/>
        <v>27</v>
      </c>
      <c r="B27" s="300">
        <v>11</v>
      </c>
      <c r="C27" s="301" t="s">
        <v>354</v>
      </c>
      <c r="D27" s="303"/>
      <c r="E27" s="299" t="s">
        <v>268</v>
      </c>
      <c r="F27" s="295">
        <v>0</v>
      </c>
    </row>
    <row r="28" spans="1:6" x14ac:dyDescent="0.2">
      <c r="A28" s="15">
        <f t="shared" si="0"/>
        <v>28</v>
      </c>
      <c r="B28" s="300">
        <v>12</v>
      </c>
      <c r="C28" s="301" t="s">
        <v>355</v>
      </c>
      <c r="D28" s="303"/>
      <c r="E28" s="299" t="s">
        <v>268</v>
      </c>
      <c r="F28" s="295">
        <v>0</v>
      </c>
    </row>
    <row r="29" spans="1:6" x14ac:dyDescent="0.2">
      <c r="A29" s="15">
        <f t="shared" si="0"/>
        <v>29</v>
      </c>
      <c r="B29" s="300">
        <v>13</v>
      </c>
      <c r="C29" s="301" t="s">
        <v>356</v>
      </c>
      <c r="D29" s="303"/>
      <c r="E29" s="299" t="s">
        <v>269</v>
      </c>
      <c r="F29" s="295">
        <v>0</v>
      </c>
    </row>
    <row r="30" spans="1:6" x14ac:dyDescent="0.2">
      <c r="A30" s="15">
        <f t="shared" si="0"/>
        <v>30</v>
      </c>
      <c r="B30" s="310" t="s">
        <v>357</v>
      </c>
      <c r="C30" s="301" t="s">
        <v>358</v>
      </c>
      <c r="D30" s="311"/>
      <c r="E30" s="299" t="s">
        <v>335</v>
      </c>
      <c r="F30" s="295">
        <v>0</v>
      </c>
    </row>
    <row r="31" spans="1:6" x14ac:dyDescent="0.2">
      <c r="A31" s="15">
        <f t="shared" si="0"/>
        <v>31</v>
      </c>
      <c r="B31" s="310" t="s">
        <v>359</v>
      </c>
      <c r="C31" s="301" t="s">
        <v>360</v>
      </c>
      <c r="D31" s="311"/>
      <c r="E31" s="299" t="s">
        <v>335</v>
      </c>
      <c r="F31" s="295">
        <v>0</v>
      </c>
    </row>
    <row r="32" spans="1:6" x14ac:dyDescent="0.2">
      <c r="A32" s="15">
        <f t="shared" si="0"/>
        <v>32</v>
      </c>
      <c r="B32" s="310" t="s">
        <v>361</v>
      </c>
      <c r="C32" s="312" t="s">
        <v>362</v>
      </c>
      <c r="D32" s="311"/>
      <c r="E32" s="299" t="s">
        <v>268</v>
      </c>
      <c r="F32" s="295">
        <v>0</v>
      </c>
    </row>
    <row r="33" spans="1:6" x14ac:dyDescent="0.2">
      <c r="A33" s="15">
        <f t="shared" si="0"/>
        <v>33</v>
      </c>
      <c r="B33" s="310" t="s">
        <v>363</v>
      </c>
      <c r="C33" s="312" t="s">
        <v>364</v>
      </c>
      <c r="D33" s="311" t="s">
        <v>526</v>
      </c>
      <c r="E33" s="299" t="s">
        <v>268</v>
      </c>
      <c r="F33" s="295">
        <v>4421646.57</v>
      </c>
    </row>
    <row r="34" spans="1:6" x14ac:dyDescent="0.2">
      <c r="A34" s="15">
        <f t="shared" si="0"/>
        <v>34</v>
      </c>
      <c r="B34" s="310" t="s">
        <v>365</v>
      </c>
      <c r="C34" s="312" t="s">
        <v>366</v>
      </c>
      <c r="D34" s="311" t="s">
        <v>535</v>
      </c>
      <c r="E34" s="299" t="s">
        <v>269</v>
      </c>
      <c r="F34" s="295">
        <v>76434379.570000008</v>
      </c>
    </row>
    <row r="35" spans="1:6" x14ac:dyDescent="0.2">
      <c r="A35" s="15">
        <f t="shared" si="0"/>
        <v>35</v>
      </c>
      <c r="B35" s="310" t="s">
        <v>367</v>
      </c>
      <c r="C35" s="312" t="s">
        <v>368</v>
      </c>
      <c r="D35" s="311"/>
      <c r="E35" s="299" t="s">
        <v>269</v>
      </c>
      <c r="F35" s="295">
        <v>0</v>
      </c>
    </row>
    <row r="36" spans="1:6" x14ac:dyDescent="0.2">
      <c r="A36" s="15">
        <f t="shared" si="0"/>
        <v>36</v>
      </c>
      <c r="B36" s="313">
        <v>20</v>
      </c>
      <c r="C36" s="314" t="s">
        <v>98</v>
      </c>
      <c r="D36" s="315"/>
      <c r="E36" s="316"/>
      <c r="F36" s="317">
        <f>SUM(F9:F35)</f>
        <v>141956865.60000002</v>
      </c>
    </row>
    <row r="37" spans="1:6" x14ac:dyDescent="0.2">
      <c r="A37" s="15">
        <f t="shared" si="0"/>
        <v>37</v>
      </c>
    </row>
    <row r="38" spans="1:6" x14ac:dyDescent="0.2">
      <c r="A38" s="15">
        <f t="shared" si="0"/>
        <v>38</v>
      </c>
      <c r="B38" s="160" t="s">
        <v>369</v>
      </c>
    </row>
    <row r="39" spans="1:6" x14ac:dyDescent="0.2">
      <c r="A39" s="15">
        <f t="shared" si="0"/>
        <v>39</v>
      </c>
      <c r="B39" s="153" t="s">
        <v>370</v>
      </c>
      <c r="C39" s="161"/>
      <c r="D39" s="161"/>
      <c r="E39" s="161"/>
      <c r="F39" s="161"/>
    </row>
    <row r="40" spans="1:6" x14ac:dyDescent="0.2">
      <c r="A40" s="15">
        <f t="shared" si="0"/>
        <v>40</v>
      </c>
      <c r="B40" s="157" t="s">
        <v>331</v>
      </c>
    </row>
  </sheetData>
  <phoneticPr fontId="0" type="noConversion"/>
  <pageMargins left="0.75" right="0.75" top="1" bottom="1" header="0.5" footer="0.5"/>
  <pageSetup scale="65" orientation="landscape" r:id="rId1"/>
  <headerFooter alignWithMargins="0">
    <oddHeader>&amp;L&amp;"Arial,Bold"State of &amp;C&amp;"Arial,Bold"Appendix D2.A Administration in Waiver Cost</oddHeader>
    <oddFooter>&amp;L&amp;A&amp;CPage &amp;P of &amp;N&amp;R&amp;F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M51"/>
  <sheetViews>
    <sheetView showGridLines="0" topLeftCell="A17" zoomScaleNormal="100" zoomScaleSheetLayoutView="70" workbookViewId="0">
      <selection activeCell="B25" sqref="B25:O40"/>
    </sheetView>
  </sheetViews>
  <sheetFormatPr defaultColWidth="0" defaultRowHeight="11.25" zeroHeight="1" x14ac:dyDescent="0.2"/>
  <cols>
    <col min="1" max="1" width="6.85546875" style="2" customWidth="1"/>
    <col min="2" max="2" width="43" style="3" bestFit="1" customWidth="1"/>
    <col min="3" max="3" width="11" style="3" customWidth="1"/>
    <col min="4" max="4" width="25.85546875" style="3" bestFit="1" customWidth="1"/>
    <col min="5" max="5" width="14.85546875" style="3" customWidth="1"/>
    <col min="6" max="6" width="15.140625" style="3" bestFit="1" customWidth="1"/>
    <col min="7" max="7" width="20.140625" style="3" bestFit="1" customWidth="1"/>
    <col min="8" max="8" width="14.85546875" style="3" customWidth="1"/>
    <col min="9" max="9" width="17.85546875" style="3" customWidth="1"/>
    <col min="10" max="10" width="16.140625" style="3" bestFit="1" customWidth="1"/>
    <col min="11" max="15" width="21.85546875" style="3" customWidth="1"/>
    <col min="16" max="16" width="1.5703125" style="3" hidden="1"/>
    <col min="17" max="17" width="10.140625" style="3" hidden="1"/>
    <col min="18" max="18" width="9.85546875" style="3" hidden="1"/>
    <col min="19" max="19" width="11.140625" style="3" hidden="1"/>
    <col min="20" max="20" width="10.140625" style="3" hidden="1"/>
    <col min="21" max="247" width="0" style="3" hidden="1"/>
    <col min="248" max="16384" width="9.140625" style="3" hidden="1"/>
  </cols>
  <sheetData>
    <row r="1" spans="1:247" x14ac:dyDescent="0.2">
      <c r="A1" s="205" t="s">
        <v>541</v>
      </c>
    </row>
    <row r="2" spans="1:247" s="2" customFormat="1" x14ac:dyDescent="0.2">
      <c r="A2" s="1"/>
      <c r="B2" s="2" t="s">
        <v>1</v>
      </c>
      <c r="C2" s="2" t="s">
        <v>2</v>
      </c>
      <c r="D2" s="2" t="s">
        <v>3</v>
      </c>
      <c r="E2" s="2" t="s">
        <v>4</v>
      </c>
      <c r="F2" s="2" t="s">
        <v>5</v>
      </c>
      <c r="G2" s="2" t="s">
        <v>6</v>
      </c>
      <c r="H2" s="2" t="s">
        <v>7</v>
      </c>
      <c r="I2" s="2" t="s">
        <v>8</v>
      </c>
      <c r="J2" s="2" t="s">
        <v>9</v>
      </c>
      <c r="K2" s="2" t="s">
        <v>10</v>
      </c>
      <c r="L2" s="2" t="s">
        <v>11</v>
      </c>
      <c r="M2" s="2" t="s">
        <v>12</v>
      </c>
      <c r="N2" s="2" t="s">
        <v>13</v>
      </c>
      <c r="O2" s="2" t="s">
        <v>68</v>
      </c>
      <c r="IM2" s="3"/>
    </row>
    <row r="3" spans="1:247" s="28" customFormat="1" ht="12.75" x14ac:dyDescent="0.2">
      <c r="A3" s="2"/>
      <c r="B3" s="206" t="s">
        <v>237</v>
      </c>
      <c r="C3" s="27"/>
      <c r="D3" s="27"/>
      <c r="E3" s="27"/>
      <c r="F3" s="27"/>
      <c r="G3" s="27"/>
      <c r="H3" s="27"/>
      <c r="I3" s="27"/>
      <c r="J3" s="27"/>
      <c r="K3" s="206" t="s">
        <v>237</v>
      </c>
      <c r="L3" s="27"/>
      <c r="M3" s="27"/>
      <c r="N3" s="27"/>
    </row>
    <row r="4" spans="1:247" customFormat="1" ht="12.75" x14ac:dyDescent="0.2">
      <c r="A4" s="4"/>
      <c r="E4" s="212" t="s">
        <v>398</v>
      </c>
      <c r="F4" s="212" t="str">
        <f>'D1. Member Months'!G4</f>
        <v>California</v>
      </c>
      <c r="L4" s="212" t="s">
        <v>398</v>
      </c>
      <c r="M4" s="212" t="str">
        <f>'D1. Member Months'!G4</f>
        <v>California</v>
      </c>
    </row>
    <row r="5" spans="1:247" ht="18" customHeight="1" x14ac:dyDescent="0.2">
      <c r="A5" s="4"/>
      <c r="B5" s="29"/>
      <c r="C5" s="30"/>
      <c r="D5" s="30"/>
      <c r="E5" s="30"/>
      <c r="G5" s="30"/>
    </row>
    <row r="6" spans="1:247" ht="18" customHeight="1" x14ac:dyDescent="0.2">
      <c r="A6" s="4"/>
      <c r="B6" s="31"/>
      <c r="C6" s="30"/>
      <c r="D6" s="30"/>
      <c r="E6" s="30"/>
      <c r="F6" s="32"/>
      <c r="G6" s="30"/>
      <c r="H6" s="32"/>
      <c r="K6" s="32"/>
    </row>
    <row r="7" spans="1:247" ht="18" customHeight="1" thickBot="1" x14ac:dyDescent="0.25">
      <c r="A7" s="4"/>
      <c r="B7" s="31"/>
      <c r="C7" s="30"/>
      <c r="D7" s="30"/>
      <c r="E7" s="30"/>
      <c r="F7" s="33"/>
      <c r="G7" s="30"/>
      <c r="H7" s="200"/>
      <c r="I7" s="200"/>
      <c r="J7" s="32"/>
      <c r="K7" s="33"/>
      <c r="L7" s="32"/>
      <c r="M7" s="32"/>
    </row>
    <row r="8" spans="1:247" ht="15" customHeight="1" x14ac:dyDescent="0.2">
      <c r="A8" s="4"/>
      <c r="B8" s="318"/>
      <c r="C8" s="319"/>
      <c r="D8" s="320" t="s">
        <v>249</v>
      </c>
      <c r="E8" s="321"/>
      <c r="F8" s="321"/>
      <c r="G8" s="321"/>
      <c r="H8" s="322"/>
      <c r="I8" s="321"/>
      <c r="J8" s="323"/>
      <c r="K8" s="324" t="s">
        <v>247</v>
      </c>
      <c r="L8" s="321"/>
      <c r="M8" s="321"/>
      <c r="N8" s="321"/>
      <c r="O8" s="323"/>
      <c r="Q8" s="34"/>
      <c r="R8" s="34"/>
      <c r="S8" s="34"/>
      <c r="T8" s="34"/>
    </row>
    <row r="9" spans="1:247" s="35" customFormat="1" x14ac:dyDescent="0.2">
      <c r="A9" s="4"/>
      <c r="B9" s="325"/>
      <c r="C9" s="326"/>
      <c r="D9" s="327" t="s">
        <v>69</v>
      </c>
      <c r="E9" s="328"/>
      <c r="F9" s="328"/>
      <c r="G9" s="328" t="s">
        <v>195</v>
      </c>
      <c r="H9" s="328" t="s">
        <v>70</v>
      </c>
      <c r="I9" s="328" t="s">
        <v>71</v>
      </c>
      <c r="J9" s="329"/>
      <c r="K9" s="327"/>
      <c r="L9" s="328"/>
      <c r="M9" s="328"/>
      <c r="N9" s="328"/>
      <c r="O9" s="329"/>
      <c r="Q9" s="36"/>
      <c r="R9" s="36"/>
      <c r="S9" s="37"/>
      <c r="T9" s="37"/>
    </row>
    <row r="10" spans="1:247" s="35" customFormat="1" x14ac:dyDescent="0.2">
      <c r="A10" s="4"/>
      <c r="B10" s="325" t="s">
        <v>72</v>
      </c>
      <c r="C10" s="326" t="s">
        <v>245</v>
      </c>
      <c r="D10" s="330" t="s">
        <v>192</v>
      </c>
      <c r="E10" s="331"/>
      <c r="F10" s="331"/>
      <c r="G10" s="331" t="s">
        <v>86</v>
      </c>
      <c r="H10" s="331" t="s">
        <v>73</v>
      </c>
      <c r="I10" s="331" t="s">
        <v>86</v>
      </c>
      <c r="J10" s="326"/>
      <c r="K10" s="332"/>
      <c r="L10" s="331"/>
      <c r="M10" s="331"/>
      <c r="N10" s="331"/>
      <c r="O10" s="326"/>
      <c r="Q10" s="36"/>
      <c r="R10" s="36"/>
      <c r="S10" s="37"/>
      <c r="T10" s="37"/>
    </row>
    <row r="11" spans="1:247" s="35" customFormat="1" ht="23.25" customHeight="1" x14ac:dyDescent="0.2">
      <c r="A11" s="4"/>
      <c r="B11" s="325" t="s">
        <v>74</v>
      </c>
      <c r="C11" s="326" t="s">
        <v>75</v>
      </c>
      <c r="D11" s="333" t="s">
        <v>193</v>
      </c>
      <c r="E11" s="331" t="s">
        <v>77</v>
      </c>
      <c r="F11" s="331" t="s">
        <v>78</v>
      </c>
      <c r="G11" s="331" t="s">
        <v>210</v>
      </c>
      <c r="H11" s="331" t="s">
        <v>79</v>
      </c>
      <c r="I11" s="331"/>
      <c r="J11" s="326" t="s">
        <v>80</v>
      </c>
      <c r="K11" s="332" t="s">
        <v>26</v>
      </c>
      <c r="L11" s="331" t="s">
        <v>81</v>
      </c>
      <c r="M11" s="331" t="s">
        <v>27</v>
      </c>
      <c r="N11" s="331" t="s">
        <v>82</v>
      </c>
      <c r="O11" s="326" t="s">
        <v>83</v>
      </c>
      <c r="Q11" s="36"/>
      <c r="R11" s="36"/>
      <c r="S11" s="37"/>
      <c r="T11" s="37"/>
    </row>
    <row r="12" spans="1:247" s="35" customFormat="1" ht="11.25" customHeight="1" x14ac:dyDescent="0.2">
      <c r="A12" s="4"/>
      <c r="B12" s="325"/>
      <c r="C12" s="326" t="s">
        <v>84</v>
      </c>
      <c r="D12" s="332" t="s">
        <v>76</v>
      </c>
      <c r="E12" s="331" t="s">
        <v>86</v>
      </c>
      <c r="F12" s="331" t="s">
        <v>87</v>
      </c>
      <c r="G12" s="331" t="s">
        <v>88</v>
      </c>
      <c r="H12" s="331" t="s">
        <v>89</v>
      </c>
      <c r="I12" s="331"/>
      <c r="J12" s="326" t="s">
        <v>91</v>
      </c>
      <c r="K12" s="332" t="s">
        <v>87</v>
      </c>
      <c r="L12" s="331" t="s">
        <v>86</v>
      </c>
      <c r="M12" s="331" t="s">
        <v>87</v>
      </c>
      <c r="N12" s="331" t="s">
        <v>86</v>
      </c>
      <c r="O12" s="326" t="s">
        <v>91</v>
      </c>
      <c r="Q12" s="36"/>
      <c r="R12" s="36"/>
      <c r="S12" s="37"/>
      <c r="T12" s="37"/>
    </row>
    <row r="13" spans="1:247" s="35" customFormat="1" x14ac:dyDescent="0.2">
      <c r="A13" s="4"/>
      <c r="B13" s="334"/>
      <c r="C13" s="335"/>
      <c r="D13" s="332" t="s">
        <v>85</v>
      </c>
      <c r="E13" s="336"/>
      <c r="F13" s="336" t="s">
        <v>20</v>
      </c>
      <c r="G13" s="336"/>
      <c r="H13" s="336"/>
      <c r="I13" s="336"/>
      <c r="J13" s="335" t="s">
        <v>92</v>
      </c>
      <c r="K13" s="337" t="s">
        <v>93</v>
      </c>
      <c r="L13" s="336" t="s">
        <v>94</v>
      </c>
      <c r="M13" s="336" t="s">
        <v>95</v>
      </c>
      <c r="N13" s="336" t="s">
        <v>96</v>
      </c>
      <c r="O13" s="335" t="s">
        <v>97</v>
      </c>
      <c r="Q13" s="36"/>
      <c r="R13" s="36"/>
      <c r="S13" s="37"/>
      <c r="T13" s="37"/>
    </row>
    <row r="14" spans="1:247" s="2" customFormat="1" ht="18" customHeight="1" x14ac:dyDescent="0.2">
      <c r="A14" s="4"/>
      <c r="B14" s="338" t="s">
        <v>519</v>
      </c>
      <c r="C14" s="339">
        <f>'D1. Member Months'!C10</f>
        <v>36779905</v>
      </c>
      <c r="D14" s="340">
        <f>[1]Expenditures!$P2</f>
        <v>17155167263.120972</v>
      </c>
      <c r="E14" s="341">
        <v>0</v>
      </c>
      <c r="F14" s="342">
        <f>SUM(D14:E14)</f>
        <v>17155167263.120972</v>
      </c>
      <c r="G14" s="341"/>
      <c r="H14" s="341">
        <v>0</v>
      </c>
      <c r="I14" s="341">
        <f>'D2.A Admin in Waiver Cost'!$F$36*(D14/$D$22)</f>
        <v>51973795.274535887</v>
      </c>
      <c r="J14" s="343">
        <f t="shared" ref="J14:J21" si="0">SUM(F14:I14)</f>
        <v>17207141058.395508</v>
      </c>
      <c r="K14" s="344">
        <f>IF($C14&gt;0,F14/$C14,0)</f>
        <v>466.42772087423748</v>
      </c>
      <c r="L14" s="344">
        <f>IF($C14&gt;0,G14/$C14,0)</f>
        <v>0</v>
      </c>
      <c r="M14" s="344">
        <f>IF($C14&gt;0,H14/$C14,0)</f>
        <v>0</v>
      </c>
      <c r="N14" s="344">
        <f>IF($C14&gt;0,I14/$C14,0)</f>
        <v>1.4131030320642723</v>
      </c>
      <c r="O14" s="345">
        <f>IF(C14&gt;0,J14/$C14,0)</f>
        <v>467.84082390630175</v>
      </c>
      <c r="Q14" s="39"/>
      <c r="R14" s="39"/>
      <c r="S14" s="34"/>
      <c r="T14" s="34"/>
    </row>
    <row r="15" spans="1:247" s="2" customFormat="1" ht="18" customHeight="1" x14ac:dyDescent="0.2">
      <c r="A15" s="4"/>
      <c r="B15" s="338" t="s">
        <v>525</v>
      </c>
      <c r="C15" s="339">
        <f>'D1. Member Months'!C11</f>
        <v>6866224</v>
      </c>
      <c r="D15" s="340">
        <f>[1]Expenditures!$P3</f>
        <v>3300358825.5450473</v>
      </c>
      <c r="E15" s="341">
        <v>0</v>
      </c>
      <c r="F15" s="342">
        <f t="shared" ref="F15:F21" si="1">SUM(D15:E15)</f>
        <v>3300358825.5450473</v>
      </c>
      <c r="G15" s="341"/>
      <c r="H15" s="341">
        <v>0</v>
      </c>
      <c r="I15" s="341">
        <f>'D2.A Admin in Waiver Cost'!$F$36*(D15/$D$22)</f>
        <v>9998863.3920308277</v>
      </c>
      <c r="J15" s="343">
        <f t="shared" si="0"/>
        <v>3310357688.937078</v>
      </c>
      <c r="K15" s="344">
        <f t="shared" ref="K15:K21" si="2">IF($C15&gt;0,F15/$C15,0)</f>
        <v>480.66576702785216</v>
      </c>
      <c r="L15" s="344">
        <f t="shared" ref="L15:L21" si="3">IF($C15&gt;0,G15/$C15,0)</f>
        <v>0</v>
      </c>
      <c r="M15" s="344">
        <f t="shared" ref="M15:M21" si="4">IF($C15&gt;0,H15/$C15,0)</f>
        <v>0</v>
      </c>
      <c r="N15" s="344">
        <f t="shared" ref="N15:N21" si="5">IF($C15&gt;0,I15/$C15,0)</f>
        <v>1.4562390321129675</v>
      </c>
      <c r="O15" s="345">
        <f t="shared" ref="O15:O21" si="6">IF(C15&gt;0,J15/$C15,0)</f>
        <v>482.12200605996514</v>
      </c>
      <c r="Q15" s="39"/>
      <c r="R15" s="39"/>
      <c r="S15" s="34"/>
      <c r="T15" s="34"/>
    </row>
    <row r="16" spans="1:247" s="2" customFormat="1" ht="18" customHeight="1" x14ac:dyDescent="0.2">
      <c r="A16" s="4"/>
      <c r="B16" s="338" t="s">
        <v>520</v>
      </c>
      <c r="C16" s="339">
        <f>'D1. Member Months'!C12</f>
        <v>1316547</v>
      </c>
      <c r="D16" s="340">
        <f>[1]Expenditures!$P4</f>
        <v>359452878.14710563</v>
      </c>
      <c r="E16" s="341">
        <v>0</v>
      </c>
      <c r="F16" s="342">
        <f t="shared" si="1"/>
        <v>359452878.14710563</v>
      </c>
      <c r="G16" s="341"/>
      <c r="H16" s="341">
        <v>0</v>
      </c>
      <c r="I16" s="341">
        <f>'D2.A Admin in Waiver Cost'!$F$36*(D16/$D$22)</f>
        <v>1089008.9273464535</v>
      </c>
      <c r="J16" s="343">
        <f t="shared" si="0"/>
        <v>360541887.0744521</v>
      </c>
      <c r="K16" s="344">
        <f t="shared" si="2"/>
        <v>273.02700028719494</v>
      </c>
      <c r="L16" s="344">
        <f t="shared" si="3"/>
        <v>0</v>
      </c>
      <c r="M16" s="344">
        <f t="shared" si="4"/>
        <v>0</v>
      </c>
      <c r="N16" s="344">
        <f t="shared" si="5"/>
        <v>0.82717056614496376</v>
      </c>
      <c r="O16" s="345">
        <f t="shared" si="6"/>
        <v>273.85417085333989</v>
      </c>
      <c r="Q16" s="39"/>
      <c r="R16" s="39"/>
      <c r="S16" s="34"/>
      <c r="T16" s="34"/>
    </row>
    <row r="17" spans="1:20" s="2" customFormat="1" ht="18" customHeight="1" x14ac:dyDescent="0.2">
      <c r="A17" s="4"/>
      <c r="B17" s="338" t="s">
        <v>518</v>
      </c>
      <c r="C17" s="339">
        <f>'D1. Member Months'!C13</f>
        <v>54139905</v>
      </c>
      <c r="D17" s="340">
        <f>[1]Expenditures!$P5</f>
        <v>11665762529.114956</v>
      </c>
      <c r="E17" s="341">
        <v>0</v>
      </c>
      <c r="F17" s="342">
        <f t="shared" si="1"/>
        <v>11665762529.114956</v>
      </c>
      <c r="G17" s="341"/>
      <c r="H17" s="341">
        <v>0</v>
      </c>
      <c r="I17" s="341">
        <f>'D2.A Admin in Waiver Cost'!$F$36*(D17/$D$22)</f>
        <v>35342934.52871111</v>
      </c>
      <c r="J17" s="343">
        <f t="shared" si="0"/>
        <v>11701105463.643667</v>
      </c>
      <c r="K17" s="344">
        <f t="shared" si="2"/>
        <v>215.47438121871392</v>
      </c>
      <c r="L17" s="344">
        <f t="shared" si="3"/>
        <v>0</v>
      </c>
      <c r="M17" s="344">
        <f t="shared" si="4"/>
        <v>0</v>
      </c>
      <c r="N17" s="344">
        <f t="shared" si="5"/>
        <v>0.65280747220947488</v>
      </c>
      <c r="O17" s="345">
        <f t="shared" si="6"/>
        <v>216.12718869092339</v>
      </c>
      <c r="Q17" s="39"/>
      <c r="R17" s="39"/>
      <c r="S17" s="34"/>
      <c r="T17" s="34"/>
    </row>
    <row r="18" spans="1:20" s="2" customFormat="1" ht="18" customHeight="1" x14ac:dyDescent="0.2">
      <c r="A18" s="4"/>
      <c r="B18" s="338" t="s">
        <v>521</v>
      </c>
      <c r="C18" s="339">
        <f>'D1. Member Months'!C14</f>
        <v>994882</v>
      </c>
      <c r="D18" s="340">
        <f>[1]Expenditures!$P6</f>
        <v>209129120.8072072</v>
      </c>
      <c r="E18" s="341">
        <v>0</v>
      </c>
      <c r="F18" s="342">
        <f t="shared" si="1"/>
        <v>209129120.8072072</v>
      </c>
      <c r="G18" s="341"/>
      <c r="H18" s="341">
        <v>0</v>
      </c>
      <c r="I18" s="341">
        <f>'D2.A Admin in Waiver Cost'!$F$36*(D18/$D$22)</f>
        <v>633583.68613189925</v>
      </c>
      <c r="J18" s="343">
        <f t="shared" si="0"/>
        <v>209762704.49333909</v>
      </c>
      <c r="K18" s="344">
        <f t="shared" si="2"/>
        <v>210.2049497399764</v>
      </c>
      <c r="L18" s="344">
        <f t="shared" si="3"/>
        <v>0</v>
      </c>
      <c r="M18" s="344">
        <f t="shared" si="4"/>
        <v>0</v>
      </c>
      <c r="N18" s="344">
        <f t="shared" si="5"/>
        <v>0.63684304885594401</v>
      </c>
      <c r="O18" s="345">
        <f t="shared" si="6"/>
        <v>210.84179278883232</v>
      </c>
      <c r="Q18" s="39"/>
      <c r="R18" s="39"/>
      <c r="S18" s="34"/>
      <c r="T18" s="34"/>
    </row>
    <row r="19" spans="1:20" ht="18" customHeight="1" x14ac:dyDescent="0.2">
      <c r="A19" s="4"/>
      <c r="B19" s="338" t="s">
        <v>516</v>
      </c>
      <c r="C19" s="339">
        <f>'D1. Member Months'!C15</f>
        <v>14869740</v>
      </c>
      <c r="D19" s="340">
        <f>[1]Expenditures!$P7</f>
        <v>2185601728.4425297</v>
      </c>
      <c r="E19" s="341">
        <v>0</v>
      </c>
      <c r="F19" s="342">
        <f t="shared" si="1"/>
        <v>2185601728.4425297</v>
      </c>
      <c r="G19" s="341"/>
      <c r="H19" s="341">
        <v>0</v>
      </c>
      <c r="I19" s="341">
        <f>'D2.A Admin in Waiver Cost'!$F$36*(D19/$D$22)</f>
        <v>6621562.7655196702</v>
      </c>
      <c r="J19" s="343">
        <f t="shared" si="0"/>
        <v>2192223291.2080493</v>
      </c>
      <c r="K19" s="344">
        <f t="shared" si="2"/>
        <v>146.98318386485101</v>
      </c>
      <c r="L19" s="344">
        <f t="shared" si="3"/>
        <v>0</v>
      </c>
      <c r="M19" s="344">
        <f t="shared" si="4"/>
        <v>0</v>
      </c>
      <c r="N19" s="344">
        <f t="shared" si="5"/>
        <v>0.44530454234705313</v>
      </c>
      <c r="O19" s="345">
        <f t="shared" si="6"/>
        <v>147.42848840719807</v>
      </c>
      <c r="P19" s="40"/>
      <c r="Q19" s="41"/>
      <c r="R19" s="41"/>
      <c r="S19" s="40"/>
      <c r="T19" s="41"/>
    </row>
    <row r="20" spans="1:20" ht="18" customHeight="1" x14ac:dyDescent="0.2">
      <c r="A20" s="4"/>
      <c r="B20" s="346" t="s">
        <v>517</v>
      </c>
      <c r="C20" s="339">
        <f>'D1. Member Months'!C16</f>
        <v>9108336</v>
      </c>
      <c r="D20" s="340">
        <f>[1]Expenditures!$P8</f>
        <v>10769907875.34133</v>
      </c>
      <c r="E20" s="341">
        <v>0</v>
      </c>
      <c r="F20" s="342">
        <f t="shared" si="1"/>
        <v>10769907875.34133</v>
      </c>
      <c r="G20" s="347"/>
      <c r="H20" s="341">
        <v>0</v>
      </c>
      <c r="I20" s="341">
        <f>'D2.A Admin in Waiver Cost'!$F$36*(D20/$D$22)</f>
        <v>32628827.131398566</v>
      </c>
      <c r="J20" s="343">
        <f t="shared" si="0"/>
        <v>10802536702.472729</v>
      </c>
      <c r="K20" s="344">
        <f t="shared" si="2"/>
        <v>1182.4232082941746</v>
      </c>
      <c r="L20" s="344">
        <f t="shared" si="3"/>
        <v>0</v>
      </c>
      <c r="M20" s="344">
        <f t="shared" si="4"/>
        <v>0</v>
      </c>
      <c r="N20" s="344">
        <f t="shared" si="5"/>
        <v>3.5823038512631249</v>
      </c>
      <c r="O20" s="345">
        <f t="shared" si="6"/>
        <v>1186.0055121454379</v>
      </c>
      <c r="P20" s="40"/>
      <c r="Q20" s="41"/>
      <c r="R20" s="41"/>
      <c r="S20" s="40"/>
      <c r="T20" s="41"/>
    </row>
    <row r="21" spans="1:20" ht="18" customHeight="1" thickBot="1" x14ac:dyDescent="0.25">
      <c r="A21" s="4"/>
      <c r="B21" s="348" t="s">
        <v>522</v>
      </c>
      <c r="C21" s="349">
        <f>'D1. Member Months'!C17</f>
        <v>3415064</v>
      </c>
      <c r="D21" s="340">
        <f>[1]Expenditures!$P9</f>
        <v>1210804913.7909296</v>
      </c>
      <c r="E21" s="350">
        <v>0</v>
      </c>
      <c r="F21" s="351">
        <f t="shared" si="1"/>
        <v>1210804913.7909296</v>
      </c>
      <c r="G21" s="350"/>
      <c r="H21" s="350">
        <v>0</v>
      </c>
      <c r="I21" s="350">
        <f>'D2.A Admin in Waiver Cost'!$F$36*(D21/$D$22)</f>
        <v>3668289.8943255902</v>
      </c>
      <c r="J21" s="352">
        <f t="shared" si="0"/>
        <v>1214473203.6852551</v>
      </c>
      <c r="K21" s="353">
        <f t="shared" si="2"/>
        <v>354.54823505238249</v>
      </c>
      <c r="L21" s="353">
        <f t="shared" si="3"/>
        <v>0</v>
      </c>
      <c r="M21" s="353">
        <f t="shared" si="4"/>
        <v>0</v>
      </c>
      <c r="N21" s="353">
        <f t="shared" si="5"/>
        <v>1.0741496775245178</v>
      </c>
      <c r="O21" s="354">
        <f t="shared" si="6"/>
        <v>355.62238472990697</v>
      </c>
      <c r="P21" s="40"/>
      <c r="Q21" s="41"/>
      <c r="R21" s="41"/>
      <c r="S21" s="40"/>
      <c r="T21" s="41"/>
    </row>
    <row r="22" spans="1:20" ht="18" customHeight="1" thickTop="1" thickBot="1" x14ac:dyDescent="0.25">
      <c r="A22" s="4"/>
      <c r="B22" s="355" t="s">
        <v>98</v>
      </c>
      <c r="C22" s="356">
        <f>SUM(C14:C21)</f>
        <v>127490603</v>
      </c>
      <c r="D22" s="357">
        <f t="shared" ref="D22:J22" si="7">SUM(D14:D21)</f>
        <v>46856185134.310081</v>
      </c>
      <c r="E22" s="358">
        <f t="shared" si="7"/>
        <v>0</v>
      </c>
      <c r="F22" s="358">
        <f t="shared" si="7"/>
        <v>46856185134.310081</v>
      </c>
      <c r="G22" s="358">
        <f t="shared" si="7"/>
        <v>0</v>
      </c>
      <c r="H22" s="358">
        <f t="shared" si="7"/>
        <v>0</v>
      </c>
      <c r="I22" s="358">
        <f t="shared" si="7"/>
        <v>141956865.59999999</v>
      </c>
      <c r="J22" s="359">
        <f t="shared" si="7"/>
        <v>46998141999.91008</v>
      </c>
      <c r="K22" s="360"/>
      <c r="L22" s="361"/>
      <c r="M22" s="361"/>
      <c r="N22" s="361"/>
      <c r="O22" s="362"/>
      <c r="P22" s="40"/>
      <c r="Q22" s="41"/>
      <c r="R22" s="41"/>
      <c r="S22" s="40"/>
      <c r="T22" s="41"/>
    </row>
    <row r="23" spans="1:20" ht="16.5" customHeight="1" thickBot="1" x14ac:dyDescent="0.25">
      <c r="A23" s="4"/>
      <c r="B23" s="363" t="s">
        <v>323</v>
      </c>
      <c r="C23" s="364"/>
      <c r="D23" s="364"/>
      <c r="E23" s="364"/>
      <c r="F23" s="365"/>
      <c r="G23" s="365"/>
      <c r="H23" s="365"/>
      <c r="I23" s="365"/>
      <c r="J23" s="364"/>
      <c r="K23" s="366">
        <f>F22/$C22</f>
        <v>367.52657867897983</v>
      </c>
      <c r="L23" s="366">
        <f>G22/$C22</f>
        <v>0</v>
      </c>
      <c r="M23" s="366">
        <f>H22/$C22</f>
        <v>0</v>
      </c>
      <c r="N23" s="366">
        <f>I22/$C22</f>
        <v>1.113469246043177</v>
      </c>
      <c r="O23" s="366">
        <f>J22/$C22</f>
        <v>368.640047925023</v>
      </c>
    </row>
    <row r="24" spans="1:20" ht="36" customHeight="1" thickBot="1" x14ac:dyDescent="0.25">
      <c r="A24" s="4"/>
      <c r="B24" s="31"/>
      <c r="C24" s="30"/>
      <c r="D24" s="30"/>
      <c r="E24" s="30"/>
      <c r="F24" s="33"/>
      <c r="G24" s="30"/>
      <c r="I24" s="32"/>
      <c r="J24" s="32"/>
      <c r="K24" s="33"/>
      <c r="L24" s="32"/>
      <c r="M24" s="32"/>
    </row>
    <row r="25" spans="1:20" ht="15" customHeight="1" x14ac:dyDescent="0.2">
      <c r="A25" s="4"/>
      <c r="B25" s="318"/>
      <c r="C25" s="319"/>
      <c r="D25" s="320" t="s">
        <v>248</v>
      </c>
      <c r="E25" s="321"/>
      <c r="F25" s="321"/>
      <c r="G25" s="321"/>
      <c r="H25" s="322"/>
      <c r="I25" s="321"/>
      <c r="J25" s="323"/>
      <c r="K25" s="324" t="s">
        <v>239</v>
      </c>
      <c r="L25" s="321"/>
      <c r="M25" s="321"/>
      <c r="N25" s="321"/>
      <c r="O25" s="323"/>
      <c r="Q25" s="34"/>
      <c r="R25" s="34"/>
      <c r="S25" s="34"/>
      <c r="T25" s="34"/>
    </row>
    <row r="26" spans="1:20" s="35" customFormat="1" x14ac:dyDescent="0.2">
      <c r="A26" s="4"/>
      <c r="B26" s="325"/>
      <c r="C26" s="326"/>
      <c r="D26" s="327" t="s">
        <v>69</v>
      </c>
      <c r="E26" s="328"/>
      <c r="F26" s="328"/>
      <c r="G26" s="328" t="s">
        <v>195</v>
      </c>
      <c r="H26" s="328" t="s">
        <v>70</v>
      </c>
      <c r="I26" s="328" t="s">
        <v>71</v>
      </c>
      <c r="J26" s="329"/>
      <c r="K26" s="327"/>
      <c r="L26" s="328"/>
      <c r="M26" s="328"/>
      <c r="N26" s="328"/>
      <c r="O26" s="329"/>
      <c r="Q26" s="36"/>
      <c r="R26" s="36"/>
      <c r="S26" s="37"/>
      <c r="T26" s="37"/>
    </row>
    <row r="27" spans="1:20" s="35" customFormat="1" x14ac:dyDescent="0.2">
      <c r="A27" s="4"/>
      <c r="B27" s="325" t="s">
        <v>72</v>
      </c>
      <c r="C27" s="326" t="s">
        <v>242</v>
      </c>
      <c r="D27" s="330" t="s">
        <v>192</v>
      </c>
      <c r="E27" s="331"/>
      <c r="F27" s="331"/>
      <c r="G27" s="331" t="s">
        <v>86</v>
      </c>
      <c r="H27" s="331" t="s">
        <v>73</v>
      </c>
      <c r="I27" s="331" t="s">
        <v>86</v>
      </c>
      <c r="J27" s="326"/>
      <c r="K27" s="332"/>
      <c r="L27" s="331"/>
      <c r="M27" s="331"/>
      <c r="N27" s="331"/>
      <c r="O27" s="326"/>
      <c r="Q27" s="36"/>
      <c r="R27" s="36"/>
      <c r="S27" s="37"/>
      <c r="T27" s="37"/>
    </row>
    <row r="28" spans="1:20" s="35" customFormat="1" ht="23.25" customHeight="1" x14ac:dyDescent="0.2">
      <c r="A28" s="4"/>
      <c r="B28" s="325" t="s">
        <v>74</v>
      </c>
      <c r="C28" s="326" t="s">
        <v>75</v>
      </c>
      <c r="D28" s="333" t="s">
        <v>193</v>
      </c>
      <c r="E28" s="331" t="s">
        <v>77</v>
      </c>
      <c r="F28" s="331" t="s">
        <v>78</v>
      </c>
      <c r="G28" s="331" t="s">
        <v>210</v>
      </c>
      <c r="H28" s="331" t="s">
        <v>79</v>
      </c>
      <c r="I28" s="331" t="s">
        <v>194</v>
      </c>
      <c r="J28" s="326" t="s">
        <v>80</v>
      </c>
      <c r="K28" s="332" t="s">
        <v>26</v>
      </c>
      <c r="L28" s="331" t="s">
        <v>81</v>
      </c>
      <c r="M28" s="331" t="s">
        <v>27</v>
      </c>
      <c r="N28" s="331" t="s">
        <v>82</v>
      </c>
      <c r="O28" s="326" t="s">
        <v>83</v>
      </c>
      <c r="Q28" s="36"/>
      <c r="R28" s="36"/>
      <c r="S28" s="37"/>
      <c r="T28" s="37"/>
    </row>
    <row r="29" spans="1:20" s="35" customFormat="1" ht="11.25" customHeight="1" x14ac:dyDescent="0.2">
      <c r="A29" s="4"/>
      <c r="B29" s="325"/>
      <c r="C29" s="326" t="s">
        <v>84</v>
      </c>
      <c r="D29" s="332" t="s">
        <v>76</v>
      </c>
      <c r="E29" s="331" t="s">
        <v>86</v>
      </c>
      <c r="F29" s="331" t="s">
        <v>87</v>
      </c>
      <c r="G29" s="331" t="s">
        <v>88</v>
      </c>
      <c r="H29" s="331" t="s">
        <v>89</v>
      </c>
      <c r="I29" s="331" t="s">
        <v>90</v>
      </c>
      <c r="J29" s="326" t="s">
        <v>91</v>
      </c>
      <c r="K29" s="332" t="s">
        <v>87</v>
      </c>
      <c r="L29" s="331" t="s">
        <v>86</v>
      </c>
      <c r="M29" s="331" t="s">
        <v>87</v>
      </c>
      <c r="N29" s="331" t="s">
        <v>86</v>
      </c>
      <c r="O29" s="326" t="s">
        <v>91</v>
      </c>
      <c r="Q29" s="36"/>
      <c r="R29" s="36"/>
      <c r="S29" s="37"/>
      <c r="T29" s="37"/>
    </row>
    <row r="30" spans="1:20" s="35" customFormat="1" x14ac:dyDescent="0.2">
      <c r="A30" s="4"/>
      <c r="B30" s="334"/>
      <c r="C30" s="335"/>
      <c r="D30" s="332" t="s">
        <v>85</v>
      </c>
      <c r="E30" s="336"/>
      <c r="F30" s="336" t="s">
        <v>20</v>
      </c>
      <c r="G30" s="336"/>
      <c r="H30" s="336"/>
      <c r="I30" s="336"/>
      <c r="J30" s="335" t="s">
        <v>92</v>
      </c>
      <c r="K30" s="337" t="s">
        <v>93</v>
      </c>
      <c r="L30" s="336" t="s">
        <v>94</v>
      </c>
      <c r="M30" s="336" t="s">
        <v>95</v>
      </c>
      <c r="N30" s="336" t="s">
        <v>96</v>
      </c>
      <c r="O30" s="335" t="s">
        <v>97</v>
      </c>
      <c r="Q30" s="36"/>
      <c r="R30" s="36"/>
      <c r="S30" s="37"/>
      <c r="T30" s="37"/>
    </row>
    <row r="31" spans="1:20" s="2" customFormat="1" ht="18" customHeight="1" x14ac:dyDescent="0.2">
      <c r="A31" s="4"/>
      <c r="B31" s="338" t="s">
        <v>519</v>
      </c>
      <c r="C31" s="339">
        <f>'D1. Member Months'!D10</f>
        <v>36779905</v>
      </c>
      <c r="D31" s="340">
        <f>D14</f>
        <v>17155167263.120972</v>
      </c>
      <c r="E31" s="341">
        <f>E14</f>
        <v>0</v>
      </c>
      <c r="F31" s="342">
        <f>D31+E31</f>
        <v>17155167263.120972</v>
      </c>
      <c r="G31" s="341"/>
      <c r="H31" s="341">
        <f>H14</f>
        <v>0</v>
      </c>
      <c r="I31" s="341">
        <f>I14</f>
        <v>51973795.274535887</v>
      </c>
      <c r="J31" s="343">
        <f>SUM(F31:I31)</f>
        <v>17207141058.395508</v>
      </c>
      <c r="K31" s="344">
        <f>IF($C31&gt;0,F31/$C31,0)</f>
        <v>466.42772087423748</v>
      </c>
      <c r="L31" s="344">
        <f>IF($C31&gt;0,G31/$C31,0)</f>
        <v>0</v>
      </c>
      <c r="M31" s="344">
        <f>IF($C31&gt;0,H31/$C31,0)</f>
        <v>0</v>
      </c>
      <c r="N31" s="344">
        <f>IF($C31&gt;0,I31/$C31,0)</f>
        <v>1.4131030320642723</v>
      </c>
      <c r="O31" s="345">
        <f>IF(C31&gt;0,J31/$C31,0)</f>
        <v>467.84082390630175</v>
      </c>
      <c r="Q31" s="39"/>
      <c r="R31" s="39"/>
      <c r="S31" s="34"/>
      <c r="T31" s="34"/>
    </row>
    <row r="32" spans="1:20" s="2" customFormat="1" ht="18" customHeight="1" x14ac:dyDescent="0.2">
      <c r="A32" s="4"/>
      <c r="B32" s="338" t="s">
        <v>525</v>
      </c>
      <c r="C32" s="339">
        <f>'D1. Member Months'!D11</f>
        <v>6866224</v>
      </c>
      <c r="D32" s="340">
        <f t="shared" ref="D32:D38" si="8">D15</f>
        <v>3300358825.5450473</v>
      </c>
      <c r="E32" s="341">
        <f t="shared" ref="E32:E38" si="9">E15</f>
        <v>0</v>
      </c>
      <c r="F32" s="342">
        <f t="shared" ref="F32:F38" si="10">D32+E32</f>
        <v>3300358825.5450473</v>
      </c>
      <c r="G32" s="341"/>
      <c r="H32" s="341">
        <f t="shared" ref="H32:I38" si="11">H15</f>
        <v>0</v>
      </c>
      <c r="I32" s="341">
        <f t="shared" si="11"/>
        <v>9998863.3920308277</v>
      </c>
      <c r="J32" s="343">
        <f t="shared" ref="J32:J38" si="12">SUM(F32:I32)</f>
        <v>3310357688.937078</v>
      </c>
      <c r="K32" s="344">
        <f t="shared" ref="K32:K38" si="13">IF($C32&gt;0,F32/$C32,0)</f>
        <v>480.66576702785216</v>
      </c>
      <c r="L32" s="344">
        <f t="shared" ref="L32:L38" si="14">IF($C32&gt;0,G32/$C32,0)</f>
        <v>0</v>
      </c>
      <c r="M32" s="344">
        <f t="shared" ref="M32:M38" si="15">IF($C32&gt;0,H32/$C32,0)</f>
        <v>0</v>
      </c>
      <c r="N32" s="344">
        <f t="shared" ref="N32:N38" si="16">IF($C32&gt;0,I32/$C32,0)</f>
        <v>1.4562390321129675</v>
      </c>
      <c r="O32" s="345">
        <f t="shared" ref="O32:O38" si="17">IF(C32&gt;0,J32/$C32,0)</f>
        <v>482.12200605996514</v>
      </c>
      <c r="Q32" s="39"/>
      <c r="R32" s="39"/>
      <c r="S32" s="34"/>
      <c r="T32" s="34"/>
    </row>
    <row r="33" spans="1:20" s="2" customFormat="1" ht="18" customHeight="1" x14ac:dyDescent="0.2">
      <c r="A33" s="4"/>
      <c r="B33" s="338" t="s">
        <v>520</v>
      </c>
      <c r="C33" s="339">
        <f>'D1. Member Months'!D12</f>
        <v>1316547</v>
      </c>
      <c r="D33" s="340">
        <f t="shared" si="8"/>
        <v>359452878.14710563</v>
      </c>
      <c r="E33" s="341">
        <f t="shared" si="9"/>
        <v>0</v>
      </c>
      <c r="F33" s="342">
        <f t="shared" si="10"/>
        <v>359452878.14710563</v>
      </c>
      <c r="G33" s="341"/>
      <c r="H33" s="341">
        <f t="shared" si="11"/>
        <v>0</v>
      </c>
      <c r="I33" s="341">
        <f t="shared" si="11"/>
        <v>1089008.9273464535</v>
      </c>
      <c r="J33" s="343">
        <f t="shared" si="12"/>
        <v>360541887.0744521</v>
      </c>
      <c r="K33" s="344">
        <f t="shared" si="13"/>
        <v>273.02700028719494</v>
      </c>
      <c r="L33" s="344">
        <f t="shared" si="14"/>
        <v>0</v>
      </c>
      <c r="M33" s="344">
        <f t="shared" si="15"/>
        <v>0</v>
      </c>
      <c r="N33" s="344">
        <f t="shared" si="16"/>
        <v>0.82717056614496376</v>
      </c>
      <c r="O33" s="345">
        <f t="shared" si="17"/>
        <v>273.85417085333989</v>
      </c>
      <c r="Q33" s="39"/>
      <c r="R33" s="39"/>
      <c r="S33" s="34"/>
      <c r="T33" s="34"/>
    </row>
    <row r="34" spans="1:20" s="2" customFormat="1" ht="18" customHeight="1" x14ac:dyDescent="0.2">
      <c r="A34" s="4"/>
      <c r="B34" s="338" t="s">
        <v>518</v>
      </c>
      <c r="C34" s="339">
        <f>'D1. Member Months'!D13</f>
        <v>54139905</v>
      </c>
      <c r="D34" s="340">
        <f t="shared" si="8"/>
        <v>11665762529.114956</v>
      </c>
      <c r="E34" s="341">
        <f t="shared" si="9"/>
        <v>0</v>
      </c>
      <c r="F34" s="342">
        <f t="shared" si="10"/>
        <v>11665762529.114956</v>
      </c>
      <c r="G34" s="341"/>
      <c r="H34" s="341">
        <f t="shared" si="11"/>
        <v>0</v>
      </c>
      <c r="I34" s="341">
        <f t="shared" si="11"/>
        <v>35342934.52871111</v>
      </c>
      <c r="J34" s="343">
        <f t="shared" si="12"/>
        <v>11701105463.643667</v>
      </c>
      <c r="K34" s="344">
        <f t="shared" si="13"/>
        <v>215.47438121871392</v>
      </c>
      <c r="L34" s="344">
        <f t="shared" si="14"/>
        <v>0</v>
      </c>
      <c r="M34" s="344">
        <f t="shared" si="15"/>
        <v>0</v>
      </c>
      <c r="N34" s="344">
        <f t="shared" si="16"/>
        <v>0.65280747220947488</v>
      </c>
      <c r="O34" s="345">
        <f t="shared" si="17"/>
        <v>216.12718869092339</v>
      </c>
      <c r="Q34" s="39"/>
      <c r="R34" s="39"/>
      <c r="S34" s="34"/>
      <c r="T34" s="34"/>
    </row>
    <row r="35" spans="1:20" s="2" customFormat="1" ht="18" customHeight="1" x14ac:dyDescent="0.2">
      <c r="A35" s="4"/>
      <c r="B35" s="338" t="s">
        <v>521</v>
      </c>
      <c r="C35" s="339">
        <f>'D1. Member Months'!D14</f>
        <v>994882</v>
      </c>
      <c r="D35" s="340">
        <f t="shared" si="8"/>
        <v>209129120.8072072</v>
      </c>
      <c r="E35" s="341">
        <f t="shared" si="9"/>
        <v>0</v>
      </c>
      <c r="F35" s="342">
        <f t="shared" si="10"/>
        <v>209129120.8072072</v>
      </c>
      <c r="G35" s="341"/>
      <c r="H35" s="341">
        <f t="shared" si="11"/>
        <v>0</v>
      </c>
      <c r="I35" s="341">
        <f t="shared" si="11"/>
        <v>633583.68613189925</v>
      </c>
      <c r="J35" s="343">
        <f t="shared" si="12"/>
        <v>209762704.49333909</v>
      </c>
      <c r="K35" s="344">
        <f t="shared" si="13"/>
        <v>210.2049497399764</v>
      </c>
      <c r="L35" s="344">
        <f t="shared" si="14"/>
        <v>0</v>
      </c>
      <c r="M35" s="344">
        <f t="shared" si="15"/>
        <v>0</v>
      </c>
      <c r="N35" s="344">
        <f t="shared" si="16"/>
        <v>0.63684304885594401</v>
      </c>
      <c r="O35" s="345">
        <f t="shared" si="17"/>
        <v>210.84179278883232</v>
      </c>
      <c r="Q35" s="39"/>
      <c r="R35" s="39"/>
      <c r="S35" s="34"/>
      <c r="T35" s="34"/>
    </row>
    <row r="36" spans="1:20" ht="18" customHeight="1" x14ac:dyDescent="0.2">
      <c r="A36" s="4"/>
      <c r="B36" s="338" t="s">
        <v>516</v>
      </c>
      <c r="C36" s="339">
        <f>'D1. Member Months'!D15</f>
        <v>14869740</v>
      </c>
      <c r="D36" s="340">
        <f t="shared" si="8"/>
        <v>2185601728.4425297</v>
      </c>
      <c r="E36" s="341">
        <f t="shared" si="9"/>
        <v>0</v>
      </c>
      <c r="F36" s="342">
        <f t="shared" si="10"/>
        <v>2185601728.4425297</v>
      </c>
      <c r="G36" s="341"/>
      <c r="H36" s="341">
        <f t="shared" si="11"/>
        <v>0</v>
      </c>
      <c r="I36" s="341">
        <f t="shared" si="11"/>
        <v>6621562.7655196702</v>
      </c>
      <c r="J36" s="343">
        <f t="shared" si="12"/>
        <v>2192223291.2080493</v>
      </c>
      <c r="K36" s="344">
        <f t="shared" si="13"/>
        <v>146.98318386485101</v>
      </c>
      <c r="L36" s="344">
        <f t="shared" si="14"/>
        <v>0</v>
      </c>
      <c r="M36" s="344">
        <f t="shared" si="15"/>
        <v>0</v>
      </c>
      <c r="N36" s="344">
        <f t="shared" si="16"/>
        <v>0.44530454234705313</v>
      </c>
      <c r="O36" s="345">
        <f t="shared" si="17"/>
        <v>147.42848840719807</v>
      </c>
      <c r="P36" s="40"/>
      <c r="Q36" s="41"/>
      <c r="R36" s="41"/>
      <c r="S36" s="40"/>
      <c r="T36" s="41"/>
    </row>
    <row r="37" spans="1:20" ht="18" customHeight="1" x14ac:dyDescent="0.2">
      <c r="A37" s="4"/>
      <c r="B37" s="346" t="s">
        <v>517</v>
      </c>
      <c r="C37" s="339">
        <f>'D1. Member Months'!D16</f>
        <v>9108336</v>
      </c>
      <c r="D37" s="340">
        <f t="shared" si="8"/>
        <v>10769907875.34133</v>
      </c>
      <c r="E37" s="341">
        <f t="shared" si="9"/>
        <v>0</v>
      </c>
      <c r="F37" s="342">
        <f t="shared" si="10"/>
        <v>10769907875.34133</v>
      </c>
      <c r="G37" s="347"/>
      <c r="H37" s="341">
        <f t="shared" si="11"/>
        <v>0</v>
      </c>
      <c r="I37" s="341">
        <f t="shared" si="11"/>
        <v>32628827.131398566</v>
      </c>
      <c r="J37" s="343">
        <f t="shared" si="12"/>
        <v>10802536702.472729</v>
      </c>
      <c r="K37" s="344">
        <f t="shared" si="13"/>
        <v>1182.4232082941746</v>
      </c>
      <c r="L37" s="344">
        <f t="shared" si="14"/>
        <v>0</v>
      </c>
      <c r="M37" s="344">
        <f t="shared" si="15"/>
        <v>0</v>
      </c>
      <c r="N37" s="344">
        <f t="shared" si="16"/>
        <v>3.5823038512631249</v>
      </c>
      <c r="O37" s="345">
        <f t="shared" si="17"/>
        <v>1186.0055121454379</v>
      </c>
      <c r="P37" s="40"/>
      <c r="Q37" s="41"/>
      <c r="R37" s="41"/>
      <c r="S37" s="40"/>
      <c r="T37" s="41"/>
    </row>
    <row r="38" spans="1:20" ht="18" customHeight="1" thickBot="1" x14ac:dyDescent="0.25">
      <c r="A38" s="4"/>
      <c r="B38" s="348" t="s">
        <v>522</v>
      </c>
      <c r="C38" s="349">
        <f>'D1. Member Months'!D17</f>
        <v>3415064</v>
      </c>
      <c r="D38" s="340">
        <f t="shared" si="8"/>
        <v>1210804913.7909296</v>
      </c>
      <c r="E38" s="350">
        <f t="shared" si="9"/>
        <v>0</v>
      </c>
      <c r="F38" s="351">
        <f t="shared" si="10"/>
        <v>1210804913.7909296</v>
      </c>
      <c r="G38" s="350"/>
      <c r="H38" s="350">
        <f t="shared" si="11"/>
        <v>0</v>
      </c>
      <c r="I38" s="341">
        <f t="shared" si="11"/>
        <v>3668289.8943255902</v>
      </c>
      <c r="J38" s="352">
        <f t="shared" si="12"/>
        <v>1214473203.6852551</v>
      </c>
      <c r="K38" s="353">
        <f t="shared" si="13"/>
        <v>354.54823505238249</v>
      </c>
      <c r="L38" s="353">
        <f t="shared" si="14"/>
        <v>0</v>
      </c>
      <c r="M38" s="353">
        <f t="shared" si="15"/>
        <v>0</v>
      </c>
      <c r="N38" s="353">
        <f t="shared" si="16"/>
        <v>1.0741496775245178</v>
      </c>
      <c r="O38" s="354">
        <f t="shared" si="17"/>
        <v>355.62238472990697</v>
      </c>
      <c r="P38" s="40"/>
      <c r="Q38" s="41"/>
      <c r="R38" s="41"/>
      <c r="S38" s="40"/>
      <c r="T38" s="41"/>
    </row>
    <row r="39" spans="1:20" ht="18" customHeight="1" thickTop="1" thickBot="1" x14ac:dyDescent="0.25">
      <c r="A39" s="4"/>
      <c r="B39" s="367" t="s">
        <v>98</v>
      </c>
      <c r="C39" s="356">
        <f>SUM(C31:C38)</f>
        <v>127490603</v>
      </c>
      <c r="D39" s="368">
        <f t="shared" ref="D39:J39" si="18">SUM(D31:D38)</f>
        <v>46856185134.310081</v>
      </c>
      <c r="E39" s="369">
        <f t="shared" si="18"/>
        <v>0</v>
      </c>
      <c r="F39" s="369">
        <f t="shared" si="18"/>
        <v>46856185134.310081</v>
      </c>
      <c r="G39" s="369">
        <f t="shared" si="18"/>
        <v>0</v>
      </c>
      <c r="H39" s="369">
        <f t="shared" si="18"/>
        <v>0</v>
      </c>
      <c r="I39" s="369">
        <f t="shared" si="18"/>
        <v>141956865.59999999</v>
      </c>
      <c r="J39" s="370">
        <f t="shared" si="18"/>
        <v>46998141999.91008</v>
      </c>
      <c r="K39" s="360"/>
      <c r="L39" s="361"/>
      <c r="M39" s="361"/>
      <c r="N39" s="361"/>
      <c r="O39" s="362"/>
      <c r="P39" s="40"/>
      <c r="Q39" s="41"/>
      <c r="R39" s="41"/>
      <c r="S39" s="40"/>
      <c r="T39" s="41"/>
    </row>
    <row r="40" spans="1:20" ht="16.5" customHeight="1" thickBot="1" x14ac:dyDescent="0.25">
      <c r="A40" s="4"/>
      <c r="B40" s="363" t="s">
        <v>324</v>
      </c>
      <c r="C40" s="364"/>
      <c r="D40" s="364"/>
      <c r="E40" s="364"/>
      <c r="F40" s="365"/>
      <c r="G40" s="365"/>
      <c r="H40" s="365"/>
      <c r="I40" s="365"/>
      <c r="J40" s="364"/>
      <c r="K40" s="366">
        <f>F39/$C39</f>
        <v>367.52657867897983</v>
      </c>
      <c r="L40" s="366">
        <f>G39/$C39</f>
        <v>0</v>
      </c>
      <c r="M40" s="366">
        <f>H39/$C39</f>
        <v>0</v>
      </c>
      <c r="N40" s="366">
        <f>I39/$C39</f>
        <v>1.113469246043177</v>
      </c>
      <c r="O40" s="366">
        <f>J39/$C39</f>
        <v>368.640047925023</v>
      </c>
    </row>
    <row r="41" spans="1:20" x14ac:dyDescent="0.2">
      <c r="C41" s="42"/>
      <c r="D41" s="42"/>
      <c r="E41" s="30"/>
      <c r="F41" s="30"/>
    </row>
    <row r="42" spans="1:20" x14ac:dyDescent="0.2">
      <c r="B42" s="43"/>
      <c r="C42" s="43"/>
      <c r="D42" s="43"/>
      <c r="K42" s="41"/>
      <c r="L42" s="41"/>
      <c r="M42" s="41"/>
      <c r="N42" s="41"/>
      <c r="O42" s="41"/>
    </row>
    <row r="43" spans="1:20" x14ac:dyDescent="0.2">
      <c r="B43" s="153" t="s">
        <v>330</v>
      </c>
    </row>
    <row r="44" spans="1:20" x14ac:dyDescent="0.2">
      <c r="B44" s="157" t="s">
        <v>331</v>
      </c>
    </row>
    <row r="45" spans="1:20" ht="11.25" customHeight="1" x14ac:dyDescent="0.2">
      <c r="D45" s="202" t="s">
        <v>317</v>
      </c>
      <c r="E45" s="203"/>
      <c r="F45" s="203"/>
      <c r="G45" s="203"/>
      <c r="H45" s="203"/>
      <c r="I45" s="203"/>
      <c r="J45" s="203"/>
    </row>
    <row r="46" spans="1:20" x14ac:dyDescent="0.2">
      <c r="D46" s="203"/>
      <c r="E46" s="203"/>
      <c r="F46" s="203"/>
      <c r="G46" s="203"/>
      <c r="H46" s="203"/>
      <c r="I46" s="203"/>
      <c r="J46" s="203"/>
    </row>
    <row r="47" spans="1:20" x14ac:dyDescent="0.2">
      <c r="D47" s="203"/>
      <c r="E47" s="203"/>
      <c r="F47" s="203"/>
      <c r="G47" s="203"/>
      <c r="H47" s="203"/>
      <c r="I47" s="203"/>
      <c r="J47" s="203"/>
    </row>
    <row r="48" spans="1:20" ht="12.75" x14ac:dyDescent="0.2">
      <c r="D48" s="45"/>
      <c r="E48" s="45"/>
      <c r="F48" s="45"/>
      <c r="G48" s="45"/>
      <c r="H48" s="45"/>
      <c r="I48" s="45"/>
      <c r="J48" s="45"/>
    </row>
    <row r="49" spans="2:10" x14ac:dyDescent="0.2">
      <c r="D49" s="202" t="s">
        <v>318</v>
      </c>
      <c r="E49" s="203"/>
      <c r="F49" s="203"/>
      <c r="G49" s="203"/>
      <c r="H49" s="203"/>
      <c r="I49" s="203"/>
      <c r="J49" s="203"/>
    </row>
    <row r="50" spans="2:10" x14ac:dyDescent="0.2">
      <c r="D50" s="203"/>
      <c r="E50" s="203"/>
      <c r="F50" s="203"/>
      <c r="G50" s="203"/>
      <c r="H50" s="203"/>
      <c r="I50" s="203"/>
      <c r="J50" s="203"/>
    </row>
    <row r="51" spans="2:10" ht="11.25" customHeight="1" x14ac:dyDescent="0.2">
      <c r="B51" s="33"/>
      <c r="C51" s="30"/>
      <c r="D51" s="203"/>
      <c r="E51" s="203"/>
      <c r="F51" s="203"/>
      <c r="G51" s="203"/>
      <c r="H51" s="203"/>
      <c r="I51" s="203"/>
      <c r="J51" s="203"/>
    </row>
  </sheetData>
  <mergeCells count="2">
    <mergeCell ref="D45:J47"/>
    <mergeCell ref="D49:J51"/>
  </mergeCells>
  <phoneticPr fontId="0" type="noConversion"/>
  <printOptions horizontalCentered="1"/>
  <pageMargins left="0.25" right="0.25" top="1.5" bottom="1" header="1" footer="0.5"/>
  <pageSetup scale="38" fitToWidth="2" orientation="landscape" horizontalDpi="30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zoomScale="70" zoomScaleNormal="70" workbookViewId="0">
      <selection activeCell="B9" sqref="B9:D15"/>
    </sheetView>
  </sheetViews>
  <sheetFormatPr defaultColWidth="0" defaultRowHeight="12.75" zeroHeight="1" x14ac:dyDescent="0.2"/>
  <cols>
    <col min="1" max="1" width="9.140625" style="4" customWidth="1"/>
    <col min="2" max="2" width="43.85546875" style="7" customWidth="1"/>
    <col min="3" max="3" width="17.5703125" style="7" bestFit="1" customWidth="1"/>
    <col min="4" max="4" width="64.140625" style="7" customWidth="1"/>
    <col min="5" max="16384" width="9.140625" style="7" hidden="1"/>
  </cols>
  <sheetData>
    <row r="1" spans="1:4" x14ac:dyDescent="0.2">
      <c r="A1" s="288" t="s">
        <v>542</v>
      </c>
    </row>
    <row r="2" spans="1:4" s="4" customFormat="1" ht="33.75" x14ac:dyDescent="0.2">
      <c r="A2" s="13" t="s">
        <v>0</v>
      </c>
      <c r="B2" s="4" t="s">
        <v>1</v>
      </c>
      <c r="C2" s="4" t="s">
        <v>2</v>
      </c>
      <c r="D2" s="4" t="s">
        <v>3</v>
      </c>
    </row>
    <row r="3" spans="1:4" ht="15" customHeight="1" x14ac:dyDescent="0.2">
      <c r="A3" s="4">
        <v>3</v>
      </c>
      <c r="B3" s="206" t="s">
        <v>205</v>
      </c>
      <c r="C3" s="6"/>
      <c r="D3" s="6"/>
    </row>
    <row r="4" spans="1:4" customFormat="1" ht="15" customHeight="1" x14ac:dyDescent="0.2">
      <c r="A4" s="4">
        <f>A3+1</f>
        <v>4</v>
      </c>
      <c r="C4" s="212" t="s">
        <v>398</v>
      </c>
      <c r="D4" s="212" t="str">
        <f>'D1. Member Months'!G4</f>
        <v>California</v>
      </c>
    </row>
    <row r="5" spans="1:4" ht="15" customHeight="1" x14ac:dyDescent="0.2">
      <c r="A5" s="4">
        <f t="shared" ref="A5:A17" si="0">A4+1</f>
        <v>5</v>
      </c>
      <c r="B5" s="377" t="s">
        <v>431</v>
      </c>
      <c r="C5" s="6"/>
      <c r="D5" s="6"/>
    </row>
    <row r="6" spans="1:4" ht="15" customHeight="1" x14ac:dyDescent="0.2">
      <c r="A6" s="4">
        <f t="shared" si="0"/>
        <v>6</v>
      </c>
      <c r="B6" s="206" t="s">
        <v>236</v>
      </c>
      <c r="C6" s="6"/>
      <c r="D6" s="6"/>
    </row>
    <row r="7" spans="1:4" ht="15" customHeight="1" x14ac:dyDescent="0.2">
      <c r="A7" s="4">
        <f t="shared" si="0"/>
        <v>7</v>
      </c>
      <c r="B7" s="206" t="s">
        <v>99</v>
      </c>
      <c r="C7" s="6"/>
      <c r="D7" s="6"/>
    </row>
    <row r="8" spans="1:4" ht="18" customHeight="1" x14ac:dyDescent="0.2">
      <c r="A8" s="4">
        <f t="shared" si="0"/>
        <v>8</v>
      </c>
      <c r="D8" s="44"/>
    </row>
    <row r="9" spans="1:4" ht="18" customHeight="1" x14ac:dyDescent="0.2">
      <c r="A9" s="4">
        <f t="shared" si="0"/>
        <v>9</v>
      </c>
      <c r="B9" s="371" t="s">
        <v>100</v>
      </c>
      <c r="C9" s="371" t="s">
        <v>101</v>
      </c>
      <c r="D9" s="371" t="s">
        <v>102</v>
      </c>
    </row>
    <row r="10" spans="1:4" x14ac:dyDescent="0.2">
      <c r="A10" s="4">
        <f t="shared" si="0"/>
        <v>10</v>
      </c>
      <c r="B10" s="372" t="s">
        <v>103</v>
      </c>
      <c r="C10" s="373" t="s">
        <v>40</v>
      </c>
      <c r="D10" s="374" t="s">
        <v>529</v>
      </c>
    </row>
    <row r="11" spans="1:4" ht="18" customHeight="1" x14ac:dyDescent="0.2">
      <c r="A11" s="4">
        <f t="shared" si="0"/>
        <v>11</v>
      </c>
      <c r="B11" s="372" t="s">
        <v>104</v>
      </c>
      <c r="C11" s="373" t="s">
        <v>40</v>
      </c>
      <c r="D11" s="374" t="s">
        <v>530</v>
      </c>
    </row>
    <row r="12" spans="1:4" ht="18" customHeight="1" x14ac:dyDescent="0.2">
      <c r="A12" s="4">
        <f t="shared" si="0"/>
        <v>12</v>
      </c>
      <c r="B12" s="375" t="s">
        <v>105</v>
      </c>
      <c r="C12" s="373" t="s">
        <v>40</v>
      </c>
      <c r="D12" s="374" t="s">
        <v>531</v>
      </c>
    </row>
    <row r="13" spans="1:4" ht="18" customHeight="1" x14ac:dyDescent="0.2">
      <c r="A13" s="4">
        <f t="shared" si="0"/>
        <v>13</v>
      </c>
      <c r="B13" s="372" t="s">
        <v>106</v>
      </c>
      <c r="C13" s="373"/>
      <c r="D13" s="376"/>
    </row>
    <row r="14" spans="1:4" ht="18" customHeight="1" x14ac:dyDescent="0.2">
      <c r="A14" s="4">
        <f t="shared" si="0"/>
        <v>14</v>
      </c>
      <c r="B14" s="375" t="s">
        <v>107</v>
      </c>
      <c r="C14" s="373"/>
      <c r="D14" s="376"/>
    </row>
    <row r="15" spans="1:4" ht="18" customHeight="1" x14ac:dyDescent="0.2">
      <c r="A15" s="4">
        <f t="shared" si="0"/>
        <v>15</v>
      </c>
      <c r="B15" s="375" t="s">
        <v>108</v>
      </c>
      <c r="C15" s="373"/>
      <c r="D15" s="376"/>
    </row>
    <row r="16" spans="1:4" ht="18" customHeight="1" x14ac:dyDescent="0.2">
      <c r="A16" s="4">
        <f t="shared" si="0"/>
        <v>16</v>
      </c>
    </row>
    <row r="17" spans="1:4" ht="18" customHeight="1" x14ac:dyDescent="0.2">
      <c r="A17" s="4">
        <f t="shared" si="0"/>
        <v>17</v>
      </c>
      <c r="B17" s="157" t="s">
        <v>331</v>
      </c>
      <c r="C17" s="18"/>
      <c r="D17" s="162"/>
    </row>
    <row r="18" spans="1:4" ht="18" hidden="1" customHeight="1" x14ac:dyDescent="0.2">
      <c r="B18" s="18"/>
      <c r="C18" s="18"/>
      <c r="D18" s="162"/>
    </row>
    <row r="19" spans="1:4" ht="18" hidden="1" customHeight="1" x14ac:dyDescent="0.2">
      <c r="B19" s="18"/>
      <c r="C19" s="18"/>
      <c r="D19" s="18"/>
    </row>
    <row r="20" spans="1:4" ht="18" hidden="1" customHeight="1" x14ac:dyDescent="0.2">
      <c r="B20" s="18"/>
      <c r="C20" s="18"/>
      <c r="D20" s="18"/>
    </row>
    <row r="21" spans="1:4" ht="15" hidden="1" customHeight="1" x14ac:dyDescent="0.2"/>
    <row r="22" spans="1:4" ht="15" hidden="1" customHeight="1" x14ac:dyDescent="0.2"/>
    <row r="23" spans="1:4" ht="15" hidden="1" customHeight="1" x14ac:dyDescent="0.2"/>
    <row r="24" spans="1:4" ht="15" hidden="1" customHeight="1" x14ac:dyDescent="0.2"/>
    <row r="25" spans="1:4" ht="15" hidden="1" customHeight="1" x14ac:dyDescent="0.2"/>
    <row r="26" spans="1:4" ht="15" hidden="1" customHeight="1" x14ac:dyDescent="0.2"/>
    <row r="27" spans="1:4" ht="15" hidden="1" customHeight="1" x14ac:dyDescent="0.2"/>
    <row r="28" spans="1:4" ht="15" hidden="1" customHeight="1" x14ac:dyDescent="0.2"/>
    <row r="29" spans="1:4" ht="15" hidden="1" customHeight="1" x14ac:dyDescent="0.2"/>
    <row r="30" spans="1:4" ht="15" hidden="1" customHeight="1" x14ac:dyDescent="0.2"/>
    <row r="31" spans="1:4" ht="15" hidden="1" customHeight="1" x14ac:dyDescent="0.2"/>
    <row r="32" spans="1:4" ht="15" hidden="1" customHeight="1" x14ac:dyDescent="0.2"/>
    <row r="33" ht="15" hidden="1" customHeight="1" x14ac:dyDescent="0.2"/>
    <row r="34" ht="15" hidden="1" customHeight="1" x14ac:dyDescent="0.2"/>
    <row r="35" ht="15" hidden="1" customHeight="1" x14ac:dyDescent="0.2"/>
    <row r="36" ht="15" hidden="1" customHeight="1" x14ac:dyDescent="0.2"/>
    <row r="37" ht="15" hidden="1" customHeight="1" x14ac:dyDescent="0.2"/>
    <row r="38" ht="15" hidden="1" customHeight="1" x14ac:dyDescent="0.2"/>
    <row r="39" ht="15" hidden="1" customHeight="1" x14ac:dyDescent="0.2"/>
    <row r="40" ht="15" hidden="1" customHeight="1" x14ac:dyDescent="0.2"/>
    <row r="41" ht="15" hidden="1" customHeight="1" x14ac:dyDescent="0.2"/>
    <row r="42" ht="15" hidden="1" customHeight="1" x14ac:dyDescent="0.2"/>
    <row r="43" ht="15" hidden="1" customHeight="1" x14ac:dyDescent="0.2"/>
    <row r="44" ht="15" hidden="1" customHeight="1" x14ac:dyDescent="0.2"/>
    <row r="45" ht="15" hidden="1" customHeight="1" x14ac:dyDescent="0.2"/>
    <row r="46" ht="15" hidden="1" customHeight="1" x14ac:dyDescent="0.2"/>
    <row r="47" ht="15" hidden="1" customHeight="1" x14ac:dyDescent="0.2"/>
    <row r="48" ht="15" hidden="1"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15" hidden="1" customHeight="1" x14ac:dyDescent="0.2"/>
    <row r="60" ht="15" hidden="1" customHeight="1" x14ac:dyDescent="0.2"/>
    <row r="61" ht="15" hidden="1" customHeight="1" x14ac:dyDescent="0.2"/>
    <row r="62" ht="15" hidden="1" customHeight="1" x14ac:dyDescent="0.2"/>
    <row r="63" ht="15" hidden="1" customHeight="1" x14ac:dyDescent="0.2"/>
    <row r="64"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row r="74" ht="15" hidden="1" customHeight="1" x14ac:dyDescent="0.2"/>
    <row r="75" ht="15" hidden="1" customHeight="1" x14ac:dyDescent="0.2"/>
    <row r="76" ht="15" hidden="1" customHeight="1" x14ac:dyDescent="0.2"/>
    <row r="77" ht="15" hidden="1" customHeight="1" x14ac:dyDescent="0.2"/>
    <row r="78" ht="15" hidden="1" customHeight="1" x14ac:dyDescent="0.2"/>
    <row r="79" ht="15" hidden="1" customHeight="1" x14ac:dyDescent="0.2"/>
    <row r="80"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sheetData>
  <phoneticPr fontId="0" type="noConversion"/>
  <printOptions horizontalCentered="1"/>
  <pageMargins left="0.25" right="0.25" top="1.5" bottom="1" header="1" footer="0.5"/>
  <pageSetup orientation="landscape" horizontalDpi="30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188"/>
  <sheetViews>
    <sheetView showGridLines="0" zoomScale="70" zoomScaleNormal="70" zoomScaleSheetLayoutView="85" workbookViewId="0">
      <selection activeCell="AB98" sqref="B84:AB98"/>
    </sheetView>
  </sheetViews>
  <sheetFormatPr defaultColWidth="0" defaultRowHeight="11.25" zeroHeight="1" x14ac:dyDescent="0.2"/>
  <cols>
    <col min="1" max="1" width="6.5703125" style="4" customWidth="1"/>
    <col min="2" max="2" width="43.140625" style="48" bestFit="1" customWidth="1"/>
    <col min="3" max="3" width="14.140625" style="8" customWidth="1"/>
    <col min="4" max="4" width="15.5703125" style="8" bestFit="1" customWidth="1"/>
    <col min="5" max="5" width="19" style="8" hidden="1" customWidth="1"/>
    <col min="6" max="6" width="18.85546875" style="8" hidden="1" customWidth="1"/>
    <col min="7" max="7" width="17.85546875" style="8" customWidth="1"/>
    <col min="8" max="8" width="17.5703125" style="8" bestFit="1" customWidth="1"/>
    <col min="9" max="9" width="15.140625" style="8" bestFit="1" customWidth="1"/>
    <col min="10" max="10" width="17.140625" style="8" customWidth="1"/>
    <col min="11" max="11" width="12.85546875" style="8" bestFit="1" customWidth="1"/>
    <col min="12" max="12" width="15.85546875" style="8" customWidth="1"/>
    <col min="13" max="13" width="12.85546875" style="8" bestFit="1" customWidth="1"/>
    <col min="14" max="14" width="14.5703125" style="8" bestFit="1" customWidth="1"/>
    <col min="15" max="15" width="15.85546875" style="8" customWidth="1"/>
    <col min="16" max="16" width="14.85546875" style="8" hidden="1" customWidth="1"/>
    <col min="17" max="17" width="15.85546875" style="8" hidden="1" customWidth="1"/>
    <col min="18" max="18" width="12.85546875" style="8" hidden="1" customWidth="1"/>
    <col min="19" max="19" width="15.85546875" style="8" hidden="1" customWidth="1"/>
    <col min="20" max="20" width="14.85546875" style="8" hidden="1" customWidth="1"/>
    <col min="21" max="21" width="15.85546875" style="8" hidden="1" customWidth="1"/>
    <col min="22" max="22" width="12.85546875" style="8" hidden="1" customWidth="1"/>
    <col min="23" max="23" width="14.85546875" style="8" hidden="1" customWidth="1"/>
    <col min="24" max="24" width="16.85546875" style="8" bestFit="1" customWidth="1"/>
    <col min="25" max="25" width="15.85546875" style="8" customWidth="1"/>
    <col min="26" max="26" width="12.85546875" style="8" bestFit="1" customWidth="1"/>
    <col min="27" max="27" width="16.85546875" style="8" bestFit="1" customWidth="1"/>
    <col min="28" max="28" width="12.140625" style="8" bestFit="1" customWidth="1"/>
    <col min="29" max="242" width="0" style="8" hidden="1"/>
    <col min="243" max="16384" width="9.140625" style="8" hidden="1"/>
  </cols>
  <sheetData>
    <row r="1" spans="1:242" s="4" customFormat="1" x14ac:dyDescent="0.2">
      <c r="A1" s="288" t="s">
        <v>543</v>
      </c>
      <c r="B1" s="4" t="s">
        <v>1</v>
      </c>
      <c r="C1" s="4" t="s">
        <v>2</v>
      </c>
      <c r="D1" s="4" t="s">
        <v>3</v>
      </c>
      <c r="E1" s="4" t="s">
        <v>4</v>
      </c>
      <c r="F1" s="4" t="s">
        <v>5</v>
      </c>
      <c r="G1" s="4" t="s">
        <v>6</v>
      </c>
      <c r="H1" s="4" t="s">
        <v>7</v>
      </c>
      <c r="I1" s="4" t="s">
        <v>8</v>
      </c>
      <c r="J1" s="4" t="s">
        <v>9</v>
      </c>
      <c r="K1" s="4" t="s">
        <v>10</v>
      </c>
      <c r="L1" s="4" t="s">
        <v>11</v>
      </c>
      <c r="M1" s="4" t="s">
        <v>12</v>
      </c>
      <c r="N1" s="4" t="s">
        <v>13</v>
      </c>
      <c r="O1" s="4" t="s">
        <v>68</v>
      </c>
      <c r="P1" s="4" t="s">
        <v>109</v>
      </c>
      <c r="Q1" s="4" t="s">
        <v>110</v>
      </c>
      <c r="R1" s="4" t="s">
        <v>111</v>
      </c>
      <c r="S1" s="4" t="s">
        <v>112</v>
      </c>
      <c r="T1" s="4" t="s">
        <v>113</v>
      </c>
      <c r="U1" s="4" t="s">
        <v>114</v>
      </c>
      <c r="V1" s="4" t="s">
        <v>115</v>
      </c>
      <c r="W1" s="4" t="s">
        <v>116</v>
      </c>
      <c r="X1" s="4" t="s">
        <v>40</v>
      </c>
      <c r="Y1" s="4" t="s">
        <v>117</v>
      </c>
      <c r="Z1" s="4" t="s">
        <v>118</v>
      </c>
      <c r="AA1" s="4" t="s">
        <v>119</v>
      </c>
      <c r="AB1" s="4" t="s">
        <v>120</v>
      </c>
    </row>
    <row r="2" spans="1:242" s="7" customFormat="1" ht="12.75" x14ac:dyDescent="0.2">
      <c r="A2" s="4"/>
      <c r="B2" s="206" t="s">
        <v>238</v>
      </c>
      <c r="C2" s="6"/>
      <c r="D2" s="6"/>
      <c r="E2" s="6"/>
      <c r="F2" s="6"/>
      <c r="G2" s="6"/>
      <c r="H2" s="6"/>
      <c r="I2" s="6"/>
      <c r="J2" s="5"/>
      <c r="K2" s="6"/>
      <c r="L2" s="6"/>
      <c r="M2" s="6"/>
      <c r="N2" s="6"/>
      <c r="O2" s="6"/>
      <c r="P2" s="5" t="s">
        <v>121</v>
      </c>
      <c r="Q2" s="6"/>
      <c r="R2" s="6"/>
      <c r="S2" s="6"/>
      <c r="T2" s="6"/>
      <c r="U2" s="6"/>
      <c r="V2" s="6"/>
      <c r="W2" s="6"/>
      <c r="X2" s="6"/>
      <c r="Y2" s="6"/>
      <c r="Z2" s="6"/>
      <c r="AA2" s="6"/>
      <c r="AB2" s="6"/>
    </row>
    <row r="3" spans="1:242" customFormat="1" ht="12.75" x14ac:dyDescent="0.2">
      <c r="A3" s="4"/>
      <c r="G3" s="212" t="s">
        <v>398</v>
      </c>
      <c r="H3" s="212" t="str">
        <f>'D1. Member Months'!G4</f>
        <v>California</v>
      </c>
      <c r="V3" t="s">
        <v>398</v>
      </c>
      <c r="W3" t="str">
        <f>'D1. Member Months'!G4</f>
        <v>California</v>
      </c>
    </row>
    <row r="4" spans="1:242" s="7" customFormat="1" ht="12.75" x14ac:dyDescent="0.2">
      <c r="A4" s="4"/>
      <c r="B4" s="377" t="s">
        <v>122</v>
      </c>
      <c r="C4" s="6"/>
      <c r="D4" s="6"/>
      <c r="E4" s="6"/>
      <c r="F4" s="6"/>
      <c r="G4" s="6"/>
      <c r="H4" s="6"/>
      <c r="I4" s="6"/>
      <c r="J4" s="5"/>
      <c r="K4" s="6"/>
      <c r="L4" s="6"/>
      <c r="M4" s="6"/>
      <c r="N4" s="6"/>
      <c r="O4" s="6"/>
      <c r="P4" s="5" t="s">
        <v>122</v>
      </c>
      <c r="Q4" s="6"/>
      <c r="R4" s="6"/>
      <c r="S4" s="6"/>
      <c r="T4" s="6"/>
      <c r="U4" s="6"/>
      <c r="V4" s="6"/>
      <c r="W4" s="6"/>
      <c r="X4" s="6"/>
      <c r="Y4" s="6"/>
      <c r="Z4" s="6"/>
      <c r="AA4" s="6"/>
      <c r="AB4" s="6"/>
    </row>
    <row r="5" spans="1:242" s="7" customFormat="1" ht="12.75" x14ac:dyDescent="0.2">
      <c r="A5" s="4"/>
      <c r="B5" s="153" t="s">
        <v>330</v>
      </c>
      <c r="C5" s="6"/>
      <c r="D5" s="6"/>
      <c r="E5" s="6"/>
      <c r="F5" s="6"/>
      <c r="G5" s="6"/>
      <c r="H5" s="6"/>
      <c r="I5" s="6"/>
      <c r="J5" s="5"/>
      <c r="K5" s="6"/>
      <c r="L5" s="6"/>
      <c r="M5" s="6"/>
      <c r="N5" s="6"/>
      <c r="O5" s="6"/>
      <c r="P5" s="5" t="s">
        <v>123</v>
      </c>
      <c r="Q5" s="6"/>
      <c r="R5" s="6"/>
      <c r="S5" s="6"/>
      <c r="T5" s="6"/>
      <c r="U5" s="6"/>
      <c r="V5" s="6"/>
      <c r="W5" s="6"/>
      <c r="X5" s="6"/>
      <c r="Y5" s="6"/>
      <c r="Z5" s="6"/>
      <c r="AA5" s="6"/>
      <c r="AB5" s="6"/>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row>
    <row r="6" spans="1:242" s="7" customFormat="1" ht="12.75" x14ac:dyDescent="0.2">
      <c r="A6" s="4"/>
      <c r="B6" s="157" t="s">
        <v>331</v>
      </c>
      <c r="C6" s="6"/>
      <c r="D6" s="6"/>
      <c r="E6" s="6"/>
      <c r="F6" s="6"/>
      <c r="G6" s="6"/>
      <c r="H6" s="6"/>
      <c r="I6" s="6"/>
      <c r="J6" s="46"/>
      <c r="K6" s="6"/>
      <c r="L6" s="6"/>
      <c r="M6" s="6"/>
      <c r="N6" s="6"/>
      <c r="O6" s="6"/>
      <c r="P6" s="46"/>
      <c r="Q6" s="6"/>
      <c r="R6" s="6"/>
      <c r="S6" s="6"/>
      <c r="T6" s="6"/>
      <c r="U6" s="6"/>
      <c r="V6" s="6"/>
      <c r="W6" s="6"/>
      <c r="X6" s="6"/>
      <c r="Y6" s="6"/>
      <c r="Z6" s="6"/>
      <c r="AA6" s="6"/>
      <c r="AB6" s="6"/>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c r="HC6" s="45"/>
      <c r="HD6" s="45"/>
      <c r="HE6" s="45"/>
      <c r="HF6" s="45"/>
      <c r="HG6" s="45"/>
      <c r="HH6" s="45"/>
      <c r="HI6" s="45"/>
      <c r="HJ6" s="45"/>
      <c r="HK6" s="45"/>
      <c r="HL6" s="45"/>
      <c r="HM6" s="45"/>
      <c r="HN6" s="45"/>
      <c r="HO6" s="45"/>
      <c r="HP6" s="45"/>
      <c r="HQ6" s="45"/>
      <c r="HR6" s="45"/>
      <c r="HS6" s="45"/>
      <c r="HT6" s="45"/>
      <c r="HU6" s="45"/>
      <c r="HV6" s="45"/>
      <c r="HW6" s="45"/>
      <c r="HX6" s="45"/>
      <c r="HY6" s="45"/>
      <c r="HZ6" s="45"/>
      <c r="IA6" s="45"/>
      <c r="IB6" s="45"/>
      <c r="IC6" s="45"/>
      <c r="ID6" s="45"/>
      <c r="IE6" s="45"/>
      <c r="IF6" s="45"/>
      <c r="IG6" s="45"/>
      <c r="IH6" s="45"/>
    </row>
    <row r="7" spans="1:242" ht="18" customHeight="1" thickBot="1" x14ac:dyDescent="0.25">
      <c r="B7" s="31"/>
      <c r="C7" s="47"/>
      <c r="D7" s="47"/>
      <c r="E7" s="47"/>
      <c r="F7" s="47"/>
      <c r="G7" s="47"/>
      <c r="H7" s="47"/>
      <c r="I7" s="47"/>
      <c r="J7" s="48"/>
      <c r="K7" s="48"/>
      <c r="L7" s="48"/>
      <c r="M7" s="48"/>
      <c r="N7" s="48"/>
      <c r="O7" s="48"/>
      <c r="P7" s="47"/>
      <c r="Q7" s="48"/>
      <c r="R7" s="48"/>
      <c r="S7" s="48"/>
      <c r="T7" s="47"/>
      <c r="U7" s="48"/>
      <c r="V7" s="48"/>
      <c r="W7" s="48"/>
      <c r="X7" s="47"/>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row>
    <row r="8" spans="1:242" s="50" customFormat="1" ht="18" customHeight="1" x14ac:dyDescent="0.2">
      <c r="A8" s="4"/>
      <c r="B8" s="378"/>
      <c r="C8" s="379"/>
      <c r="D8" s="380" t="s">
        <v>239</v>
      </c>
      <c r="E8" s="380"/>
      <c r="F8" s="380"/>
      <c r="G8" s="380"/>
      <c r="H8" s="381"/>
      <c r="I8" s="382" t="s">
        <v>221</v>
      </c>
      <c r="J8" s="382"/>
      <c r="K8" s="382"/>
      <c r="L8" s="382"/>
      <c r="M8" s="382"/>
      <c r="N8" s="382"/>
      <c r="O8" s="383"/>
      <c r="P8" s="382" t="s">
        <v>223</v>
      </c>
      <c r="Q8" s="382"/>
      <c r="R8" s="384"/>
      <c r="S8" s="385"/>
      <c r="T8" s="382" t="s">
        <v>225</v>
      </c>
      <c r="U8" s="382"/>
      <c r="V8" s="384"/>
      <c r="W8" s="385"/>
      <c r="X8" s="382" t="s">
        <v>227</v>
      </c>
      <c r="Y8" s="382"/>
      <c r="Z8" s="384"/>
      <c r="AA8" s="385"/>
      <c r="AB8" s="386"/>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row>
    <row r="9" spans="1:242" s="25" customFormat="1" ht="24" customHeight="1" x14ac:dyDescent="0.2">
      <c r="A9" s="4"/>
      <c r="B9" s="325" t="s">
        <v>72</v>
      </c>
      <c r="C9" s="326" t="s">
        <v>256</v>
      </c>
      <c r="D9" s="387"/>
      <c r="E9" s="328"/>
      <c r="F9" s="328"/>
      <c r="G9" s="328"/>
      <c r="H9" s="329"/>
      <c r="I9" s="327" t="s">
        <v>243</v>
      </c>
      <c r="J9" s="328" t="s">
        <v>78</v>
      </c>
      <c r="K9" s="328" t="s">
        <v>124</v>
      </c>
      <c r="L9" s="328" t="s">
        <v>125</v>
      </c>
      <c r="M9" s="328" t="s">
        <v>124</v>
      </c>
      <c r="N9" s="328" t="s">
        <v>126</v>
      </c>
      <c r="O9" s="388" t="s">
        <v>127</v>
      </c>
      <c r="P9" s="327" t="s">
        <v>243</v>
      </c>
      <c r="Q9" s="328" t="s">
        <v>128</v>
      </c>
      <c r="R9" s="328" t="s">
        <v>124</v>
      </c>
      <c r="S9" s="388" t="s">
        <v>127</v>
      </c>
      <c r="T9" s="327" t="s">
        <v>243</v>
      </c>
      <c r="U9" s="328" t="s">
        <v>129</v>
      </c>
      <c r="V9" s="328" t="s">
        <v>124</v>
      </c>
      <c r="W9" s="388" t="s">
        <v>127</v>
      </c>
      <c r="X9" s="327" t="s">
        <v>243</v>
      </c>
      <c r="Y9" s="328" t="s">
        <v>130</v>
      </c>
      <c r="Z9" s="328" t="s">
        <v>124</v>
      </c>
      <c r="AA9" s="388" t="s">
        <v>127</v>
      </c>
      <c r="AB9" s="389" t="s">
        <v>127</v>
      </c>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row>
    <row r="10" spans="1:242" s="25" customFormat="1" ht="18" customHeight="1" x14ac:dyDescent="0.2">
      <c r="A10" s="4"/>
      <c r="B10" s="325" t="s">
        <v>74</v>
      </c>
      <c r="C10" s="326" t="s">
        <v>257</v>
      </c>
      <c r="D10" s="390" t="s">
        <v>78</v>
      </c>
      <c r="E10" s="331" t="s">
        <v>81</v>
      </c>
      <c r="F10" s="331" t="s">
        <v>27</v>
      </c>
      <c r="G10" s="331" t="s">
        <v>82</v>
      </c>
      <c r="H10" s="326" t="s">
        <v>83</v>
      </c>
      <c r="I10" s="332" t="s">
        <v>78</v>
      </c>
      <c r="J10" s="331" t="s">
        <v>131</v>
      </c>
      <c r="K10" s="331" t="s">
        <v>132</v>
      </c>
      <c r="L10" s="331" t="s">
        <v>133</v>
      </c>
      <c r="M10" s="331" t="s">
        <v>134</v>
      </c>
      <c r="N10" s="331" t="s">
        <v>135</v>
      </c>
      <c r="O10" s="391" t="s">
        <v>136</v>
      </c>
      <c r="P10" s="332" t="s">
        <v>81</v>
      </c>
      <c r="Q10" s="331" t="s">
        <v>131</v>
      </c>
      <c r="R10" s="331" t="s">
        <v>132</v>
      </c>
      <c r="S10" s="326" t="s">
        <v>128</v>
      </c>
      <c r="T10" s="332" t="s">
        <v>27</v>
      </c>
      <c r="U10" s="331" t="s">
        <v>131</v>
      </c>
      <c r="V10" s="331" t="s">
        <v>132</v>
      </c>
      <c r="W10" s="326" t="s">
        <v>137</v>
      </c>
      <c r="X10" s="333" t="s">
        <v>82</v>
      </c>
      <c r="Y10" s="331" t="s">
        <v>131</v>
      </c>
      <c r="Z10" s="331" t="s">
        <v>132</v>
      </c>
      <c r="AA10" s="326" t="s">
        <v>138</v>
      </c>
      <c r="AB10" s="392" t="s">
        <v>139</v>
      </c>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row>
    <row r="11" spans="1:242" s="25" customFormat="1" ht="18" customHeight="1" x14ac:dyDescent="0.2">
      <c r="A11" s="4"/>
      <c r="B11" s="325"/>
      <c r="C11" s="393" t="s">
        <v>75</v>
      </c>
      <c r="D11" s="390" t="s">
        <v>141</v>
      </c>
      <c r="E11" s="331" t="s">
        <v>142</v>
      </c>
      <c r="F11" s="331" t="s">
        <v>141</v>
      </c>
      <c r="G11" s="331" t="s">
        <v>142</v>
      </c>
      <c r="H11" s="326" t="s">
        <v>143</v>
      </c>
      <c r="I11" s="332" t="s">
        <v>141</v>
      </c>
      <c r="J11" s="394" t="s">
        <v>144</v>
      </c>
      <c r="K11" s="331" t="s">
        <v>145</v>
      </c>
      <c r="L11" s="331" t="s">
        <v>146</v>
      </c>
      <c r="M11" s="331" t="s">
        <v>145</v>
      </c>
      <c r="N11" s="331" t="s">
        <v>147</v>
      </c>
      <c r="O11" s="391" t="s">
        <v>148</v>
      </c>
      <c r="P11" s="332" t="s">
        <v>142</v>
      </c>
      <c r="Q11" s="394" t="s">
        <v>144</v>
      </c>
      <c r="R11" s="331" t="s">
        <v>145</v>
      </c>
      <c r="S11" s="326" t="s">
        <v>149</v>
      </c>
      <c r="T11" s="332" t="s">
        <v>141</v>
      </c>
      <c r="U11" s="394" t="s">
        <v>144</v>
      </c>
      <c r="V11" s="331" t="s">
        <v>145</v>
      </c>
      <c r="W11" s="326" t="s">
        <v>148</v>
      </c>
      <c r="X11" s="333" t="s">
        <v>142</v>
      </c>
      <c r="Y11" s="394" t="s">
        <v>144</v>
      </c>
      <c r="Z11" s="331" t="s">
        <v>145</v>
      </c>
      <c r="AA11" s="326" t="s">
        <v>149</v>
      </c>
      <c r="AB11" s="392" t="s">
        <v>91</v>
      </c>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row>
    <row r="12" spans="1:242" ht="18" customHeight="1" x14ac:dyDescent="0.2">
      <c r="B12" s="395"/>
      <c r="C12" s="396" t="s">
        <v>84</v>
      </c>
      <c r="D12" s="397"/>
      <c r="E12" s="398"/>
      <c r="F12" s="398"/>
      <c r="G12" s="398"/>
      <c r="H12" s="399"/>
      <c r="I12" s="400" t="s">
        <v>196</v>
      </c>
      <c r="J12" s="401" t="s">
        <v>150</v>
      </c>
      <c r="K12" s="401" t="s">
        <v>151</v>
      </c>
      <c r="L12" s="401" t="s">
        <v>150</v>
      </c>
      <c r="M12" s="401" t="s">
        <v>211</v>
      </c>
      <c r="N12" s="401" t="s">
        <v>152</v>
      </c>
      <c r="O12" s="402" t="s">
        <v>153</v>
      </c>
      <c r="P12" s="400" t="s">
        <v>201</v>
      </c>
      <c r="Q12" s="401" t="s">
        <v>150</v>
      </c>
      <c r="R12" s="401" t="s">
        <v>154</v>
      </c>
      <c r="S12" s="402" t="s">
        <v>155</v>
      </c>
      <c r="T12" s="400" t="s">
        <v>200</v>
      </c>
      <c r="U12" s="401" t="s">
        <v>150</v>
      </c>
      <c r="V12" s="401" t="s">
        <v>199</v>
      </c>
      <c r="W12" s="402" t="s">
        <v>156</v>
      </c>
      <c r="X12" s="403" t="s">
        <v>198</v>
      </c>
      <c r="Y12" s="401" t="s">
        <v>150</v>
      </c>
      <c r="Z12" s="401" t="s">
        <v>157</v>
      </c>
      <c r="AA12" s="402" t="s">
        <v>158</v>
      </c>
      <c r="AB12" s="404" t="s">
        <v>169</v>
      </c>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row>
    <row r="13" spans="1:242" ht="18" customHeight="1" x14ac:dyDescent="0.2">
      <c r="B13" s="338" t="s">
        <v>519</v>
      </c>
      <c r="C13" s="405">
        <f>'D1. Member Months'!D10</f>
        <v>36779905</v>
      </c>
      <c r="D13" s="406">
        <f>'D3. Actual Waiver Cost'!K31</f>
        <v>466.42772087423748</v>
      </c>
      <c r="E13" s="407">
        <f>'D3. Actual Waiver Cost'!L31</f>
        <v>0</v>
      </c>
      <c r="F13" s="407">
        <f>'D3. Actual Waiver Cost'!M31</f>
        <v>0</v>
      </c>
      <c r="G13" s="407">
        <f>'D3. Actual Waiver Cost'!N31</f>
        <v>1.4131030320642723</v>
      </c>
      <c r="H13" s="408">
        <f>'D3. Actual Waiver Cost'!O31</f>
        <v>467.84082390630175</v>
      </c>
      <c r="I13" s="409">
        <f>D13</f>
        <v>466.42772087423748</v>
      </c>
      <c r="J13" s="410">
        <f>(1+Trend!$B$1)^3.5-1</f>
        <v>0.18423679349906963</v>
      </c>
      <c r="K13" s="407">
        <f>J13*I13</f>
        <v>85.93314769294858</v>
      </c>
      <c r="L13" s="410">
        <f>[1]Expenditures!$AS2</f>
        <v>-3.2294699161792999E-2</v>
      </c>
      <c r="M13" s="407">
        <f>(I13+K13)*(L13)</f>
        <v>-17.838328079123958</v>
      </c>
      <c r="N13" s="407">
        <f>K13+M13</f>
        <v>68.094819613824626</v>
      </c>
      <c r="O13" s="411">
        <f>I13+N13</f>
        <v>534.52254048806208</v>
      </c>
      <c r="P13" s="409">
        <f>E13</f>
        <v>0</v>
      </c>
      <c r="Q13" s="410">
        <v>0</v>
      </c>
      <c r="R13" s="407">
        <f>Q13*P13</f>
        <v>0</v>
      </c>
      <c r="S13" s="412">
        <f>P13+R13</f>
        <v>0</v>
      </c>
      <c r="T13" s="409">
        <f>F13</f>
        <v>0</v>
      </c>
      <c r="U13" s="413"/>
      <c r="V13" s="407">
        <f>U13*T13</f>
        <v>0</v>
      </c>
      <c r="W13" s="412">
        <f>T13+V13</f>
        <v>0</v>
      </c>
      <c r="X13" s="409">
        <f>G13</f>
        <v>1.4131030320642723</v>
      </c>
      <c r="Y13" s="410">
        <f>(1+Trend!$B$2)^3.5-1</f>
        <v>0.20170513177109295</v>
      </c>
      <c r="Z13" s="407">
        <f>Y13*X13</f>
        <v>0.28503013328865506</v>
      </c>
      <c r="AA13" s="412">
        <f>X13+Z13</f>
        <v>1.6981331653529275</v>
      </c>
      <c r="AB13" s="414">
        <f>AA13+W13+S13+O13</f>
        <v>536.22067365341502</v>
      </c>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row>
    <row r="14" spans="1:242" ht="18" customHeight="1" x14ac:dyDescent="0.2">
      <c r="B14" s="338" t="s">
        <v>525</v>
      </c>
      <c r="C14" s="405">
        <f>'D1. Member Months'!D11</f>
        <v>6866224</v>
      </c>
      <c r="D14" s="406">
        <f>'D3. Actual Waiver Cost'!K32</f>
        <v>480.66576702785216</v>
      </c>
      <c r="E14" s="407">
        <f>'D3. Actual Waiver Cost'!L32</f>
        <v>0</v>
      </c>
      <c r="F14" s="407">
        <f>'D3. Actual Waiver Cost'!M32</f>
        <v>0</v>
      </c>
      <c r="G14" s="407">
        <f>'D3. Actual Waiver Cost'!N32</f>
        <v>1.4562390321129675</v>
      </c>
      <c r="H14" s="408">
        <f>'D3. Actual Waiver Cost'!O32</f>
        <v>482.12200605996514</v>
      </c>
      <c r="I14" s="409">
        <f t="shared" ref="I14:I20" si="0">D14</f>
        <v>480.66576702785216</v>
      </c>
      <c r="J14" s="410">
        <f>(1+Trend!$B$1)^3.5-1</f>
        <v>0.18423679349906963</v>
      </c>
      <c r="K14" s="407">
        <f t="shared" ref="K14:K20" si="1">J14*I14</f>
        <v>88.556319661982315</v>
      </c>
      <c r="L14" s="410">
        <f>[1]Expenditures!$AS3</f>
        <v>1.5876359155468426E-2</v>
      </c>
      <c r="M14" s="407">
        <f t="shared" ref="M14:M20" si="2">(I14+K14)*(L14)</f>
        <v>9.037174287512995</v>
      </c>
      <c r="N14" s="407">
        <f t="shared" ref="N14:N20" si="3">K14+M14</f>
        <v>97.593493949495311</v>
      </c>
      <c r="O14" s="411">
        <f t="shared" ref="O14:O20" si="4">I14+N14</f>
        <v>578.25926097734748</v>
      </c>
      <c r="P14" s="409">
        <f t="shared" ref="P14:P20" si="5">E14</f>
        <v>0</v>
      </c>
      <c r="Q14" s="410">
        <v>0</v>
      </c>
      <c r="R14" s="407">
        <f t="shared" ref="R14:R20" si="6">Q14*P14</f>
        <v>0</v>
      </c>
      <c r="S14" s="412">
        <f t="shared" ref="S14:S20" si="7">P14+R14</f>
        <v>0</v>
      </c>
      <c r="T14" s="409">
        <f t="shared" ref="T14:T20" si="8">F14</f>
        <v>0</v>
      </c>
      <c r="U14" s="413"/>
      <c r="V14" s="407">
        <f t="shared" ref="V14:V20" si="9">U14*T14</f>
        <v>0</v>
      </c>
      <c r="W14" s="412">
        <f t="shared" ref="W14:W20" si="10">T14+V14</f>
        <v>0</v>
      </c>
      <c r="X14" s="409">
        <f t="shared" ref="X14:X20" si="11">G14</f>
        <v>1.4562390321129675</v>
      </c>
      <c r="Y14" s="410">
        <f>(1+Trend!$B$2)^3.5-1</f>
        <v>0.20170513177109295</v>
      </c>
      <c r="Z14" s="407">
        <f t="shared" ref="Z14:Z20" si="12">Y14*X14</f>
        <v>0.29373088586255497</v>
      </c>
      <c r="AA14" s="412">
        <f t="shared" ref="AA14:AA20" si="13">X14+Z14</f>
        <v>1.7499699179755224</v>
      </c>
      <c r="AB14" s="414">
        <f t="shared" ref="AB14:AB20" si="14">AA14+W14+S14+O14</f>
        <v>580.00923089532296</v>
      </c>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row>
    <row r="15" spans="1:242" ht="18" customHeight="1" x14ac:dyDescent="0.2">
      <c r="B15" s="338" t="s">
        <v>520</v>
      </c>
      <c r="C15" s="405">
        <f>'D1. Member Months'!D12</f>
        <v>1316547</v>
      </c>
      <c r="D15" s="406">
        <f>'D3. Actual Waiver Cost'!K33</f>
        <v>273.02700028719494</v>
      </c>
      <c r="E15" s="407">
        <f>'D3. Actual Waiver Cost'!L33</f>
        <v>0</v>
      </c>
      <c r="F15" s="407">
        <f>'D3. Actual Waiver Cost'!M33</f>
        <v>0</v>
      </c>
      <c r="G15" s="407">
        <f>'D3. Actual Waiver Cost'!N33</f>
        <v>0.82717056614496376</v>
      </c>
      <c r="H15" s="408">
        <f>'D3. Actual Waiver Cost'!O33</f>
        <v>273.85417085333989</v>
      </c>
      <c r="I15" s="409">
        <f t="shared" si="0"/>
        <v>273.02700028719494</v>
      </c>
      <c r="J15" s="410">
        <f>(1+Trend!$B$1)^3.5-1</f>
        <v>0.18423679349906963</v>
      </c>
      <c r="K15" s="407">
        <f t="shared" si="1"/>
        <v>50.301619071582358</v>
      </c>
      <c r="L15" s="410">
        <f>[1]Expenditures!$AS4</f>
        <v>5.4144317451937356E-3</v>
      </c>
      <c r="M15" s="407">
        <f t="shared" si="2"/>
        <v>1.7506407407858255</v>
      </c>
      <c r="N15" s="407">
        <f t="shared" si="3"/>
        <v>52.052259812368185</v>
      </c>
      <c r="O15" s="411">
        <f t="shared" si="4"/>
        <v>325.0792600995631</v>
      </c>
      <c r="P15" s="409">
        <f t="shared" si="5"/>
        <v>0</v>
      </c>
      <c r="Q15" s="410">
        <v>0</v>
      </c>
      <c r="R15" s="407">
        <f t="shared" si="6"/>
        <v>0</v>
      </c>
      <c r="S15" s="412">
        <f t="shared" si="7"/>
        <v>0</v>
      </c>
      <c r="T15" s="409">
        <f t="shared" si="8"/>
        <v>0</v>
      </c>
      <c r="U15" s="413"/>
      <c r="V15" s="407">
        <f t="shared" si="9"/>
        <v>0</v>
      </c>
      <c r="W15" s="412">
        <f t="shared" si="10"/>
        <v>0</v>
      </c>
      <c r="X15" s="409">
        <f t="shared" si="11"/>
        <v>0.82717056614496376</v>
      </c>
      <c r="Y15" s="410">
        <f>(1+Trend!$B$2)^3.5-1</f>
        <v>0.20170513177109295</v>
      </c>
      <c r="Z15" s="407">
        <f t="shared" si="12"/>
        <v>0.16684454804143947</v>
      </c>
      <c r="AA15" s="412">
        <f t="shared" si="13"/>
        <v>0.9940151141864032</v>
      </c>
      <c r="AB15" s="414">
        <f t="shared" si="14"/>
        <v>326.07327521374953</v>
      </c>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row>
    <row r="16" spans="1:242" ht="18" customHeight="1" x14ac:dyDescent="0.2">
      <c r="B16" s="338" t="s">
        <v>518</v>
      </c>
      <c r="C16" s="405">
        <f>'D1. Member Months'!D13</f>
        <v>54139905</v>
      </c>
      <c r="D16" s="406">
        <f>'D3. Actual Waiver Cost'!K34</f>
        <v>215.47438121871392</v>
      </c>
      <c r="E16" s="407">
        <f>'D3. Actual Waiver Cost'!L34</f>
        <v>0</v>
      </c>
      <c r="F16" s="407">
        <f>'D3. Actual Waiver Cost'!M34</f>
        <v>0</v>
      </c>
      <c r="G16" s="407">
        <f>'D3. Actual Waiver Cost'!N34</f>
        <v>0.65280747220947488</v>
      </c>
      <c r="H16" s="408">
        <f>'D3. Actual Waiver Cost'!O34</f>
        <v>216.12718869092339</v>
      </c>
      <c r="I16" s="409">
        <f t="shared" si="0"/>
        <v>215.47438121871392</v>
      </c>
      <c r="J16" s="410">
        <f>(1+Trend!$B$1)^3.5-1</f>
        <v>0.18423679349906963</v>
      </c>
      <c r="K16" s="407">
        <f t="shared" si="1"/>
        <v>39.698309076932006</v>
      </c>
      <c r="L16" s="410">
        <f>[1]Expenditures!$AS5</f>
        <v>3.7395417931973388E-2</v>
      </c>
      <c r="M16" s="407">
        <f t="shared" si="2"/>
        <v>9.5422893984316879</v>
      </c>
      <c r="N16" s="407">
        <f t="shared" si="3"/>
        <v>49.240598475363697</v>
      </c>
      <c r="O16" s="411">
        <f t="shared" si="4"/>
        <v>264.71497969407761</v>
      </c>
      <c r="P16" s="409">
        <f t="shared" si="5"/>
        <v>0</v>
      </c>
      <c r="Q16" s="410">
        <v>0</v>
      </c>
      <c r="R16" s="407">
        <f t="shared" si="6"/>
        <v>0</v>
      </c>
      <c r="S16" s="412">
        <f t="shared" si="7"/>
        <v>0</v>
      </c>
      <c r="T16" s="409">
        <f t="shared" si="8"/>
        <v>0</v>
      </c>
      <c r="U16" s="413"/>
      <c r="V16" s="407">
        <f t="shared" si="9"/>
        <v>0</v>
      </c>
      <c r="W16" s="412">
        <f t="shared" si="10"/>
        <v>0</v>
      </c>
      <c r="X16" s="409">
        <f t="shared" si="11"/>
        <v>0.65280747220947488</v>
      </c>
      <c r="Y16" s="410">
        <f>(1+Trend!$B$2)^3.5-1</f>
        <v>0.20170513177109295</v>
      </c>
      <c r="Z16" s="407">
        <f t="shared" si="12"/>
        <v>0.13167461720316623</v>
      </c>
      <c r="AA16" s="412">
        <f t="shared" si="13"/>
        <v>0.78448208941264108</v>
      </c>
      <c r="AB16" s="414">
        <f t="shared" si="14"/>
        <v>265.49946178349023</v>
      </c>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row>
    <row r="17" spans="1:242" ht="18" customHeight="1" x14ac:dyDescent="0.2">
      <c r="B17" s="338" t="s">
        <v>521</v>
      </c>
      <c r="C17" s="405">
        <f>'D1. Member Months'!D14</f>
        <v>994882</v>
      </c>
      <c r="D17" s="406">
        <f>'D3. Actual Waiver Cost'!K35</f>
        <v>210.2049497399764</v>
      </c>
      <c r="E17" s="407">
        <f>'D3. Actual Waiver Cost'!L35</f>
        <v>0</v>
      </c>
      <c r="F17" s="407">
        <f>'D3. Actual Waiver Cost'!M35</f>
        <v>0</v>
      </c>
      <c r="G17" s="407">
        <f>'D3. Actual Waiver Cost'!N35</f>
        <v>0.63684304885594401</v>
      </c>
      <c r="H17" s="408">
        <f>'D3. Actual Waiver Cost'!O35</f>
        <v>210.84179278883232</v>
      </c>
      <c r="I17" s="409">
        <f t="shared" si="0"/>
        <v>210.2049497399764</v>
      </c>
      <c r="J17" s="410">
        <f>(1+Trend!$B$1)^3.5-1</f>
        <v>0.18423679349906963</v>
      </c>
      <c r="K17" s="407">
        <f t="shared" si="1"/>
        <v>38.727485917726341</v>
      </c>
      <c r="L17" s="410">
        <f>[1]Expenditures!$AS6</f>
        <v>8.1730935664467028E-2</v>
      </c>
      <c r="M17" s="407">
        <f t="shared" si="2"/>
        <v>20.34548088353878</v>
      </c>
      <c r="N17" s="407">
        <f t="shared" si="3"/>
        <v>59.072966801265125</v>
      </c>
      <c r="O17" s="411">
        <f t="shared" si="4"/>
        <v>269.27791654124155</v>
      </c>
      <c r="P17" s="409">
        <f t="shared" si="5"/>
        <v>0</v>
      </c>
      <c r="Q17" s="410">
        <v>0</v>
      </c>
      <c r="R17" s="407">
        <f t="shared" si="6"/>
        <v>0</v>
      </c>
      <c r="S17" s="412">
        <f t="shared" si="7"/>
        <v>0</v>
      </c>
      <c r="T17" s="409">
        <f t="shared" si="8"/>
        <v>0</v>
      </c>
      <c r="U17" s="413"/>
      <c r="V17" s="407">
        <f t="shared" si="9"/>
        <v>0</v>
      </c>
      <c r="W17" s="412">
        <f t="shared" si="10"/>
        <v>0</v>
      </c>
      <c r="X17" s="409">
        <f t="shared" si="11"/>
        <v>0.63684304885594401</v>
      </c>
      <c r="Y17" s="410">
        <f>(1+Trend!$B$2)^3.5-1</f>
        <v>0.20170513177109295</v>
      </c>
      <c r="Z17" s="407">
        <f t="shared" si="12"/>
        <v>0.12845451108699277</v>
      </c>
      <c r="AA17" s="412">
        <f t="shared" si="13"/>
        <v>0.7652975599429368</v>
      </c>
      <c r="AB17" s="414">
        <f t="shared" si="14"/>
        <v>270.0432141011845</v>
      </c>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row>
    <row r="18" spans="1:242" ht="18" customHeight="1" x14ac:dyDescent="0.2">
      <c r="B18" s="338" t="s">
        <v>516</v>
      </c>
      <c r="C18" s="405">
        <f>'D1. Member Months'!D15</f>
        <v>14869740</v>
      </c>
      <c r="D18" s="406">
        <f>'D3. Actual Waiver Cost'!K36</f>
        <v>146.98318386485101</v>
      </c>
      <c r="E18" s="407">
        <f>'D3. Actual Waiver Cost'!L36</f>
        <v>0</v>
      </c>
      <c r="F18" s="407">
        <f>'D3. Actual Waiver Cost'!M36</f>
        <v>0</v>
      </c>
      <c r="G18" s="407">
        <f>'D3. Actual Waiver Cost'!N36</f>
        <v>0.44530454234705313</v>
      </c>
      <c r="H18" s="408">
        <f>'D3. Actual Waiver Cost'!O36</f>
        <v>147.42848840719807</v>
      </c>
      <c r="I18" s="409">
        <f t="shared" si="0"/>
        <v>146.98318386485101</v>
      </c>
      <c r="J18" s="410">
        <f>(1+Trend!$B$1)^3.5-1</f>
        <v>0.18423679349906963</v>
      </c>
      <c r="K18" s="407">
        <f t="shared" si="1"/>
        <v>27.07971049354434</v>
      </c>
      <c r="L18" s="410">
        <f>[1]Expenditures!$AS7</f>
        <v>7.2032297509230597E-2</v>
      </c>
      <c r="M18" s="407">
        <f t="shared" si="2"/>
        <v>12.538150191741709</v>
      </c>
      <c r="N18" s="407">
        <f t="shared" si="3"/>
        <v>39.617860685286047</v>
      </c>
      <c r="O18" s="411">
        <f t="shared" si="4"/>
        <v>186.60104455013706</v>
      </c>
      <c r="P18" s="409">
        <f t="shared" si="5"/>
        <v>0</v>
      </c>
      <c r="Q18" s="410">
        <v>0</v>
      </c>
      <c r="R18" s="407">
        <f t="shared" si="6"/>
        <v>0</v>
      </c>
      <c r="S18" s="412">
        <f t="shared" si="7"/>
        <v>0</v>
      </c>
      <c r="T18" s="409">
        <f t="shared" si="8"/>
        <v>0</v>
      </c>
      <c r="U18" s="413"/>
      <c r="V18" s="407">
        <f t="shared" si="9"/>
        <v>0</v>
      </c>
      <c r="W18" s="412">
        <f t="shared" si="10"/>
        <v>0</v>
      </c>
      <c r="X18" s="409">
        <f t="shared" si="11"/>
        <v>0.44530454234705313</v>
      </c>
      <c r="Y18" s="410">
        <f>(1+Trend!$B$2)^3.5-1</f>
        <v>0.20170513177109295</v>
      </c>
      <c r="Z18" s="407">
        <f t="shared" si="12"/>
        <v>8.9820211392378599E-2</v>
      </c>
      <c r="AA18" s="412">
        <f t="shared" si="13"/>
        <v>0.53512475373943169</v>
      </c>
      <c r="AB18" s="414">
        <f t="shared" si="14"/>
        <v>187.1361693038765</v>
      </c>
    </row>
    <row r="19" spans="1:242" ht="18" customHeight="1" x14ac:dyDescent="0.2">
      <c r="B19" s="346" t="s">
        <v>517</v>
      </c>
      <c r="C19" s="405">
        <f>'D1. Member Months'!D16</f>
        <v>9108336</v>
      </c>
      <c r="D19" s="406">
        <f>'D3. Actual Waiver Cost'!K37</f>
        <v>1182.4232082941746</v>
      </c>
      <c r="E19" s="407">
        <f>'D3. Actual Waiver Cost'!L37</f>
        <v>0</v>
      </c>
      <c r="F19" s="407">
        <f>'D3. Actual Waiver Cost'!M37</f>
        <v>0</v>
      </c>
      <c r="G19" s="407">
        <f>'D3. Actual Waiver Cost'!N37</f>
        <v>3.5823038512631249</v>
      </c>
      <c r="H19" s="408">
        <f>'D3. Actual Waiver Cost'!O37</f>
        <v>1186.0055121454379</v>
      </c>
      <c r="I19" s="409">
        <f t="shared" si="0"/>
        <v>1182.4232082941746</v>
      </c>
      <c r="J19" s="410">
        <f>(1+Trend!$B$1)^3.5-1</f>
        <v>0.18423679349906963</v>
      </c>
      <c r="K19" s="407">
        <f t="shared" si="1"/>
        <v>217.84586045500126</v>
      </c>
      <c r="L19" s="410">
        <f>[1]Expenditures!$AS8</f>
        <v>-5.9991671247615265E-2</v>
      </c>
      <c r="M19" s="407">
        <f t="shared" si="2"/>
        <v>-84.004481630604943</v>
      </c>
      <c r="N19" s="407">
        <f t="shared" si="3"/>
        <v>133.84137882439632</v>
      </c>
      <c r="O19" s="411">
        <f t="shared" si="4"/>
        <v>1316.2645871185709</v>
      </c>
      <c r="P19" s="409">
        <f t="shared" si="5"/>
        <v>0</v>
      </c>
      <c r="Q19" s="410">
        <v>0</v>
      </c>
      <c r="R19" s="407">
        <f t="shared" si="6"/>
        <v>0</v>
      </c>
      <c r="S19" s="412">
        <f t="shared" si="7"/>
        <v>0</v>
      </c>
      <c r="T19" s="409">
        <f t="shared" si="8"/>
        <v>0</v>
      </c>
      <c r="U19" s="415"/>
      <c r="V19" s="407">
        <f t="shared" si="9"/>
        <v>0</v>
      </c>
      <c r="W19" s="412">
        <f t="shared" si="10"/>
        <v>0</v>
      </c>
      <c r="X19" s="409">
        <f t="shared" si="11"/>
        <v>3.5823038512631249</v>
      </c>
      <c r="Y19" s="410">
        <f>(1+Trend!$B$2)^3.5-1</f>
        <v>0.20170513177109295</v>
      </c>
      <c r="Z19" s="407">
        <f t="shared" si="12"/>
        <v>0.72256907036312235</v>
      </c>
      <c r="AA19" s="412">
        <f t="shared" si="13"/>
        <v>4.3048729216262469</v>
      </c>
      <c r="AB19" s="414">
        <f t="shared" si="14"/>
        <v>1320.5694600401971</v>
      </c>
    </row>
    <row r="20" spans="1:242" ht="18" customHeight="1" thickBot="1" x14ac:dyDescent="0.25">
      <c r="B20" s="348" t="s">
        <v>522</v>
      </c>
      <c r="C20" s="416">
        <f>'D1. Member Months'!D17</f>
        <v>3415064</v>
      </c>
      <c r="D20" s="417">
        <f>'D3. Actual Waiver Cost'!K38</f>
        <v>354.54823505238249</v>
      </c>
      <c r="E20" s="418">
        <f>'D3. Actual Waiver Cost'!L38</f>
        <v>0</v>
      </c>
      <c r="F20" s="418">
        <f>'D3. Actual Waiver Cost'!M38</f>
        <v>0</v>
      </c>
      <c r="G20" s="418">
        <f>'D3. Actual Waiver Cost'!N38</f>
        <v>1.0741496775245178</v>
      </c>
      <c r="H20" s="419">
        <f>'D3. Actual Waiver Cost'!O38</f>
        <v>355.62238472990697</v>
      </c>
      <c r="I20" s="420">
        <f t="shared" si="0"/>
        <v>354.54823505238249</v>
      </c>
      <c r="J20" s="421">
        <f>(1+Trend!$B$1)^3.5-1</f>
        <v>0.18423679349906963</v>
      </c>
      <c r="K20" s="418">
        <f t="shared" si="1"/>
        <v>65.320829966805391</v>
      </c>
      <c r="L20" s="421">
        <f>[1]Expenditures!$AS9</f>
        <v>7.3787477166260607E-2</v>
      </c>
      <c r="M20" s="418">
        <f t="shared" si="2"/>
        <v>30.981079047922513</v>
      </c>
      <c r="N20" s="418">
        <f t="shared" si="3"/>
        <v>96.301909014727897</v>
      </c>
      <c r="O20" s="422">
        <f t="shared" si="4"/>
        <v>450.85014406711036</v>
      </c>
      <c r="P20" s="420">
        <f t="shared" si="5"/>
        <v>0</v>
      </c>
      <c r="Q20" s="421">
        <v>0</v>
      </c>
      <c r="R20" s="418">
        <f t="shared" si="6"/>
        <v>0</v>
      </c>
      <c r="S20" s="423">
        <f t="shared" si="7"/>
        <v>0</v>
      </c>
      <c r="T20" s="420">
        <f t="shared" si="8"/>
        <v>0</v>
      </c>
      <c r="U20" s="424"/>
      <c r="V20" s="418">
        <f t="shared" si="9"/>
        <v>0</v>
      </c>
      <c r="W20" s="423">
        <f t="shared" si="10"/>
        <v>0</v>
      </c>
      <c r="X20" s="420">
        <f t="shared" si="11"/>
        <v>1.0741496775245178</v>
      </c>
      <c r="Y20" s="421">
        <f>(1+Trend!$B$2)^3.5-1</f>
        <v>0.20170513177109295</v>
      </c>
      <c r="Z20" s="418">
        <f t="shared" si="12"/>
        <v>0.21666150224695988</v>
      </c>
      <c r="AA20" s="423">
        <f t="shared" si="13"/>
        <v>1.2908111797714776</v>
      </c>
      <c r="AB20" s="425">
        <f t="shared" si="14"/>
        <v>452.14095524688184</v>
      </c>
    </row>
    <row r="21" spans="1:242" s="50" customFormat="1" ht="18" customHeight="1" thickTop="1" x14ac:dyDescent="0.2">
      <c r="A21" s="4"/>
      <c r="B21" s="426" t="s">
        <v>159</v>
      </c>
      <c r="C21" s="234">
        <f>SUM(C13:C20)</f>
        <v>127490603</v>
      </c>
      <c r="D21" s="427"/>
      <c r="E21" s="428"/>
      <c r="F21" s="428"/>
      <c r="G21" s="428"/>
      <c r="H21" s="429"/>
      <c r="I21" s="232"/>
      <c r="J21" s="428"/>
      <c r="K21" s="428"/>
      <c r="L21" s="428"/>
      <c r="M21" s="430"/>
      <c r="N21" s="431"/>
      <c r="O21" s="432"/>
      <c r="P21" s="232"/>
      <c r="Q21" s="428"/>
      <c r="R21" s="433"/>
      <c r="S21" s="434"/>
      <c r="T21" s="232"/>
      <c r="U21" s="435"/>
      <c r="V21" s="433"/>
      <c r="W21" s="434"/>
      <c r="X21" s="232"/>
      <c r="Y21" s="428"/>
      <c r="Z21" s="433"/>
      <c r="AA21" s="434"/>
      <c r="AB21" s="436"/>
    </row>
    <row r="22" spans="1:242" s="50" customFormat="1" ht="18" customHeight="1" thickBot="1" x14ac:dyDescent="0.25">
      <c r="A22" s="4"/>
      <c r="B22" s="437" t="s">
        <v>325</v>
      </c>
      <c r="C22" s="438"/>
      <c r="D22" s="439">
        <f>'D3. Actual Waiver Cost'!K40</f>
        <v>367.52657867897983</v>
      </c>
      <c r="E22" s="440">
        <f>'D3. Actual Waiver Cost'!L40</f>
        <v>0</v>
      </c>
      <c r="F22" s="440">
        <f>'D3. Actual Waiver Cost'!M40</f>
        <v>0</v>
      </c>
      <c r="G22" s="440">
        <f>'D3. Actual Waiver Cost'!N40</f>
        <v>1.113469246043177</v>
      </c>
      <c r="H22" s="441">
        <f>'D3. Actual Waiver Cost'!O40</f>
        <v>368.640047925023</v>
      </c>
      <c r="I22" s="442">
        <f>D22</f>
        <v>367.52657867897983</v>
      </c>
      <c r="J22" s="443">
        <f>IF(I22=0,0,K22/I22)</f>
        <v>0.1842367934990696</v>
      </c>
      <c r="K22" s="440">
        <f>SUMPRODUCT(K13:K20,$C$13:$C$20)/$C$21</f>
        <v>67.711918381498762</v>
      </c>
      <c r="L22" s="443">
        <f>M22/(I22+K22)</f>
        <v>-9.5113864731101727E-3</v>
      </c>
      <c r="M22" s="440">
        <f>SUMPRODUCT(M13:M20,$C$13:$C$20)/$C$21</f>
        <v>-4.1397215535178375</v>
      </c>
      <c r="N22" s="440">
        <f>K22+M22</f>
        <v>63.572196827980925</v>
      </c>
      <c r="O22" s="444">
        <f>I22+N22</f>
        <v>431.09877550696075</v>
      </c>
      <c r="P22" s="442">
        <f>E22</f>
        <v>0</v>
      </c>
      <c r="Q22" s="443">
        <f>IF(P22=0,0,R22/P22)</f>
        <v>0</v>
      </c>
      <c r="R22" s="440">
        <f>SUMPRODUCT(R13:R20,$C$13:$C$20)/$C$21</f>
        <v>0</v>
      </c>
      <c r="S22" s="445">
        <f>P22+R22</f>
        <v>0</v>
      </c>
      <c r="T22" s="442">
        <f>F22</f>
        <v>0</v>
      </c>
      <c r="U22" s="446">
        <f>IF(T22=0,0,V22/T22)</f>
        <v>0</v>
      </c>
      <c r="V22" s="440">
        <f>SUMPRODUCT(V13:V20,$C$13:$C$20)/$C$21</f>
        <v>0</v>
      </c>
      <c r="W22" s="445">
        <f>V22+T22</f>
        <v>0</v>
      </c>
      <c r="X22" s="442">
        <f>G22</f>
        <v>1.113469246043177</v>
      </c>
      <c r="Y22" s="443">
        <f>IF(X22=0,0,Z22/X22)</f>
        <v>0.20170513177109298</v>
      </c>
      <c r="Z22" s="440">
        <f>SUMPRODUCT(Z13:Z20,$C$13:$C$20)/$C$21</f>
        <v>0.22459246099619856</v>
      </c>
      <c r="AA22" s="445">
        <f>Z22+X22</f>
        <v>1.3380617070393757</v>
      </c>
      <c r="AB22" s="447">
        <f>AA22+W22+S22+O22</f>
        <v>432.43683721400015</v>
      </c>
    </row>
    <row r="23" spans="1:242" x14ac:dyDescent="0.2">
      <c r="B23" s="56"/>
      <c r="C23" s="204" t="s">
        <v>229</v>
      </c>
      <c r="D23" s="204"/>
      <c r="E23" s="204"/>
      <c r="F23" s="204"/>
      <c r="G23" s="204"/>
      <c r="H23" s="204"/>
      <c r="I23" s="204"/>
      <c r="J23" s="204"/>
      <c r="K23" s="204"/>
      <c r="L23" s="204"/>
      <c r="M23" s="204"/>
      <c r="N23" s="204"/>
      <c r="O23" s="204"/>
      <c r="P23" s="57"/>
      <c r="Q23" s="54"/>
      <c r="R23" s="54"/>
      <c r="S23" s="54"/>
      <c r="T23" s="58"/>
      <c r="U23" s="54"/>
      <c r="V23" s="54"/>
      <c r="W23" s="54"/>
      <c r="X23" s="58"/>
      <c r="Y23" s="54"/>
      <c r="Z23" s="54"/>
      <c r="AA23" s="54"/>
      <c r="AB23" s="55"/>
    </row>
    <row r="24" spans="1:242" x14ac:dyDescent="0.2">
      <c r="B24" s="56"/>
      <c r="C24" s="8" t="s">
        <v>230</v>
      </c>
      <c r="P24" s="57"/>
      <c r="Q24" s="54"/>
      <c r="R24" s="54"/>
      <c r="S24" s="54"/>
      <c r="T24" s="58"/>
      <c r="U24" s="54"/>
      <c r="V24" s="54"/>
      <c r="W24" s="54"/>
      <c r="X24" s="58"/>
      <c r="Y24" s="54"/>
      <c r="Z24" s="54"/>
      <c r="AA24" s="54"/>
      <c r="AB24" s="55"/>
    </row>
    <row r="25" spans="1:242" ht="12" thickBot="1" x14ac:dyDescent="0.25">
      <c r="B25" s="56"/>
      <c r="C25" s="204" t="s">
        <v>202</v>
      </c>
      <c r="D25" s="204"/>
      <c r="E25" s="204"/>
      <c r="F25" s="204"/>
      <c r="G25" s="204"/>
      <c r="H25" s="204"/>
      <c r="I25" s="204"/>
      <c r="J25" s="204"/>
      <c r="K25" s="204"/>
      <c r="L25" s="204"/>
      <c r="M25" s="204"/>
      <c r="N25" s="204"/>
      <c r="O25" s="204"/>
      <c r="P25" s="57"/>
      <c r="Q25" s="54"/>
      <c r="R25" s="54"/>
      <c r="S25" s="54"/>
      <c r="T25" s="58"/>
      <c r="U25" s="54"/>
      <c r="V25" s="54"/>
      <c r="W25" s="54"/>
      <c r="X25" s="58"/>
      <c r="Y25" s="54"/>
      <c r="Z25" s="54"/>
      <c r="AA25" s="54"/>
      <c r="AB25" s="55"/>
    </row>
    <row r="26" spans="1:242" ht="18" customHeight="1" thickBot="1" x14ac:dyDescent="0.25">
      <c r="B26" s="59"/>
      <c r="C26" s="60"/>
      <c r="D26" s="60"/>
      <c r="E26" s="61"/>
      <c r="F26" s="9"/>
      <c r="G26" s="9"/>
      <c r="H26" s="9"/>
      <c r="I26" s="60"/>
      <c r="K26" s="52"/>
      <c r="L26" s="53"/>
      <c r="M26" s="54"/>
      <c r="P26" s="61"/>
      <c r="T26" s="9"/>
      <c r="X26" s="9"/>
      <c r="Y26" s="54"/>
      <c r="Z26" s="54"/>
      <c r="AA26" s="54"/>
    </row>
    <row r="27" spans="1:242" s="50" customFormat="1" ht="18" customHeight="1" x14ac:dyDescent="0.2">
      <c r="A27" s="4"/>
      <c r="B27" s="378"/>
      <c r="C27" s="379"/>
      <c r="D27" s="380" t="s">
        <v>160</v>
      </c>
      <c r="E27" s="380"/>
      <c r="F27" s="380"/>
      <c r="G27" s="380"/>
      <c r="H27" s="381"/>
      <c r="I27" s="382" t="s">
        <v>222</v>
      </c>
      <c r="J27" s="382"/>
      <c r="K27" s="382"/>
      <c r="L27" s="382"/>
      <c r="M27" s="382"/>
      <c r="N27" s="382"/>
      <c r="O27" s="383"/>
      <c r="P27" s="382" t="s">
        <v>224</v>
      </c>
      <c r="Q27" s="382"/>
      <c r="R27" s="384"/>
      <c r="S27" s="385"/>
      <c r="T27" s="382" t="s">
        <v>226</v>
      </c>
      <c r="U27" s="382"/>
      <c r="V27" s="384"/>
      <c r="W27" s="385"/>
      <c r="X27" s="382" t="s">
        <v>228</v>
      </c>
      <c r="Y27" s="382"/>
      <c r="Z27" s="384"/>
      <c r="AA27" s="385"/>
      <c r="AB27" s="386"/>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row>
    <row r="28" spans="1:242" s="25" customFormat="1" ht="22.5" x14ac:dyDescent="0.2">
      <c r="A28" s="4"/>
      <c r="B28" s="325" t="s">
        <v>72</v>
      </c>
      <c r="C28" s="326" t="s">
        <v>256</v>
      </c>
      <c r="D28" s="387" t="s">
        <v>161</v>
      </c>
      <c r="E28" s="328" t="s">
        <v>161</v>
      </c>
      <c r="F28" s="328" t="s">
        <v>161</v>
      </c>
      <c r="G28" s="328" t="s">
        <v>161</v>
      </c>
      <c r="H28" s="329" t="s">
        <v>161</v>
      </c>
      <c r="I28" s="327" t="s">
        <v>161</v>
      </c>
      <c r="J28" s="328" t="s">
        <v>78</v>
      </c>
      <c r="K28" s="328" t="s">
        <v>124</v>
      </c>
      <c r="L28" s="328" t="s">
        <v>125</v>
      </c>
      <c r="M28" s="328" t="s">
        <v>124</v>
      </c>
      <c r="N28" s="328" t="s">
        <v>126</v>
      </c>
      <c r="O28" s="388" t="s">
        <v>162</v>
      </c>
      <c r="P28" s="327" t="s">
        <v>161</v>
      </c>
      <c r="Q28" s="328" t="s">
        <v>128</v>
      </c>
      <c r="R28" s="328" t="s">
        <v>124</v>
      </c>
      <c r="S28" s="388" t="s">
        <v>162</v>
      </c>
      <c r="T28" s="327" t="s">
        <v>161</v>
      </c>
      <c r="U28" s="328" t="s">
        <v>129</v>
      </c>
      <c r="V28" s="328" t="s">
        <v>124</v>
      </c>
      <c r="W28" s="388" t="s">
        <v>162</v>
      </c>
      <c r="X28" s="448" t="s">
        <v>161</v>
      </c>
      <c r="Y28" s="328" t="s">
        <v>130</v>
      </c>
      <c r="Z28" s="328" t="s">
        <v>124</v>
      </c>
      <c r="AA28" s="388" t="s">
        <v>162</v>
      </c>
      <c r="AB28" s="389" t="s">
        <v>162</v>
      </c>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row>
    <row r="29" spans="1:242" s="25" customFormat="1" ht="18" customHeight="1" x14ac:dyDescent="0.2">
      <c r="A29" s="4"/>
      <c r="B29" s="325" t="s">
        <v>74</v>
      </c>
      <c r="C29" s="326" t="s">
        <v>257</v>
      </c>
      <c r="D29" s="390" t="s">
        <v>78</v>
      </c>
      <c r="E29" s="331" t="s">
        <v>81</v>
      </c>
      <c r="F29" s="331" t="s">
        <v>27</v>
      </c>
      <c r="G29" s="331" t="s">
        <v>82</v>
      </c>
      <c r="H29" s="326" t="s">
        <v>83</v>
      </c>
      <c r="I29" s="332" t="s">
        <v>136</v>
      </c>
      <c r="J29" s="331" t="s">
        <v>131</v>
      </c>
      <c r="K29" s="331" t="s">
        <v>132</v>
      </c>
      <c r="L29" s="331" t="s">
        <v>133</v>
      </c>
      <c r="M29" s="331" t="s">
        <v>134</v>
      </c>
      <c r="N29" s="331" t="s">
        <v>135</v>
      </c>
      <c r="O29" s="391" t="s">
        <v>136</v>
      </c>
      <c r="P29" s="332" t="s">
        <v>128</v>
      </c>
      <c r="Q29" s="331" t="s">
        <v>131</v>
      </c>
      <c r="R29" s="331" t="s">
        <v>132</v>
      </c>
      <c r="S29" s="326" t="s">
        <v>128</v>
      </c>
      <c r="T29" s="332" t="s">
        <v>137</v>
      </c>
      <c r="U29" s="331" t="s">
        <v>131</v>
      </c>
      <c r="V29" s="331" t="s">
        <v>132</v>
      </c>
      <c r="W29" s="326" t="s">
        <v>137</v>
      </c>
      <c r="X29" s="333" t="s">
        <v>138</v>
      </c>
      <c r="Y29" s="331" t="s">
        <v>131</v>
      </c>
      <c r="Z29" s="331" t="s">
        <v>132</v>
      </c>
      <c r="AA29" s="326" t="s">
        <v>138</v>
      </c>
      <c r="AB29" s="392" t="s">
        <v>139</v>
      </c>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row>
    <row r="30" spans="1:242" s="25" customFormat="1" ht="18" customHeight="1" x14ac:dyDescent="0.2">
      <c r="A30" s="4"/>
      <c r="B30" s="325"/>
      <c r="C30" s="393" t="s">
        <v>75</v>
      </c>
      <c r="D30" s="390" t="s">
        <v>87</v>
      </c>
      <c r="E30" s="331" t="s">
        <v>87</v>
      </c>
      <c r="F30" s="331" t="s">
        <v>87</v>
      </c>
      <c r="G30" s="331" t="s">
        <v>87</v>
      </c>
      <c r="H30" s="326" t="s">
        <v>231</v>
      </c>
      <c r="I30" s="332" t="s">
        <v>148</v>
      </c>
      <c r="J30" s="394" t="s">
        <v>164</v>
      </c>
      <c r="K30" s="331" t="s">
        <v>145</v>
      </c>
      <c r="L30" s="331" t="s">
        <v>146</v>
      </c>
      <c r="M30" s="331" t="s">
        <v>145</v>
      </c>
      <c r="N30" s="331" t="s">
        <v>147</v>
      </c>
      <c r="O30" s="391" t="s">
        <v>148</v>
      </c>
      <c r="P30" s="332" t="s">
        <v>149</v>
      </c>
      <c r="Q30" s="394" t="s">
        <v>164</v>
      </c>
      <c r="R30" s="331" t="s">
        <v>145</v>
      </c>
      <c r="S30" s="326" t="s">
        <v>149</v>
      </c>
      <c r="T30" s="332" t="s">
        <v>148</v>
      </c>
      <c r="U30" s="394" t="s">
        <v>164</v>
      </c>
      <c r="V30" s="331" t="s">
        <v>145</v>
      </c>
      <c r="W30" s="326" t="s">
        <v>148</v>
      </c>
      <c r="X30" s="333" t="s">
        <v>149</v>
      </c>
      <c r="Y30" s="394" t="s">
        <v>164</v>
      </c>
      <c r="Z30" s="331" t="s">
        <v>145</v>
      </c>
      <c r="AA30" s="326" t="s">
        <v>149</v>
      </c>
      <c r="AB30" s="392" t="s">
        <v>91</v>
      </c>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row>
    <row r="31" spans="1:242" ht="18" customHeight="1" x14ac:dyDescent="0.2">
      <c r="B31" s="395"/>
      <c r="C31" s="396" t="s">
        <v>84</v>
      </c>
      <c r="D31" s="397" t="s">
        <v>165</v>
      </c>
      <c r="E31" s="398" t="s">
        <v>166</v>
      </c>
      <c r="F31" s="398" t="s">
        <v>197</v>
      </c>
      <c r="G31" s="398" t="s">
        <v>167</v>
      </c>
      <c r="H31" s="399" t="s">
        <v>168</v>
      </c>
      <c r="I31" s="400" t="s">
        <v>319</v>
      </c>
      <c r="J31" s="401" t="s">
        <v>150</v>
      </c>
      <c r="K31" s="401" t="s">
        <v>151</v>
      </c>
      <c r="L31" s="401" t="s">
        <v>150</v>
      </c>
      <c r="M31" s="401" t="s">
        <v>211</v>
      </c>
      <c r="N31" s="401" t="s">
        <v>152</v>
      </c>
      <c r="O31" s="402" t="s">
        <v>153</v>
      </c>
      <c r="P31" s="400" t="s">
        <v>320</v>
      </c>
      <c r="Q31" s="401" t="s">
        <v>150</v>
      </c>
      <c r="R31" s="401" t="s">
        <v>154</v>
      </c>
      <c r="S31" s="402" t="s">
        <v>155</v>
      </c>
      <c r="T31" s="400" t="s">
        <v>321</v>
      </c>
      <c r="U31" s="401" t="s">
        <v>150</v>
      </c>
      <c r="V31" s="401" t="s">
        <v>199</v>
      </c>
      <c r="W31" s="402" t="s">
        <v>156</v>
      </c>
      <c r="X31" s="403" t="s">
        <v>322</v>
      </c>
      <c r="Y31" s="401"/>
      <c r="Z31" s="401" t="s">
        <v>157</v>
      </c>
      <c r="AA31" s="402" t="s">
        <v>158</v>
      </c>
      <c r="AB31" s="404" t="s">
        <v>169</v>
      </c>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row>
    <row r="32" spans="1:242" ht="18" customHeight="1" x14ac:dyDescent="0.2">
      <c r="B32" s="338" t="s">
        <v>519</v>
      </c>
      <c r="C32" s="405">
        <f>'D1. Member Months'!D10</f>
        <v>36779905</v>
      </c>
      <c r="D32" s="406">
        <f t="shared" ref="D32:D38" si="15">O13</f>
        <v>534.52254048806208</v>
      </c>
      <c r="E32" s="407">
        <f t="shared" ref="E32:E38" si="16">S13</f>
        <v>0</v>
      </c>
      <c r="F32" s="407">
        <f t="shared" ref="F32:F38" si="17">W13</f>
        <v>0</v>
      </c>
      <c r="G32" s="407">
        <f t="shared" ref="G32:H38" si="18">AA13</f>
        <v>1.6981331653529275</v>
      </c>
      <c r="H32" s="408">
        <f t="shared" si="18"/>
        <v>536.22067365341502</v>
      </c>
      <c r="I32" s="409">
        <f t="shared" ref="I32:I39" si="19">D32</f>
        <v>534.52254048806208</v>
      </c>
      <c r="J32" s="410">
        <f>Trend!$B$1</f>
        <v>4.9500000000000002E-2</v>
      </c>
      <c r="K32" s="407">
        <f>J32*I32</f>
        <v>26.458865754159074</v>
      </c>
      <c r="L32" s="410">
        <f>[1]Expenditures!$AS13</f>
        <v>-1.5819702229285935E-2</v>
      </c>
      <c r="M32" s="407">
        <f t="shared" ref="M32:M39" si="20">(I32+K32)*(L32)</f>
        <v>-8.8745588029180258</v>
      </c>
      <c r="N32" s="407">
        <f t="shared" ref="N32:N39" si="21">K32+M32</f>
        <v>17.584306951241047</v>
      </c>
      <c r="O32" s="411">
        <f t="shared" ref="O32:O39" si="22">N32+I32</f>
        <v>552.10684743930312</v>
      </c>
      <c r="P32" s="409">
        <f t="shared" ref="P32:P39" si="23">E32</f>
        <v>0</v>
      </c>
      <c r="Q32" s="410"/>
      <c r="R32" s="407">
        <f t="shared" ref="R32:R39" si="24">Q32*P32</f>
        <v>0</v>
      </c>
      <c r="S32" s="412">
        <f t="shared" ref="S32:S39" si="25">P32+R32</f>
        <v>0</v>
      </c>
      <c r="T32" s="409">
        <f t="shared" ref="T32:T39" si="26">F32</f>
        <v>0</v>
      </c>
      <c r="U32" s="413"/>
      <c r="V32" s="407">
        <f t="shared" ref="V32:V39" si="27">T32*U32</f>
        <v>0</v>
      </c>
      <c r="W32" s="412">
        <f t="shared" ref="W32:W39" si="28">V32+T32</f>
        <v>0</v>
      </c>
      <c r="X32" s="409">
        <f t="shared" ref="X32:X38" si="29">G32</f>
        <v>1.6981331653529275</v>
      </c>
      <c r="Y32" s="410">
        <f>Trend!$B$2</f>
        <v>5.3900000000000003E-2</v>
      </c>
      <c r="Z32" s="407">
        <f>Y32*X32</f>
        <v>9.1529377612522791E-2</v>
      </c>
      <c r="AA32" s="412">
        <f>X32+Z32</f>
        <v>1.7896625429654502</v>
      </c>
      <c r="AB32" s="414">
        <f t="shared" ref="AB32:AB39" si="30">AA32+W32+S32+O32</f>
        <v>553.89650998226853</v>
      </c>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row>
    <row r="33" spans="1:242" ht="18" customHeight="1" x14ac:dyDescent="0.2">
      <c r="B33" s="338" t="s">
        <v>525</v>
      </c>
      <c r="C33" s="449"/>
      <c r="D33" s="406">
        <f t="shared" si="15"/>
        <v>578.25926097734748</v>
      </c>
      <c r="E33" s="407">
        <f t="shared" si="16"/>
        <v>0</v>
      </c>
      <c r="F33" s="407">
        <f t="shared" si="17"/>
        <v>0</v>
      </c>
      <c r="G33" s="407">
        <f t="shared" si="18"/>
        <v>1.7499699179755224</v>
      </c>
      <c r="H33" s="408">
        <f t="shared" si="18"/>
        <v>580.00923089532296</v>
      </c>
      <c r="I33" s="409">
        <f t="shared" si="19"/>
        <v>578.25926097734748</v>
      </c>
      <c r="J33" s="410">
        <v>0</v>
      </c>
      <c r="K33" s="407">
        <f t="shared" ref="K33:K39" si="31">J33*I33</f>
        <v>0</v>
      </c>
      <c r="L33" s="410">
        <f>[1]Expenditures!$AS14</f>
        <v>-1</v>
      </c>
      <c r="M33" s="407">
        <f t="shared" si="20"/>
        <v>-578.25926097734748</v>
      </c>
      <c r="N33" s="407">
        <f t="shared" si="21"/>
        <v>-578.25926097734748</v>
      </c>
      <c r="O33" s="411">
        <f t="shared" si="22"/>
        <v>0</v>
      </c>
      <c r="P33" s="409">
        <f t="shared" si="23"/>
        <v>0</v>
      </c>
      <c r="Q33" s="410"/>
      <c r="R33" s="407">
        <f t="shared" si="24"/>
        <v>0</v>
      </c>
      <c r="S33" s="412">
        <f t="shared" si="25"/>
        <v>0</v>
      </c>
      <c r="T33" s="409">
        <f t="shared" si="26"/>
        <v>0</v>
      </c>
      <c r="U33" s="413"/>
      <c r="V33" s="407">
        <f t="shared" si="27"/>
        <v>0</v>
      </c>
      <c r="W33" s="412">
        <f t="shared" si="28"/>
        <v>0</v>
      </c>
      <c r="X33" s="409">
        <f t="shared" si="29"/>
        <v>1.7499699179755224</v>
      </c>
      <c r="Y33" s="410">
        <v>-1</v>
      </c>
      <c r="Z33" s="407">
        <f>Y33*X33</f>
        <v>-1.7499699179755224</v>
      </c>
      <c r="AA33" s="412">
        <f>X33+Z33</f>
        <v>0</v>
      </c>
      <c r="AB33" s="414">
        <f t="shared" si="30"/>
        <v>0</v>
      </c>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row>
    <row r="34" spans="1:242" ht="18" customHeight="1" x14ac:dyDescent="0.2">
      <c r="B34" s="338" t="s">
        <v>520</v>
      </c>
      <c r="C34" s="449"/>
      <c r="D34" s="406">
        <f t="shared" si="15"/>
        <v>325.0792600995631</v>
      </c>
      <c r="E34" s="407">
        <f t="shared" si="16"/>
        <v>0</v>
      </c>
      <c r="F34" s="407">
        <f t="shared" si="17"/>
        <v>0</v>
      </c>
      <c r="G34" s="407">
        <f t="shared" si="18"/>
        <v>0.9940151141864032</v>
      </c>
      <c r="H34" s="408">
        <f t="shared" si="18"/>
        <v>326.07327521374953</v>
      </c>
      <c r="I34" s="409">
        <f t="shared" si="19"/>
        <v>325.0792600995631</v>
      </c>
      <c r="J34" s="410">
        <v>0</v>
      </c>
      <c r="K34" s="407">
        <f t="shared" si="31"/>
        <v>0</v>
      </c>
      <c r="L34" s="410">
        <f>[1]Expenditures!$AS15</f>
        <v>-1</v>
      </c>
      <c r="M34" s="407">
        <f t="shared" si="20"/>
        <v>-325.0792600995631</v>
      </c>
      <c r="N34" s="407">
        <f t="shared" si="21"/>
        <v>-325.0792600995631</v>
      </c>
      <c r="O34" s="411">
        <f t="shared" si="22"/>
        <v>0</v>
      </c>
      <c r="P34" s="409">
        <f t="shared" si="23"/>
        <v>0</v>
      </c>
      <c r="Q34" s="410"/>
      <c r="R34" s="407">
        <f t="shared" si="24"/>
        <v>0</v>
      </c>
      <c r="S34" s="412">
        <f t="shared" si="25"/>
        <v>0</v>
      </c>
      <c r="T34" s="409">
        <f t="shared" si="26"/>
        <v>0</v>
      </c>
      <c r="U34" s="413"/>
      <c r="V34" s="407">
        <f t="shared" si="27"/>
        <v>0</v>
      </c>
      <c r="W34" s="412">
        <f t="shared" si="28"/>
        <v>0</v>
      </c>
      <c r="X34" s="409">
        <f t="shared" si="29"/>
        <v>0.9940151141864032</v>
      </c>
      <c r="Y34" s="410">
        <v>-1</v>
      </c>
      <c r="Z34" s="407">
        <f>Y34*X34</f>
        <v>-0.9940151141864032</v>
      </c>
      <c r="AA34" s="412">
        <f>X34+Z34</f>
        <v>0</v>
      </c>
      <c r="AB34" s="414">
        <f t="shared" si="30"/>
        <v>0</v>
      </c>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row>
    <row r="35" spans="1:242" ht="18" customHeight="1" x14ac:dyDescent="0.2">
      <c r="B35" s="338" t="s">
        <v>518</v>
      </c>
      <c r="C35" s="405">
        <f>'D1. Member Months'!D13</f>
        <v>54139905</v>
      </c>
      <c r="D35" s="406">
        <f t="shared" si="15"/>
        <v>264.71497969407761</v>
      </c>
      <c r="E35" s="407">
        <f t="shared" si="16"/>
        <v>0</v>
      </c>
      <c r="F35" s="407">
        <f t="shared" si="17"/>
        <v>0</v>
      </c>
      <c r="G35" s="407">
        <f t="shared" si="18"/>
        <v>0.78448208941264108</v>
      </c>
      <c r="H35" s="408">
        <f t="shared" si="18"/>
        <v>265.49946178349023</v>
      </c>
      <c r="I35" s="409">
        <f t="shared" si="19"/>
        <v>264.71497969407761</v>
      </c>
      <c r="J35" s="410">
        <f>Trend!$B$1</f>
        <v>4.9500000000000002E-2</v>
      </c>
      <c r="K35" s="407">
        <f t="shared" si="31"/>
        <v>13.103391494856842</v>
      </c>
      <c r="L35" s="410">
        <f>[1]Expenditures!$AS16</f>
        <v>-7.3942900777819329E-2</v>
      </c>
      <c r="M35" s="407">
        <f t="shared" si="20"/>
        <v>-20.542696255078763</v>
      </c>
      <c r="N35" s="407">
        <f t="shared" si="21"/>
        <v>-7.4393047602219209</v>
      </c>
      <c r="O35" s="411">
        <f t="shared" si="22"/>
        <v>257.27567493385567</v>
      </c>
      <c r="P35" s="409">
        <f t="shared" si="23"/>
        <v>0</v>
      </c>
      <c r="Q35" s="410"/>
      <c r="R35" s="407">
        <f t="shared" si="24"/>
        <v>0</v>
      </c>
      <c r="S35" s="412">
        <f t="shared" si="25"/>
        <v>0</v>
      </c>
      <c r="T35" s="409">
        <f t="shared" si="26"/>
        <v>0</v>
      </c>
      <c r="U35" s="413"/>
      <c r="V35" s="407">
        <f t="shared" si="27"/>
        <v>0</v>
      </c>
      <c r="W35" s="412">
        <f t="shared" si="28"/>
        <v>0</v>
      </c>
      <c r="X35" s="409">
        <f t="shared" si="29"/>
        <v>0.78448208941264108</v>
      </c>
      <c r="Y35" s="410">
        <f>Trend!$B$2</f>
        <v>5.3900000000000003E-2</v>
      </c>
      <c r="Z35" s="407">
        <f t="shared" ref="Z35:Z40" si="32">Y35*X35</f>
        <v>4.2283584619341355E-2</v>
      </c>
      <c r="AA35" s="412">
        <f t="shared" ref="AA35:AA40" si="33">X35+Z35</f>
        <v>0.82676567403198242</v>
      </c>
      <c r="AB35" s="414">
        <f t="shared" si="30"/>
        <v>258.10244060788767</v>
      </c>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row>
    <row r="36" spans="1:242" ht="18" customHeight="1" x14ac:dyDescent="0.2">
      <c r="B36" s="338" t="s">
        <v>521</v>
      </c>
      <c r="C36" s="405">
        <f>'D1. Member Months'!D14</f>
        <v>994882</v>
      </c>
      <c r="D36" s="406">
        <f t="shared" si="15"/>
        <v>269.27791654124155</v>
      </c>
      <c r="E36" s="407">
        <f t="shared" si="16"/>
        <v>0</v>
      </c>
      <c r="F36" s="407">
        <f t="shared" si="17"/>
        <v>0</v>
      </c>
      <c r="G36" s="407">
        <f t="shared" si="18"/>
        <v>0.7652975599429368</v>
      </c>
      <c r="H36" s="408">
        <f t="shared" si="18"/>
        <v>270.0432141011845</v>
      </c>
      <c r="I36" s="409">
        <f t="shared" si="19"/>
        <v>269.27791654124155</v>
      </c>
      <c r="J36" s="410">
        <f>Trend!$B$1</f>
        <v>4.9500000000000002E-2</v>
      </c>
      <c r="K36" s="407">
        <f t="shared" si="31"/>
        <v>13.329256868791457</v>
      </c>
      <c r="L36" s="410">
        <f>[1]Expenditures!$AS17</f>
        <v>-6.9546720195645645E-2</v>
      </c>
      <c r="M36" s="407">
        <f t="shared" si="20"/>
        <v>-19.654402014429873</v>
      </c>
      <c r="N36" s="407">
        <f t="shared" si="21"/>
        <v>-6.325145145638416</v>
      </c>
      <c r="O36" s="411">
        <f t="shared" si="22"/>
        <v>262.95277139560312</v>
      </c>
      <c r="P36" s="409">
        <f t="shared" si="23"/>
        <v>0</v>
      </c>
      <c r="Q36" s="410"/>
      <c r="R36" s="407">
        <f t="shared" si="24"/>
        <v>0</v>
      </c>
      <c r="S36" s="412">
        <f t="shared" si="25"/>
        <v>0</v>
      </c>
      <c r="T36" s="409">
        <f t="shared" si="26"/>
        <v>0</v>
      </c>
      <c r="U36" s="413"/>
      <c r="V36" s="407">
        <f t="shared" si="27"/>
        <v>0</v>
      </c>
      <c r="W36" s="412">
        <f t="shared" si="28"/>
        <v>0</v>
      </c>
      <c r="X36" s="409">
        <f t="shared" si="29"/>
        <v>0.7652975599429368</v>
      </c>
      <c r="Y36" s="410">
        <f>Trend!$B$2</f>
        <v>5.3900000000000003E-2</v>
      </c>
      <c r="Z36" s="407">
        <f t="shared" si="32"/>
        <v>4.1249538480924296E-2</v>
      </c>
      <c r="AA36" s="412">
        <f t="shared" si="33"/>
        <v>0.80654709842386108</v>
      </c>
      <c r="AB36" s="414">
        <f t="shared" si="30"/>
        <v>263.75931849402696</v>
      </c>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row>
    <row r="37" spans="1:242" ht="18" customHeight="1" x14ac:dyDescent="0.2">
      <c r="B37" s="338" t="s">
        <v>516</v>
      </c>
      <c r="C37" s="405">
        <f>'D1. Member Months'!D15</f>
        <v>14869740</v>
      </c>
      <c r="D37" s="406">
        <f t="shared" si="15"/>
        <v>186.60104455013706</v>
      </c>
      <c r="E37" s="407">
        <f t="shared" si="16"/>
        <v>0</v>
      </c>
      <c r="F37" s="407">
        <f t="shared" si="17"/>
        <v>0</v>
      </c>
      <c r="G37" s="407">
        <f t="shared" si="18"/>
        <v>0.53512475373943169</v>
      </c>
      <c r="H37" s="408">
        <f t="shared" si="18"/>
        <v>187.1361693038765</v>
      </c>
      <c r="I37" s="409">
        <f t="shared" si="19"/>
        <v>186.60104455013706</v>
      </c>
      <c r="J37" s="410">
        <f>Trend!$B$1</f>
        <v>4.9500000000000002E-2</v>
      </c>
      <c r="K37" s="407">
        <f t="shared" si="31"/>
        <v>9.2367517052317858</v>
      </c>
      <c r="L37" s="410">
        <f>[1]Expenditures!$AS18</f>
        <v>-0.10704540952683371</v>
      </c>
      <c r="M37" s="407">
        <f t="shared" si="20"/>
        <v>-20.963537100988582</v>
      </c>
      <c r="N37" s="407">
        <f t="shared" si="21"/>
        <v>-11.726785395756796</v>
      </c>
      <c r="O37" s="411">
        <f t="shared" si="22"/>
        <v>174.87425915438027</v>
      </c>
      <c r="P37" s="409">
        <f t="shared" si="23"/>
        <v>0</v>
      </c>
      <c r="Q37" s="410"/>
      <c r="R37" s="407">
        <f t="shared" si="24"/>
        <v>0</v>
      </c>
      <c r="S37" s="412">
        <f t="shared" si="25"/>
        <v>0</v>
      </c>
      <c r="T37" s="409">
        <f t="shared" si="26"/>
        <v>0</v>
      </c>
      <c r="U37" s="413"/>
      <c r="V37" s="407">
        <f t="shared" si="27"/>
        <v>0</v>
      </c>
      <c r="W37" s="412">
        <f t="shared" si="28"/>
        <v>0</v>
      </c>
      <c r="X37" s="409">
        <f t="shared" si="29"/>
        <v>0.53512475373943169</v>
      </c>
      <c r="Y37" s="410">
        <f>Trend!$B$2</f>
        <v>5.3900000000000003E-2</v>
      </c>
      <c r="Z37" s="407">
        <f t="shared" si="32"/>
        <v>2.8843224226555369E-2</v>
      </c>
      <c r="AA37" s="412">
        <f t="shared" si="33"/>
        <v>0.56396797796598708</v>
      </c>
      <c r="AB37" s="414">
        <f t="shared" si="30"/>
        <v>175.43822713234624</v>
      </c>
    </row>
    <row r="38" spans="1:242" ht="18" customHeight="1" x14ac:dyDescent="0.2">
      <c r="B38" s="346" t="s">
        <v>517</v>
      </c>
      <c r="C38" s="405">
        <f>'D1. Member Months'!$D$16</f>
        <v>9108336</v>
      </c>
      <c r="D38" s="406">
        <f t="shared" si="15"/>
        <v>1316.2645871185709</v>
      </c>
      <c r="E38" s="407">
        <f t="shared" si="16"/>
        <v>0</v>
      </c>
      <c r="F38" s="407">
        <f t="shared" si="17"/>
        <v>0</v>
      </c>
      <c r="G38" s="407">
        <f t="shared" si="18"/>
        <v>4.3048729216262469</v>
      </c>
      <c r="H38" s="408">
        <f t="shared" si="18"/>
        <v>1320.5694600401971</v>
      </c>
      <c r="I38" s="409">
        <f t="shared" si="19"/>
        <v>1316.2645871185709</v>
      </c>
      <c r="J38" s="410">
        <f>Trend!$B$1</f>
        <v>4.9500000000000002E-2</v>
      </c>
      <c r="K38" s="407">
        <f t="shared" si="31"/>
        <v>65.155097062369265</v>
      </c>
      <c r="L38" s="410">
        <f>[1]Expenditures!$AS19</f>
        <v>3.2584762579292083E-2</v>
      </c>
      <c r="M38" s="407">
        <f t="shared" si="20"/>
        <v>45.013232431396588</v>
      </c>
      <c r="N38" s="407">
        <f t="shared" si="21"/>
        <v>110.16832949376585</v>
      </c>
      <c r="O38" s="411">
        <f t="shared" si="22"/>
        <v>1426.4329166123368</v>
      </c>
      <c r="P38" s="409">
        <f t="shared" si="23"/>
        <v>0</v>
      </c>
      <c r="Q38" s="410"/>
      <c r="R38" s="407">
        <f t="shared" si="24"/>
        <v>0</v>
      </c>
      <c r="S38" s="412">
        <f t="shared" si="25"/>
        <v>0</v>
      </c>
      <c r="T38" s="409">
        <f t="shared" si="26"/>
        <v>0</v>
      </c>
      <c r="U38" s="415"/>
      <c r="V38" s="407">
        <f t="shared" si="27"/>
        <v>0</v>
      </c>
      <c r="W38" s="412">
        <f t="shared" si="28"/>
        <v>0</v>
      </c>
      <c r="X38" s="409">
        <f t="shared" si="29"/>
        <v>4.3048729216262469</v>
      </c>
      <c r="Y38" s="410">
        <f>Trend!$B$2</f>
        <v>5.3900000000000003E-2</v>
      </c>
      <c r="Z38" s="407">
        <f>Y38*X38</f>
        <v>0.23203265047565472</v>
      </c>
      <c r="AA38" s="412">
        <f>X38+Z38</f>
        <v>4.5369055721019018</v>
      </c>
      <c r="AB38" s="414">
        <f t="shared" si="30"/>
        <v>1430.9698221844387</v>
      </c>
    </row>
    <row r="39" spans="1:242" ht="18" customHeight="1" thickBot="1" x14ac:dyDescent="0.25">
      <c r="B39" s="348" t="s">
        <v>522</v>
      </c>
      <c r="C39" s="416">
        <f>'D1. Member Months'!$D$17+'D1. Member Months'!$C$11+'D1. Member Months'!$C$12</f>
        <v>11597835</v>
      </c>
      <c r="D39" s="417">
        <f>(($C$14*O14)+($C$15*O15)+($C$20*O20))/$C$39</f>
        <v>512.0026140214643</v>
      </c>
      <c r="E39" s="418">
        <f>(($C$14*S14)+($C$15*S15)+($C$20*S20))/$C$39</f>
        <v>0</v>
      </c>
      <c r="F39" s="418">
        <f>(($C$14*W14)+($C$15*W15)+($C$20*W20))/$C$39</f>
        <v>0</v>
      </c>
      <c r="G39" s="418">
        <f>(($C$14*AA14)+($C$15*AA15)+($C$20*AA20))/$C$39</f>
        <v>1.5289539692066172</v>
      </c>
      <c r="H39" s="419">
        <f>(($C$14*AB14)+($C$15*AB15)+($C$20*AB20))/$C$39</f>
        <v>513.53156799067085</v>
      </c>
      <c r="I39" s="420">
        <f t="shared" si="19"/>
        <v>512.0026140214643</v>
      </c>
      <c r="J39" s="421">
        <f>Trend!$B$1</f>
        <v>4.9500000000000002E-2</v>
      </c>
      <c r="K39" s="418">
        <f t="shared" si="31"/>
        <v>25.344129394062485</v>
      </c>
      <c r="L39" s="421">
        <f>[1]Expenditures!$AS20</f>
        <v>0.29367102952646468</v>
      </c>
      <c r="M39" s="418">
        <f t="shared" si="20"/>
        <v>157.80317135153081</v>
      </c>
      <c r="N39" s="418">
        <f t="shared" si="21"/>
        <v>183.1473007455933</v>
      </c>
      <c r="O39" s="422">
        <f t="shared" si="22"/>
        <v>695.14991476705757</v>
      </c>
      <c r="P39" s="420">
        <f t="shared" si="23"/>
        <v>0</v>
      </c>
      <c r="Q39" s="421"/>
      <c r="R39" s="418">
        <f t="shared" si="24"/>
        <v>0</v>
      </c>
      <c r="S39" s="423">
        <f t="shared" si="25"/>
        <v>0</v>
      </c>
      <c r="T39" s="420">
        <f t="shared" si="26"/>
        <v>0</v>
      </c>
      <c r="U39" s="424"/>
      <c r="V39" s="418">
        <f t="shared" si="27"/>
        <v>0</v>
      </c>
      <c r="W39" s="423">
        <f t="shared" si="28"/>
        <v>0</v>
      </c>
      <c r="X39" s="420">
        <f>G39</f>
        <v>1.5289539692066172</v>
      </c>
      <c r="Y39" s="421">
        <f>Trend!$B$2</f>
        <v>5.3900000000000003E-2</v>
      </c>
      <c r="Z39" s="418">
        <f t="shared" si="32"/>
        <v>8.2410618940236671E-2</v>
      </c>
      <c r="AA39" s="423">
        <f t="shared" si="33"/>
        <v>1.6113645881468539</v>
      </c>
      <c r="AB39" s="425">
        <f t="shared" si="30"/>
        <v>696.76127935520446</v>
      </c>
    </row>
    <row r="40" spans="1:242" s="50" customFormat="1" ht="18" customHeight="1" thickTop="1" x14ac:dyDescent="0.2">
      <c r="A40" s="4"/>
      <c r="B40" s="450" t="s">
        <v>159</v>
      </c>
      <c r="C40" s="234">
        <f>SUM(C32:C39)</f>
        <v>127490603</v>
      </c>
      <c r="D40" s="427"/>
      <c r="E40" s="428"/>
      <c r="F40" s="428"/>
      <c r="G40" s="428"/>
      <c r="H40" s="429"/>
      <c r="I40" s="232"/>
      <c r="J40" s="428"/>
      <c r="K40" s="428"/>
      <c r="L40" s="428"/>
      <c r="M40" s="430"/>
      <c r="N40" s="431"/>
      <c r="O40" s="432"/>
      <c r="P40" s="232"/>
      <c r="Q40" s="428"/>
      <c r="R40" s="433"/>
      <c r="S40" s="434"/>
      <c r="T40" s="232"/>
      <c r="U40" s="435"/>
      <c r="V40" s="433"/>
      <c r="W40" s="434"/>
      <c r="X40" s="232"/>
      <c r="Y40" s="428"/>
      <c r="Z40" s="433">
        <f t="shared" si="32"/>
        <v>0</v>
      </c>
      <c r="AA40" s="434">
        <f t="shared" si="33"/>
        <v>0</v>
      </c>
      <c r="AB40" s="436"/>
    </row>
    <row r="41" spans="1:242" s="50" customFormat="1" ht="18" customHeight="1" thickBot="1" x14ac:dyDescent="0.25">
      <c r="A41" s="4"/>
      <c r="B41" s="437" t="s">
        <v>326</v>
      </c>
      <c r="C41" s="438"/>
      <c r="D41" s="439">
        <f>O22</f>
        <v>431.09877550696075</v>
      </c>
      <c r="E41" s="440">
        <f>S22</f>
        <v>0</v>
      </c>
      <c r="F41" s="440">
        <f>W22</f>
        <v>0</v>
      </c>
      <c r="G41" s="440">
        <f>AA22</f>
        <v>1.3380617070393757</v>
      </c>
      <c r="H41" s="441">
        <f>AB22</f>
        <v>432.43683721400015</v>
      </c>
      <c r="I41" s="442">
        <f>D41</f>
        <v>431.09877550696075</v>
      </c>
      <c r="J41" s="443">
        <f>IF(I41=0,0,K41/I41)</f>
        <v>4.9500000000000002E-2</v>
      </c>
      <c r="K41" s="440">
        <f>SUMPRODUCT(K32:K39,$C$32:$C$39)/$C$40</f>
        <v>21.339389387594558</v>
      </c>
      <c r="L41" s="443">
        <f>M41/(I41+K41)</f>
        <v>8.1535439547861972E-3</v>
      </c>
      <c r="M41" s="440">
        <f>SUMPRODUCT(M32:M39,$C$32:$C$39)/$C$40</f>
        <v>3.6889744642905624</v>
      </c>
      <c r="N41" s="440">
        <f>K41+M41</f>
        <v>25.028363851885121</v>
      </c>
      <c r="O41" s="444">
        <f>I41+N41</f>
        <v>456.12713935884585</v>
      </c>
      <c r="P41" s="442">
        <f>E41</f>
        <v>0</v>
      </c>
      <c r="Q41" s="443">
        <f>IF(P41=0,0,R41/P41)</f>
        <v>0</v>
      </c>
      <c r="R41" s="440">
        <f>SUMPRODUCT(R32:R39,$C$32:$C$39)/$C$40</f>
        <v>0</v>
      </c>
      <c r="S41" s="445">
        <f>P41+R41</f>
        <v>0</v>
      </c>
      <c r="T41" s="442">
        <f>F41</f>
        <v>0</v>
      </c>
      <c r="U41" s="446">
        <f>IF(T41=0,0,V41/T41)</f>
        <v>0</v>
      </c>
      <c r="V41" s="440">
        <f>SUMPRODUCT(V32:V39,$C$32:$C$39)/$C$40</f>
        <v>0</v>
      </c>
      <c r="W41" s="445">
        <f>V41+T41</f>
        <v>0</v>
      </c>
      <c r="X41" s="442">
        <f>G41</f>
        <v>1.3380617070393757</v>
      </c>
      <c r="Y41" s="443">
        <f>IF(X41=0,0,Z41/X41)</f>
        <v>5.3899999999999997E-2</v>
      </c>
      <c r="Z41" s="440">
        <f>SUMPRODUCT(Z32:Z39,$C$32:$C$39)/$C$40</f>
        <v>7.2121526009422343E-2</v>
      </c>
      <c r="AA41" s="445">
        <f>Z41+X41</f>
        <v>1.410183233048798</v>
      </c>
      <c r="AB41" s="447">
        <f>AA41+W41+S41+O41</f>
        <v>457.53732259189462</v>
      </c>
    </row>
    <row r="42" spans="1:242" s="50" customFormat="1" ht="18" customHeight="1" thickBot="1" x14ac:dyDescent="0.25">
      <c r="A42" s="4"/>
      <c r="B42" s="184"/>
      <c r="C42" s="184"/>
      <c r="D42" s="189"/>
      <c r="E42" s="88"/>
      <c r="F42" s="88"/>
      <c r="G42" s="88"/>
      <c r="H42" s="88"/>
      <c r="I42" s="88"/>
      <c r="J42" s="88"/>
      <c r="K42" s="88"/>
      <c r="L42" s="185"/>
      <c r="M42" s="88"/>
      <c r="N42" s="88"/>
      <c r="O42" s="88"/>
      <c r="P42" s="88"/>
      <c r="Q42" s="185"/>
      <c r="R42" s="88"/>
      <c r="S42" s="187"/>
      <c r="T42" s="88"/>
      <c r="U42" s="188"/>
      <c r="V42" s="88"/>
      <c r="W42" s="187"/>
      <c r="X42" s="88"/>
      <c r="Y42" s="185"/>
      <c r="Z42" s="88"/>
      <c r="AA42" s="88"/>
      <c r="AB42" s="88"/>
    </row>
    <row r="43" spans="1:242" s="50" customFormat="1" ht="18" hidden="1" customHeight="1" x14ac:dyDescent="0.2">
      <c r="A43" s="4"/>
      <c r="B43" s="184"/>
      <c r="C43" s="184"/>
      <c r="D43" s="88"/>
      <c r="E43" s="88"/>
      <c r="F43" s="88"/>
      <c r="G43" s="88"/>
      <c r="H43" s="88"/>
      <c r="I43" s="88"/>
      <c r="J43" s="185"/>
      <c r="K43" s="88"/>
      <c r="L43" s="185"/>
      <c r="M43" s="88"/>
      <c r="N43" s="88"/>
      <c r="O43" s="186"/>
      <c r="P43" s="88"/>
      <c r="Q43" s="185"/>
      <c r="R43" s="88"/>
      <c r="S43" s="187"/>
      <c r="T43" s="88"/>
      <c r="U43" s="188"/>
      <c r="V43" s="88"/>
      <c r="W43" s="187"/>
      <c r="X43" s="88"/>
      <c r="Y43" s="185"/>
      <c r="Z43" s="88"/>
      <c r="AA43" s="187"/>
      <c r="AB43" s="187"/>
    </row>
    <row r="44" spans="1:242" hidden="1" x14ac:dyDescent="0.2">
      <c r="J44" s="52"/>
      <c r="K44" s="52"/>
    </row>
    <row r="45" spans="1:242" ht="12" hidden="1" thickBot="1" x14ac:dyDescent="0.25">
      <c r="J45" s="52"/>
      <c r="K45" s="52"/>
      <c r="L45" s="112"/>
    </row>
    <row r="46" spans="1:242" ht="18" customHeight="1" x14ac:dyDescent="0.2">
      <c r="B46" s="378"/>
      <c r="C46" s="379"/>
      <c r="D46" s="380" t="s">
        <v>442</v>
      </c>
      <c r="E46" s="380"/>
      <c r="F46" s="380"/>
      <c r="G46" s="380"/>
      <c r="H46" s="381"/>
      <c r="I46" s="382" t="s">
        <v>443</v>
      </c>
      <c r="J46" s="382"/>
      <c r="K46" s="382"/>
      <c r="L46" s="382"/>
      <c r="M46" s="382"/>
      <c r="N46" s="382"/>
      <c r="O46" s="383"/>
      <c r="P46" s="382" t="s">
        <v>445</v>
      </c>
      <c r="Q46" s="382"/>
      <c r="R46" s="384"/>
      <c r="S46" s="385"/>
      <c r="T46" s="382" t="s">
        <v>447</v>
      </c>
      <c r="U46" s="382"/>
      <c r="V46" s="384"/>
      <c r="W46" s="385"/>
      <c r="X46" s="382" t="s">
        <v>448</v>
      </c>
      <c r="Y46" s="382"/>
      <c r="Z46" s="384"/>
      <c r="AA46" s="385"/>
      <c r="AB46" s="386"/>
    </row>
    <row r="47" spans="1:242" ht="24" customHeight="1" x14ac:dyDescent="0.2">
      <c r="B47" s="325" t="s">
        <v>72</v>
      </c>
      <c r="C47" s="326" t="s">
        <v>256</v>
      </c>
      <c r="D47" s="387" t="s">
        <v>203</v>
      </c>
      <c r="E47" s="387" t="s">
        <v>203</v>
      </c>
      <c r="F47" s="387" t="s">
        <v>203</v>
      </c>
      <c r="G47" s="387" t="s">
        <v>203</v>
      </c>
      <c r="H47" s="387" t="s">
        <v>203</v>
      </c>
      <c r="I47" s="327" t="s">
        <v>203</v>
      </c>
      <c r="J47" s="328" t="s">
        <v>78</v>
      </c>
      <c r="K47" s="328" t="s">
        <v>124</v>
      </c>
      <c r="L47" s="328" t="s">
        <v>125</v>
      </c>
      <c r="M47" s="328" t="s">
        <v>124</v>
      </c>
      <c r="N47" s="328" t="s">
        <v>126</v>
      </c>
      <c r="O47" s="388" t="s">
        <v>444</v>
      </c>
      <c r="P47" s="327" t="s">
        <v>203</v>
      </c>
      <c r="Q47" s="328" t="s">
        <v>128</v>
      </c>
      <c r="R47" s="328" t="s">
        <v>124</v>
      </c>
      <c r="S47" s="388" t="s">
        <v>444</v>
      </c>
      <c r="T47" s="327" t="s">
        <v>203</v>
      </c>
      <c r="U47" s="328" t="s">
        <v>129</v>
      </c>
      <c r="V47" s="328" t="s">
        <v>124</v>
      </c>
      <c r="W47" s="388" t="s">
        <v>444</v>
      </c>
      <c r="X47" s="448" t="s">
        <v>203</v>
      </c>
      <c r="Y47" s="328" t="s">
        <v>130</v>
      </c>
      <c r="Z47" s="328" t="s">
        <v>124</v>
      </c>
      <c r="AA47" s="388" t="s">
        <v>444</v>
      </c>
      <c r="AB47" s="389" t="s">
        <v>444</v>
      </c>
    </row>
    <row r="48" spans="1:242" ht="18" customHeight="1" x14ac:dyDescent="0.2">
      <c r="B48" s="325" t="s">
        <v>74</v>
      </c>
      <c r="C48" s="326" t="s">
        <v>257</v>
      </c>
      <c r="D48" s="390" t="s">
        <v>78</v>
      </c>
      <c r="E48" s="331" t="s">
        <v>81</v>
      </c>
      <c r="F48" s="331" t="s">
        <v>27</v>
      </c>
      <c r="G48" s="331" t="s">
        <v>82</v>
      </c>
      <c r="H48" s="326" t="s">
        <v>83</v>
      </c>
      <c r="I48" s="332" t="s">
        <v>136</v>
      </c>
      <c r="J48" s="331" t="s">
        <v>131</v>
      </c>
      <c r="K48" s="331" t="s">
        <v>132</v>
      </c>
      <c r="L48" s="331" t="s">
        <v>133</v>
      </c>
      <c r="M48" s="331" t="s">
        <v>134</v>
      </c>
      <c r="N48" s="331" t="s">
        <v>135</v>
      </c>
      <c r="O48" s="391" t="s">
        <v>136</v>
      </c>
      <c r="P48" s="332" t="s">
        <v>128</v>
      </c>
      <c r="Q48" s="331" t="s">
        <v>131</v>
      </c>
      <c r="R48" s="331" t="s">
        <v>132</v>
      </c>
      <c r="S48" s="326" t="s">
        <v>128</v>
      </c>
      <c r="T48" s="332" t="s">
        <v>137</v>
      </c>
      <c r="U48" s="331" t="s">
        <v>131</v>
      </c>
      <c r="V48" s="331" t="s">
        <v>132</v>
      </c>
      <c r="W48" s="326" t="s">
        <v>137</v>
      </c>
      <c r="X48" s="333" t="s">
        <v>138</v>
      </c>
      <c r="Y48" s="331" t="s">
        <v>131</v>
      </c>
      <c r="Z48" s="331" t="s">
        <v>132</v>
      </c>
      <c r="AA48" s="326" t="s">
        <v>138</v>
      </c>
      <c r="AB48" s="392" t="s">
        <v>139</v>
      </c>
    </row>
    <row r="49" spans="2:28" ht="18" customHeight="1" x14ac:dyDescent="0.2">
      <c r="B49" s="325"/>
      <c r="C49" s="393" t="s">
        <v>75</v>
      </c>
      <c r="D49" s="390" t="s">
        <v>87</v>
      </c>
      <c r="E49" s="331" t="s">
        <v>87</v>
      </c>
      <c r="F49" s="331" t="s">
        <v>87</v>
      </c>
      <c r="G49" s="331" t="s">
        <v>87</v>
      </c>
      <c r="H49" s="326" t="s">
        <v>231</v>
      </c>
      <c r="I49" s="332" t="s">
        <v>148</v>
      </c>
      <c r="J49" s="394" t="s">
        <v>446</v>
      </c>
      <c r="K49" s="331" t="s">
        <v>145</v>
      </c>
      <c r="L49" s="331" t="s">
        <v>146</v>
      </c>
      <c r="M49" s="331" t="s">
        <v>145</v>
      </c>
      <c r="N49" s="331" t="s">
        <v>147</v>
      </c>
      <c r="O49" s="391" t="s">
        <v>148</v>
      </c>
      <c r="P49" s="332" t="s">
        <v>149</v>
      </c>
      <c r="Q49" s="394" t="s">
        <v>446</v>
      </c>
      <c r="R49" s="331" t="s">
        <v>145</v>
      </c>
      <c r="S49" s="326" t="s">
        <v>149</v>
      </c>
      <c r="T49" s="332" t="s">
        <v>148</v>
      </c>
      <c r="U49" s="394" t="s">
        <v>446</v>
      </c>
      <c r="V49" s="331" t="s">
        <v>145</v>
      </c>
      <c r="W49" s="326" t="s">
        <v>148</v>
      </c>
      <c r="X49" s="333" t="s">
        <v>149</v>
      </c>
      <c r="Y49" s="394" t="s">
        <v>446</v>
      </c>
      <c r="Z49" s="331" t="s">
        <v>145</v>
      </c>
      <c r="AA49" s="326" t="s">
        <v>149</v>
      </c>
      <c r="AB49" s="392" t="s">
        <v>91</v>
      </c>
    </row>
    <row r="50" spans="2:28" ht="18" customHeight="1" x14ac:dyDescent="0.2">
      <c r="B50" s="395"/>
      <c r="C50" s="396" t="s">
        <v>84</v>
      </c>
      <c r="D50" s="397"/>
      <c r="E50" s="398"/>
      <c r="F50" s="398"/>
      <c r="G50" s="398"/>
      <c r="H50" s="399"/>
      <c r="I50" s="400"/>
      <c r="J50" s="401"/>
      <c r="K50" s="401"/>
      <c r="L50" s="401"/>
      <c r="M50" s="401"/>
      <c r="N50" s="401"/>
      <c r="O50" s="402"/>
      <c r="P50" s="400"/>
      <c r="Q50" s="401"/>
      <c r="R50" s="401"/>
      <c r="S50" s="402"/>
      <c r="T50" s="400"/>
      <c r="U50" s="401"/>
      <c r="V50" s="401"/>
      <c r="W50" s="402"/>
      <c r="X50" s="403"/>
      <c r="Y50" s="401"/>
      <c r="Z50" s="401"/>
      <c r="AA50" s="402"/>
      <c r="AB50" s="404"/>
    </row>
    <row r="51" spans="2:28" ht="18" customHeight="1" x14ac:dyDescent="0.2">
      <c r="B51" s="338" t="s">
        <v>519</v>
      </c>
      <c r="C51" s="405">
        <f>'D1. Member Months'!D10</f>
        <v>36779905</v>
      </c>
      <c r="D51" s="406">
        <f t="shared" ref="D51:D58" si="34">O32</f>
        <v>552.10684743930312</v>
      </c>
      <c r="E51" s="407">
        <f t="shared" ref="E51:E58" si="35">S32</f>
        <v>0</v>
      </c>
      <c r="F51" s="407">
        <f t="shared" ref="F51:F58" si="36">W32</f>
        <v>0</v>
      </c>
      <c r="G51" s="407">
        <f t="shared" ref="G51:H58" si="37">AA32</f>
        <v>1.7896625429654502</v>
      </c>
      <c r="H51" s="408">
        <f t="shared" si="37"/>
        <v>553.89650998226853</v>
      </c>
      <c r="I51" s="409">
        <f t="shared" ref="I51:I58" si="38">D51</f>
        <v>552.10684743930312</v>
      </c>
      <c r="J51" s="410">
        <f>Trend!$B$1</f>
        <v>4.9500000000000002E-2</v>
      </c>
      <c r="K51" s="407">
        <f t="shared" ref="K51:K58" si="39">J51*I51</f>
        <v>27.329288948245505</v>
      </c>
      <c r="L51" s="410">
        <f>[1]Expenditures!$AS24</f>
        <v>-1.2740174776524773E-2</v>
      </c>
      <c r="M51" s="407">
        <f t="shared" ref="M51:M58" si="40">(I51+K51)*(L51)</f>
        <v>-7.3821176494116161</v>
      </c>
      <c r="N51" s="407">
        <f t="shared" ref="N51:N58" si="41">K51+M51</f>
        <v>19.94717129883389</v>
      </c>
      <c r="O51" s="411">
        <f t="shared" ref="O51:O58" si="42">N51+I51</f>
        <v>572.05401873813696</v>
      </c>
      <c r="P51" s="409">
        <f t="shared" ref="P51:P58" si="43">E51</f>
        <v>0</v>
      </c>
      <c r="Q51" s="410"/>
      <c r="R51" s="407">
        <f t="shared" ref="R51:R58" si="44">Q51*P51</f>
        <v>0</v>
      </c>
      <c r="S51" s="412">
        <f t="shared" ref="S51:S58" si="45">P51+R51</f>
        <v>0</v>
      </c>
      <c r="T51" s="409">
        <f t="shared" ref="T51:T58" si="46">F51</f>
        <v>0</v>
      </c>
      <c r="U51" s="413"/>
      <c r="V51" s="407">
        <f t="shared" ref="V51:V58" si="47">T51*U51</f>
        <v>0</v>
      </c>
      <c r="W51" s="412">
        <f t="shared" ref="W51:W58" si="48">V51+T51</f>
        <v>0</v>
      </c>
      <c r="X51" s="409">
        <f t="shared" ref="X51:X58" si="49">G51</f>
        <v>1.7896625429654502</v>
      </c>
      <c r="Y51" s="410">
        <f>Trend!$B$2</f>
        <v>5.3900000000000003E-2</v>
      </c>
      <c r="Z51" s="407">
        <f t="shared" ref="Z51:Z58" si="50">Y51*X51</f>
        <v>9.6462811065837775E-2</v>
      </c>
      <c r="AA51" s="412">
        <f t="shared" ref="AA51:AA58" si="51">Z51+X51</f>
        <v>1.8861253540312881</v>
      </c>
      <c r="AB51" s="414">
        <f t="shared" ref="AB51:AB58" si="52">AA51+W51+S51+O51</f>
        <v>573.94014409216823</v>
      </c>
    </row>
    <row r="52" spans="2:28" ht="18" customHeight="1" x14ac:dyDescent="0.2">
      <c r="B52" s="338" t="s">
        <v>525</v>
      </c>
      <c r="C52" s="449"/>
      <c r="D52" s="406">
        <f t="shared" si="34"/>
        <v>0</v>
      </c>
      <c r="E52" s="407">
        <f t="shared" si="35"/>
        <v>0</v>
      </c>
      <c r="F52" s="407">
        <f t="shared" si="36"/>
        <v>0</v>
      </c>
      <c r="G52" s="407">
        <f t="shared" si="37"/>
        <v>0</v>
      </c>
      <c r="H52" s="408">
        <f t="shared" si="37"/>
        <v>0</v>
      </c>
      <c r="I52" s="409">
        <f t="shared" si="38"/>
        <v>0</v>
      </c>
      <c r="J52" s="410">
        <v>0</v>
      </c>
      <c r="K52" s="407">
        <f t="shared" si="39"/>
        <v>0</v>
      </c>
      <c r="L52" s="410">
        <f>[1]Expenditures!$AS25</f>
        <v>0</v>
      </c>
      <c r="M52" s="407">
        <f t="shared" si="40"/>
        <v>0</v>
      </c>
      <c r="N52" s="407">
        <f t="shared" si="41"/>
        <v>0</v>
      </c>
      <c r="O52" s="411">
        <f t="shared" si="42"/>
        <v>0</v>
      </c>
      <c r="P52" s="409">
        <f t="shared" si="43"/>
        <v>0</v>
      </c>
      <c r="Q52" s="410"/>
      <c r="R52" s="407">
        <f t="shared" si="44"/>
        <v>0</v>
      </c>
      <c r="S52" s="412">
        <f t="shared" si="45"/>
        <v>0</v>
      </c>
      <c r="T52" s="409">
        <f t="shared" si="46"/>
        <v>0</v>
      </c>
      <c r="U52" s="413"/>
      <c r="V52" s="407">
        <f t="shared" si="47"/>
        <v>0</v>
      </c>
      <c r="W52" s="412">
        <f t="shared" si="48"/>
        <v>0</v>
      </c>
      <c r="X52" s="409">
        <f t="shared" si="49"/>
        <v>0</v>
      </c>
      <c r="Y52" s="410">
        <v>0</v>
      </c>
      <c r="Z52" s="407">
        <f t="shared" si="50"/>
        <v>0</v>
      </c>
      <c r="AA52" s="412">
        <f t="shared" si="51"/>
        <v>0</v>
      </c>
      <c r="AB52" s="414">
        <f t="shared" si="52"/>
        <v>0</v>
      </c>
    </row>
    <row r="53" spans="2:28" ht="18" customHeight="1" x14ac:dyDescent="0.2">
      <c r="B53" s="338" t="s">
        <v>520</v>
      </c>
      <c r="C53" s="449"/>
      <c r="D53" s="406">
        <f t="shared" si="34"/>
        <v>0</v>
      </c>
      <c r="E53" s="407">
        <f t="shared" si="35"/>
        <v>0</v>
      </c>
      <c r="F53" s="407">
        <f t="shared" si="36"/>
        <v>0</v>
      </c>
      <c r="G53" s="407">
        <f t="shared" si="37"/>
        <v>0</v>
      </c>
      <c r="H53" s="408">
        <f t="shared" si="37"/>
        <v>0</v>
      </c>
      <c r="I53" s="409">
        <f t="shared" si="38"/>
        <v>0</v>
      </c>
      <c r="J53" s="410">
        <v>0</v>
      </c>
      <c r="K53" s="407">
        <f t="shared" si="39"/>
        <v>0</v>
      </c>
      <c r="L53" s="410">
        <f>[1]Expenditures!$AS26</f>
        <v>0</v>
      </c>
      <c r="M53" s="407">
        <f t="shared" si="40"/>
        <v>0</v>
      </c>
      <c r="N53" s="407">
        <f t="shared" si="41"/>
        <v>0</v>
      </c>
      <c r="O53" s="411">
        <f t="shared" si="42"/>
        <v>0</v>
      </c>
      <c r="P53" s="409">
        <f t="shared" si="43"/>
        <v>0</v>
      </c>
      <c r="Q53" s="410"/>
      <c r="R53" s="407">
        <f t="shared" si="44"/>
        <v>0</v>
      </c>
      <c r="S53" s="412">
        <f t="shared" si="45"/>
        <v>0</v>
      </c>
      <c r="T53" s="409">
        <f t="shared" si="46"/>
        <v>0</v>
      </c>
      <c r="U53" s="413"/>
      <c r="V53" s="407">
        <f t="shared" si="47"/>
        <v>0</v>
      </c>
      <c r="W53" s="412">
        <f t="shared" si="48"/>
        <v>0</v>
      </c>
      <c r="X53" s="409">
        <f t="shared" si="49"/>
        <v>0</v>
      </c>
      <c r="Y53" s="410">
        <v>0</v>
      </c>
      <c r="Z53" s="407">
        <f t="shared" si="50"/>
        <v>0</v>
      </c>
      <c r="AA53" s="412">
        <f t="shared" si="51"/>
        <v>0</v>
      </c>
      <c r="AB53" s="414">
        <f t="shared" si="52"/>
        <v>0</v>
      </c>
    </row>
    <row r="54" spans="2:28" ht="18" customHeight="1" x14ac:dyDescent="0.2">
      <c r="B54" s="338" t="s">
        <v>518</v>
      </c>
      <c r="C54" s="405">
        <f>'D1. Member Months'!D13</f>
        <v>54139905</v>
      </c>
      <c r="D54" s="406">
        <f t="shared" si="34"/>
        <v>257.27567493385567</v>
      </c>
      <c r="E54" s="407">
        <f t="shared" si="35"/>
        <v>0</v>
      </c>
      <c r="F54" s="407">
        <f t="shared" si="36"/>
        <v>0</v>
      </c>
      <c r="G54" s="407">
        <f t="shared" si="37"/>
        <v>0.82676567403198242</v>
      </c>
      <c r="H54" s="408">
        <f t="shared" si="37"/>
        <v>258.10244060788767</v>
      </c>
      <c r="I54" s="409">
        <f t="shared" si="38"/>
        <v>257.27567493385567</v>
      </c>
      <c r="J54" s="410">
        <f>Trend!$B$1</f>
        <v>4.9500000000000002E-2</v>
      </c>
      <c r="K54" s="407">
        <f t="shared" si="39"/>
        <v>12.735145909225857</v>
      </c>
      <c r="L54" s="410">
        <f>[1]Expenditures!$AS27</f>
        <v>-1.2634462395751509E-2</v>
      </c>
      <c r="M54" s="407">
        <f t="shared" si="40"/>
        <v>-3.4114415623879113</v>
      </c>
      <c r="N54" s="407">
        <f t="shared" si="41"/>
        <v>9.3237043468379461</v>
      </c>
      <c r="O54" s="411">
        <f t="shared" si="42"/>
        <v>266.5993792806936</v>
      </c>
      <c r="P54" s="409">
        <f t="shared" si="43"/>
        <v>0</v>
      </c>
      <c r="Q54" s="410"/>
      <c r="R54" s="407">
        <f t="shared" si="44"/>
        <v>0</v>
      </c>
      <c r="S54" s="412">
        <f t="shared" si="45"/>
        <v>0</v>
      </c>
      <c r="T54" s="409">
        <f t="shared" si="46"/>
        <v>0</v>
      </c>
      <c r="U54" s="413"/>
      <c r="V54" s="407">
        <f t="shared" si="47"/>
        <v>0</v>
      </c>
      <c r="W54" s="412">
        <f t="shared" si="48"/>
        <v>0</v>
      </c>
      <c r="X54" s="409">
        <f t="shared" si="49"/>
        <v>0.82676567403198242</v>
      </c>
      <c r="Y54" s="410">
        <f>Trend!$B$2</f>
        <v>5.3900000000000003E-2</v>
      </c>
      <c r="Z54" s="407">
        <f t="shared" si="50"/>
        <v>4.4562669830323857E-2</v>
      </c>
      <c r="AA54" s="412">
        <f t="shared" si="51"/>
        <v>0.87132834386230629</v>
      </c>
      <c r="AB54" s="414">
        <f t="shared" si="52"/>
        <v>267.47070762455593</v>
      </c>
    </row>
    <row r="55" spans="2:28" ht="18" customHeight="1" x14ac:dyDescent="0.2">
      <c r="B55" s="338" t="s">
        <v>521</v>
      </c>
      <c r="C55" s="405">
        <f>'D1. Member Months'!D14</f>
        <v>994882</v>
      </c>
      <c r="D55" s="406">
        <f t="shared" si="34"/>
        <v>262.95277139560312</v>
      </c>
      <c r="E55" s="407">
        <f t="shared" si="35"/>
        <v>0</v>
      </c>
      <c r="F55" s="407">
        <f t="shared" si="36"/>
        <v>0</v>
      </c>
      <c r="G55" s="407">
        <f t="shared" si="37"/>
        <v>0.80654709842386108</v>
      </c>
      <c r="H55" s="408">
        <f t="shared" si="37"/>
        <v>263.75931849402696</v>
      </c>
      <c r="I55" s="409">
        <f t="shared" si="38"/>
        <v>262.95277139560312</v>
      </c>
      <c r="J55" s="410">
        <f>Trend!$B$1</f>
        <v>4.9500000000000002E-2</v>
      </c>
      <c r="K55" s="407">
        <f t="shared" si="39"/>
        <v>13.016162184082356</v>
      </c>
      <c r="L55" s="410">
        <f>[1]Expenditures!$AS28</f>
        <v>-1.1894753322697424E-2</v>
      </c>
      <c r="M55" s="407">
        <f t="shared" si="40"/>
        <v>-3.2825823896582285</v>
      </c>
      <c r="N55" s="407">
        <f t="shared" si="41"/>
        <v>9.7335797944241271</v>
      </c>
      <c r="O55" s="411">
        <f t="shared" si="42"/>
        <v>272.68635119002727</v>
      </c>
      <c r="P55" s="409">
        <f t="shared" si="43"/>
        <v>0</v>
      </c>
      <c r="Q55" s="410"/>
      <c r="R55" s="407">
        <f t="shared" si="44"/>
        <v>0</v>
      </c>
      <c r="S55" s="412">
        <f t="shared" si="45"/>
        <v>0</v>
      </c>
      <c r="T55" s="409">
        <f t="shared" si="46"/>
        <v>0</v>
      </c>
      <c r="U55" s="413"/>
      <c r="V55" s="407">
        <f t="shared" si="47"/>
        <v>0</v>
      </c>
      <c r="W55" s="412">
        <f t="shared" si="48"/>
        <v>0</v>
      </c>
      <c r="X55" s="409">
        <f t="shared" si="49"/>
        <v>0.80654709842386108</v>
      </c>
      <c r="Y55" s="410">
        <f>Trend!$B$2</f>
        <v>5.3900000000000003E-2</v>
      </c>
      <c r="Z55" s="407">
        <f t="shared" si="50"/>
        <v>4.3472888605046112E-2</v>
      </c>
      <c r="AA55" s="412">
        <f t="shared" si="51"/>
        <v>0.85001998702890713</v>
      </c>
      <c r="AB55" s="414">
        <f t="shared" si="52"/>
        <v>273.5363711770562</v>
      </c>
    </row>
    <row r="56" spans="2:28" ht="18" customHeight="1" x14ac:dyDescent="0.2">
      <c r="B56" s="338" t="s">
        <v>516</v>
      </c>
      <c r="C56" s="405">
        <f>'D1. Member Months'!D15</f>
        <v>14869740</v>
      </c>
      <c r="D56" s="406">
        <f t="shared" si="34"/>
        <v>174.87425915438027</v>
      </c>
      <c r="E56" s="407">
        <f t="shared" si="35"/>
        <v>0</v>
      </c>
      <c r="F56" s="407">
        <f t="shared" si="36"/>
        <v>0</v>
      </c>
      <c r="G56" s="407">
        <f t="shared" si="37"/>
        <v>0.56396797796598708</v>
      </c>
      <c r="H56" s="408">
        <f t="shared" si="37"/>
        <v>175.43822713234624</v>
      </c>
      <c r="I56" s="409">
        <f t="shared" si="38"/>
        <v>174.87425915438027</v>
      </c>
      <c r="J56" s="410">
        <f>Trend!$B$1</f>
        <v>4.9500000000000002E-2</v>
      </c>
      <c r="K56" s="407">
        <f t="shared" si="39"/>
        <v>8.6562758281418244</v>
      </c>
      <c r="L56" s="410">
        <f>[1]Expenditures!$AS29</f>
        <v>-1.258814511923091E-2</v>
      </c>
      <c r="M56" s="407">
        <f t="shared" si="40"/>
        <v>-2.3103090081700732</v>
      </c>
      <c r="N56" s="407">
        <f t="shared" si="41"/>
        <v>6.3459668199717516</v>
      </c>
      <c r="O56" s="411">
        <f t="shared" si="42"/>
        <v>181.22022597435202</v>
      </c>
      <c r="P56" s="409">
        <f t="shared" si="43"/>
        <v>0</v>
      </c>
      <c r="Q56" s="410"/>
      <c r="R56" s="407">
        <f t="shared" si="44"/>
        <v>0</v>
      </c>
      <c r="S56" s="412">
        <f t="shared" si="45"/>
        <v>0</v>
      </c>
      <c r="T56" s="409">
        <f t="shared" si="46"/>
        <v>0</v>
      </c>
      <c r="U56" s="413"/>
      <c r="V56" s="407">
        <f t="shared" si="47"/>
        <v>0</v>
      </c>
      <c r="W56" s="412">
        <f t="shared" si="48"/>
        <v>0</v>
      </c>
      <c r="X56" s="409">
        <f t="shared" si="49"/>
        <v>0.56396797796598708</v>
      </c>
      <c r="Y56" s="410">
        <f>Trend!$B$2</f>
        <v>5.3900000000000003E-2</v>
      </c>
      <c r="Z56" s="407">
        <f t="shared" si="50"/>
        <v>3.0397874012366707E-2</v>
      </c>
      <c r="AA56" s="412">
        <f t="shared" si="51"/>
        <v>0.59436585197835379</v>
      </c>
      <c r="AB56" s="414">
        <f t="shared" si="52"/>
        <v>181.81459182633037</v>
      </c>
    </row>
    <row r="57" spans="2:28" ht="18" customHeight="1" x14ac:dyDescent="0.2">
      <c r="B57" s="346" t="s">
        <v>517</v>
      </c>
      <c r="C57" s="405">
        <f>'D1. Member Months'!$D$16</f>
        <v>9108336</v>
      </c>
      <c r="D57" s="406">
        <f t="shared" si="34"/>
        <v>1426.4329166123368</v>
      </c>
      <c r="E57" s="407">
        <f t="shared" si="35"/>
        <v>0</v>
      </c>
      <c r="F57" s="407">
        <f t="shared" si="36"/>
        <v>0</v>
      </c>
      <c r="G57" s="407">
        <f t="shared" si="37"/>
        <v>4.5369055721019018</v>
      </c>
      <c r="H57" s="408">
        <f t="shared" si="37"/>
        <v>1430.9698221844387</v>
      </c>
      <c r="I57" s="409">
        <f t="shared" si="38"/>
        <v>1426.4329166123368</v>
      </c>
      <c r="J57" s="410">
        <f>Trend!$B$1</f>
        <v>4.9500000000000002E-2</v>
      </c>
      <c r="K57" s="407">
        <f t="shared" si="39"/>
        <v>70.608429372310681</v>
      </c>
      <c r="L57" s="410">
        <f>[1]Expenditures!$AS30</f>
        <v>-1.2476882116395157E-2</v>
      </c>
      <c r="M57" s="407">
        <f t="shared" si="40"/>
        <v>-18.678408397219982</v>
      </c>
      <c r="N57" s="407">
        <f t="shared" si="41"/>
        <v>51.930020975090699</v>
      </c>
      <c r="O57" s="411">
        <f t="shared" si="42"/>
        <v>1478.3629375874275</v>
      </c>
      <c r="P57" s="409">
        <f t="shared" si="43"/>
        <v>0</v>
      </c>
      <c r="Q57" s="410"/>
      <c r="R57" s="407">
        <f t="shared" si="44"/>
        <v>0</v>
      </c>
      <c r="S57" s="412">
        <f t="shared" si="45"/>
        <v>0</v>
      </c>
      <c r="T57" s="409">
        <f t="shared" si="46"/>
        <v>0</v>
      </c>
      <c r="U57" s="415"/>
      <c r="V57" s="407">
        <f t="shared" si="47"/>
        <v>0</v>
      </c>
      <c r="W57" s="412">
        <f t="shared" si="48"/>
        <v>0</v>
      </c>
      <c r="X57" s="409">
        <f t="shared" si="49"/>
        <v>4.5369055721019018</v>
      </c>
      <c r="Y57" s="410">
        <f>Trend!$B$2</f>
        <v>5.3900000000000003E-2</v>
      </c>
      <c r="Z57" s="407">
        <f t="shared" si="50"/>
        <v>0.24453921033629253</v>
      </c>
      <c r="AA57" s="412">
        <f t="shared" si="51"/>
        <v>4.7814447824381947</v>
      </c>
      <c r="AB57" s="414">
        <f t="shared" si="52"/>
        <v>1483.1443823698658</v>
      </c>
    </row>
    <row r="58" spans="2:28" ht="18" customHeight="1" thickBot="1" x14ac:dyDescent="0.25">
      <c r="B58" s="348" t="s">
        <v>522</v>
      </c>
      <c r="C58" s="416">
        <f>'D1. Member Months'!$D$17+'D1. Member Months'!$C$11+'D1. Member Months'!$C$12</f>
        <v>11597835</v>
      </c>
      <c r="D58" s="417">
        <f t="shared" si="34"/>
        <v>695.14991476705757</v>
      </c>
      <c r="E58" s="418">
        <f t="shared" si="35"/>
        <v>0</v>
      </c>
      <c r="F58" s="418">
        <f t="shared" si="36"/>
        <v>0</v>
      </c>
      <c r="G58" s="418">
        <f t="shared" si="37"/>
        <v>1.6113645881468539</v>
      </c>
      <c r="H58" s="419">
        <f t="shared" si="37"/>
        <v>696.76127935520446</v>
      </c>
      <c r="I58" s="420">
        <f t="shared" si="38"/>
        <v>695.14991476705757</v>
      </c>
      <c r="J58" s="421">
        <f>Trend!$B$1</f>
        <v>4.9500000000000002E-2</v>
      </c>
      <c r="K58" s="418">
        <f t="shared" si="39"/>
        <v>34.409920780969351</v>
      </c>
      <c r="L58" s="410">
        <f>[1]Expenditures!$AS31</f>
        <v>-8.3173753397804244E-3</v>
      </c>
      <c r="M58" s="418">
        <f t="shared" si="40"/>
        <v>-6.0680229850814209</v>
      </c>
      <c r="N58" s="418">
        <f t="shared" si="41"/>
        <v>28.341897795887931</v>
      </c>
      <c r="O58" s="422">
        <f t="shared" si="42"/>
        <v>723.49181256294548</v>
      </c>
      <c r="P58" s="420">
        <f t="shared" si="43"/>
        <v>0</v>
      </c>
      <c r="Q58" s="421"/>
      <c r="R58" s="418">
        <f t="shared" si="44"/>
        <v>0</v>
      </c>
      <c r="S58" s="423">
        <f t="shared" si="45"/>
        <v>0</v>
      </c>
      <c r="T58" s="420">
        <f t="shared" si="46"/>
        <v>0</v>
      </c>
      <c r="U58" s="424"/>
      <c r="V58" s="418">
        <f t="shared" si="47"/>
        <v>0</v>
      </c>
      <c r="W58" s="423">
        <f t="shared" si="48"/>
        <v>0</v>
      </c>
      <c r="X58" s="420">
        <f t="shared" si="49"/>
        <v>1.6113645881468539</v>
      </c>
      <c r="Y58" s="421">
        <f>Trend!$B$2</f>
        <v>5.3900000000000003E-2</v>
      </c>
      <c r="Z58" s="418">
        <f t="shared" si="50"/>
        <v>8.6852551301115424E-2</v>
      </c>
      <c r="AA58" s="423">
        <f t="shared" si="51"/>
        <v>1.6982171394479693</v>
      </c>
      <c r="AB58" s="425">
        <f t="shared" si="52"/>
        <v>725.19002970239342</v>
      </c>
    </row>
    <row r="59" spans="2:28" ht="18" customHeight="1" thickTop="1" x14ac:dyDescent="0.2">
      <c r="B59" s="450" t="s">
        <v>159</v>
      </c>
      <c r="C59" s="234">
        <f>SUM(C51:C58)</f>
        <v>127490603</v>
      </c>
      <c r="D59" s="427"/>
      <c r="E59" s="428"/>
      <c r="F59" s="428"/>
      <c r="G59" s="428"/>
      <c r="H59" s="429"/>
      <c r="I59" s="232"/>
      <c r="J59" s="428"/>
      <c r="K59" s="428"/>
      <c r="L59" s="428"/>
      <c r="M59" s="430"/>
      <c r="N59" s="431"/>
      <c r="O59" s="432"/>
      <c r="P59" s="232"/>
      <c r="Q59" s="428"/>
      <c r="R59" s="433"/>
      <c r="S59" s="434"/>
      <c r="T59" s="232"/>
      <c r="U59" s="435"/>
      <c r="V59" s="433"/>
      <c r="W59" s="434"/>
      <c r="X59" s="232"/>
      <c r="Y59" s="428"/>
      <c r="Z59" s="433"/>
      <c r="AA59" s="434"/>
      <c r="AB59" s="436"/>
    </row>
    <row r="60" spans="2:28" ht="18" customHeight="1" thickBot="1" x14ac:dyDescent="0.25">
      <c r="B60" s="437" t="s">
        <v>441</v>
      </c>
      <c r="C60" s="438"/>
      <c r="D60" s="439">
        <f>O41</f>
        <v>456.12713935884585</v>
      </c>
      <c r="E60" s="440">
        <f>S41</f>
        <v>0</v>
      </c>
      <c r="F60" s="440">
        <f>W41</f>
        <v>0</v>
      </c>
      <c r="G60" s="440">
        <f>AA41</f>
        <v>1.410183233048798</v>
      </c>
      <c r="H60" s="441">
        <f>AB41</f>
        <v>457.53732259189462</v>
      </c>
      <c r="I60" s="442">
        <f>D60</f>
        <v>456.12713935884585</v>
      </c>
      <c r="J60" s="443">
        <f>IF(I60=0,0,K60/I60)</f>
        <v>4.9499999999999995E-2</v>
      </c>
      <c r="K60" s="440">
        <f>SUMPRODUCT(K51:K58,$C$32:$C$39)/$C$40</f>
        <v>22.578293398262868</v>
      </c>
      <c r="L60" s="443">
        <f>M60/(I60+K60)</f>
        <v>-1.2032246233458445E-2</v>
      </c>
      <c r="M60" s="440">
        <f>SUMPRODUCT(M51:M58,$C$32:$C$39)/$C$40</f>
        <v>-5.7599016402278167</v>
      </c>
      <c r="N60" s="440">
        <f>K60+M60</f>
        <v>16.818391758035052</v>
      </c>
      <c r="O60" s="444">
        <f>I60+N60</f>
        <v>472.94553111688089</v>
      </c>
      <c r="P60" s="442">
        <f>E60</f>
        <v>0</v>
      </c>
      <c r="Q60" s="443">
        <f>IF(P60=0,0,R60/P60)</f>
        <v>0</v>
      </c>
      <c r="R60" s="440">
        <f>SUMPRODUCT(R51:R58,$C$32:$C$39)/$C$40</f>
        <v>0</v>
      </c>
      <c r="S60" s="445">
        <f>P60+R60</f>
        <v>0</v>
      </c>
      <c r="T60" s="442">
        <f>F60</f>
        <v>0</v>
      </c>
      <c r="U60" s="446">
        <f>IF(T60=0,0,V60/T60)</f>
        <v>0</v>
      </c>
      <c r="V60" s="440">
        <f>SUMPRODUCT(V51:V58,$C$32:$C$39)/$C$40</f>
        <v>0</v>
      </c>
      <c r="W60" s="445">
        <f>V60+T60</f>
        <v>0</v>
      </c>
      <c r="X60" s="442">
        <f>G60</f>
        <v>1.410183233048798</v>
      </c>
      <c r="Y60" s="443">
        <f>IF(X60=0,0,Z60/X60)</f>
        <v>5.3899999999999997E-2</v>
      </c>
      <c r="Z60" s="440">
        <f>SUMPRODUCT(Z51:Z58,$C$32:$C$39)/$C$40</f>
        <v>7.600887626133021E-2</v>
      </c>
      <c r="AA60" s="445">
        <f>Z60+X60</f>
        <v>1.4861921093101282</v>
      </c>
      <c r="AB60" s="447">
        <f>AA60+W60+S60+O60</f>
        <v>474.43172322619102</v>
      </c>
    </row>
    <row r="61" spans="2:28" ht="18" hidden="1" customHeight="1" x14ac:dyDescent="0.2">
      <c r="B61" s="184"/>
      <c r="C61" s="184"/>
      <c r="D61" s="88"/>
      <c r="E61" s="88"/>
      <c r="F61" s="88"/>
      <c r="G61" s="88"/>
      <c r="H61" s="88"/>
      <c r="I61" s="88"/>
      <c r="J61" s="185"/>
      <c r="K61" s="88"/>
      <c r="L61" s="185"/>
      <c r="M61" s="88"/>
      <c r="N61" s="88"/>
      <c r="O61" s="186"/>
      <c r="P61" s="88"/>
      <c r="Q61" s="185"/>
      <c r="R61" s="88"/>
      <c r="S61" s="187"/>
      <c r="T61" s="88"/>
      <c r="U61" s="188"/>
      <c r="V61" s="88"/>
      <c r="W61" s="187"/>
      <c r="X61" s="88"/>
      <c r="Y61" s="185"/>
      <c r="Z61" s="88"/>
      <c r="AA61" s="187"/>
      <c r="AB61" s="187"/>
    </row>
    <row r="62" spans="2:28" hidden="1" x14ac:dyDescent="0.2">
      <c r="J62" s="52"/>
      <c r="K62" s="52"/>
    </row>
    <row r="63" spans="2:28" hidden="1" x14ac:dyDescent="0.2">
      <c r="J63" s="52"/>
      <c r="K63" s="52"/>
    </row>
    <row r="64" spans="2:28" ht="12" thickBot="1" x14ac:dyDescent="0.25">
      <c r="J64" s="52"/>
      <c r="K64" s="52"/>
    </row>
    <row r="65" spans="2:28" ht="18" customHeight="1" x14ac:dyDescent="0.2">
      <c r="B65" s="378"/>
      <c r="C65" s="379"/>
      <c r="D65" s="380" t="s">
        <v>453</v>
      </c>
      <c r="E65" s="380"/>
      <c r="F65" s="380"/>
      <c r="G65" s="380"/>
      <c r="H65" s="381"/>
      <c r="I65" s="382" t="s">
        <v>454</v>
      </c>
      <c r="J65" s="382"/>
      <c r="K65" s="382"/>
      <c r="L65" s="382"/>
      <c r="M65" s="382"/>
      <c r="N65" s="382"/>
      <c r="O65" s="383"/>
      <c r="P65" s="382" t="s">
        <v>456</v>
      </c>
      <c r="Q65" s="382"/>
      <c r="R65" s="384"/>
      <c r="S65" s="385"/>
      <c r="T65" s="382" t="s">
        <v>458</v>
      </c>
      <c r="U65" s="382"/>
      <c r="V65" s="384"/>
      <c r="W65" s="385"/>
      <c r="X65" s="382" t="s">
        <v>459</v>
      </c>
      <c r="Y65" s="382"/>
      <c r="Z65" s="384"/>
      <c r="AA65" s="385"/>
      <c r="AB65" s="386"/>
    </row>
    <row r="66" spans="2:28" ht="24" customHeight="1" x14ac:dyDescent="0.2">
      <c r="B66" s="325" t="s">
        <v>72</v>
      </c>
      <c r="C66" s="326" t="s">
        <v>256</v>
      </c>
      <c r="D66" s="387" t="s">
        <v>452</v>
      </c>
      <c r="E66" s="387" t="s">
        <v>452</v>
      </c>
      <c r="F66" s="387" t="s">
        <v>452</v>
      </c>
      <c r="G66" s="387" t="s">
        <v>452</v>
      </c>
      <c r="H66" s="387" t="s">
        <v>452</v>
      </c>
      <c r="I66" s="327" t="s">
        <v>452</v>
      </c>
      <c r="J66" s="328" t="s">
        <v>78</v>
      </c>
      <c r="K66" s="328" t="s">
        <v>124</v>
      </c>
      <c r="L66" s="328" t="s">
        <v>125</v>
      </c>
      <c r="M66" s="328" t="s">
        <v>124</v>
      </c>
      <c r="N66" s="328" t="s">
        <v>126</v>
      </c>
      <c r="O66" s="388" t="s">
        <v>455</v>
      </c>
      <c r="P66" s="327" t="s">
        <v>452</v>
      </c>
      <c r="Q66" s="328" t="s">
        <v>128</v>
      </c>
      <c r="R66" s="328" t="s">
        <v>124</v>
      </c>
      <c r="S66" s="388" t="s">
        <v>455</v>
      </c>
      <c r="T66" s="327" t="s">
        <v>452</v>
      </c>
      <c r="U66" s="328" t="s">
        <v>129</v>
      </c>
      <c r="V66" s="328" t="s">
        <v>124</v>
      </c>
      <c r="W66" s="388" t="s">
        <v>455</v>
      </c>
      <c r="X66" s="448" t="s">
        <v>452</v>
      </c>
      <c r="Y66" s="328" t="s">
        <v>130</v>
      </c>
      <c r="Z66" s="328" t="s">
        <v>124</v>
      </c>
      <c r="AA66" s="388" t="s">
        <v>455</v>
      </c>
      <c r="AB66" s="389" t="s">
        <v>455</v>
      </c>
    </row>
    <row r="67" spans="2:28" ht="18" customHeight="1" x14ac:dyDescent="0.2">
      <c r="B67" s="325" t="s">
        <v>74</v>
      </c>
      <c r="C67" s="326" t="s">
        <v>257</v>
      </c>
      <c r="D67" s="390" t="s">
        <v>78</v>
      </c>
      <c r="E67" s="331" t="s">
        <v>81</v>
      </c>
      <c r="F67" s="331" t="s">
        <v>27</v>
      </c>
      <c r="G67" s="331" t="s">
        <v>82</v>
      </c>
      <c r="H67" s="326" t="s">
        <v>83</v>
      </c>
      <c r="I67" s="332" t="s">
        <v>136</v>
      </c>
      <c r="J67" s="331" t="s">
        <v>131</v>
      </c>
      <c r="K67" s="331" t="s">
        <v>132</v>
      </c>
      <c r="L67" s="331" t="s">
        <v>133</v>
      </c>
      <c r="M67" s="331" t="s">
        <v>134</v>
      </c>
      <c r="N67" s="331" t="s">
        <v>135</v>
      </c>
      <c r="O67" s="391" t="s">
        <v>136</v>
      </c>
      <c r="P67" s="332" t="s">
        <v>128</v>
      </c>
      <c r="Q67" s="331" t="s">
        <v>131</v>
      </c>
      <c r="R67" s="331" t="s">
        <v>132</v>
      </c>
      <c r="S67" s="326" t="s">
        <v>128</v>
      </c>
      <c r="T67" s="332" t="s">
        <v>137</v>
      </c>
      <c r="U67" s="331" t="s">
        <v>131</v>
      </c>
      <c r="V67" s="331" t="s">
        <v>132</v>
      </c>
      <c r="W67" s="326" t="s">
        <v>137</v>
      </c>
      <c r="X67" s="333" t="s">
        <v>138</v>
      </c>
      <c r="Y67" s="331" t="s">
        <v>131</v>
      </c>
      <c r="Z67" s="331" t="s">
        <v>132</v>
      </c>
      <c r="AA67" s="326" t="s">
        <v>138</v>
      </c>
      <c r="AB67" s="392" t="s">
        <v>139</v>
      </c>
    </row>
    <row r="68" spans="2:28" ht="18" customHeight="1" x14ac:dyDescent="0.2">
      <c r="B68" s="325"/>
      <c r="C68" s="393" t="s">
        <v>75</v>
      </c>
      <c r="D68" s="390" t="s">
        <v>87</v>
      </c>
      <c r="E68" s="331" t="s">
        <v>87</v>
      </c>
      <c r="F68" s="331" t="s">
        <v>87</v>
      </c>
      <c r="G68" s="331" t="s">
        <v>87</v>
      </c>
      <c r="H68" s="326" t="s">
        <v>231</v>
      </c>
      <c r="I68" s="332" t="s">
        <v>148</v>
      </c>
      <c r="J68" s="394" t="s">
        <v>457</v>
      </c>
      <c r="K68" s="331" t="s">
        <v>145</v>
      </c>
      <c r="L68" s="331" t="s">
        <v>146</v>
      </c>
      <c r="M68" s="331" t="s">
        <v>145</v>
      </c>
      <c r="N68" s="331" t="s">
        <v>147</v>
      </c>
      <c r="O68" s="391" t="s">
        <v>148</v>
      </c>
      <c r="P68" s="332" t="s">
        <v>149</v>
      </c>
      <c r="Q68" s="394" t="s">
        <v>457</v>
      </c>
      <c r="R68" s="331" t="s">
        <v>145</v>
      </c>
      <c r="S68" s="326" t="s">
        <v>149</v>
      </c>
      <c r="T68" s="332" t="s">
        <v>148</v>
      </c>
      <c r="U68" s="394" t="s">
        <v>457</v>
      </c>
      <c r="V68" s="331" t="s">
        <v>145</v>
      </c>
      <c r="W68" s="326" t="s">
        <v>148</v>
      </c>
      <c r="X68" s="333" t="s">
        <v>149</v>
      </c>
      <c r="Y68" s="394" t="s">
        <v>457</v>
      </c>
      <c r="Z68" s="331" t="s">
        <v>145</v>
      </c>
      <c r="AA68" s="326" t="s">
        <v>149</v>
      </c>
      <c r="AB68" s="392" t="s">
        <v>91</v>
      </c>
    </row>
    <row r="69" spans="2:28" ht="18" customHeight="1" x14ac:dyDescent="0.2">
      <c r="B69" s="395"/>
      <c r="C69" s="396" t="s">
        <v>84</v>
      </c>
      <c r="D69" s="397"/>
      <c r="E69" s="398"/>
      <c r="F69" s="398"/>
      <c r="G69" s="398"/>
      <c r="H69" s="399"/>
      <c r="I69" s="400"/>
      <c r="J69" s="401"/>
      <c r="K69" s="401"/>
      <c r="L69" s="401"/>
      <c r="M69" s="401"/>
      <c r="N69" s="401"/>
      <c r="O69" s="402"/>
      <c r="P69" s="400"/>
      <c r="Q69" s="401"/>
      <c r="R69" s="401"/>
      <c r="S69" s="402"/>
      <c r="T69" s="400"/>
      <c r="U69" s="401"/>
      <c r="V69" s="401"/>
      <c r="W69" s="402"/>
      <c r="X69" s="403"/>
      <c r="Y69" s="401"/>
      <c r="Z69" s="401"/>
      <c r="AA69" s="402"/>
      <c r="AB69" s="404"/>
    </row>
    <row r="70" spans="2:28" ht="18" customHeight="1" x14ac:dyDescent="0.2">
      <c r="B70" s="338" t="s">
        <v>519</v>
      </c>
      <c r="C70" s="405">
        <f>'D1. Member Months'!D10</f>
        <v>36779905</v>
      </c>
      <c r="D70" s="406">
        <f t="shared" ref="D70:D77" si="53">O51</f>
        <v>572.05401873813696</v>
      </c>
      <c r="E70" s="407">
        <f t="shared" ref="E70:E77" si="54">S51</f>
        <v>0</v>
      </c>
      <c r="F70" s="407">
        <f t="shared" ref="F70:F77" si="55">W51</f>
        <v>0</v>
      </c>
      <c r="G70" s="407">
        <f t="shared" ref="G70:H77" si="56">AA51</f>
        <v>1.8861253540312881</v>
      </c>
      <c r="H70" s="408">
        <f t="shared" si="56"/>
        <v>573.94014409216823</v>
      </c>
      <c r="I70" s="409">
        <f t="shared" ref="I70:I77" si="57">D70</f>
        <v>572.05401873813696</v>
      </c>
      <c r="J70" s="410">
        <f>Trend!$B$1</f>
        <v>4.9500000000000002E-2</v>
      </c>
      <c r="K70" s="407">
        <f t="shared" ref="K70:K77" si="58">J70*I70</f>
        <v>28.316673927537781</v>
      </c>
      <c r="L70" s="410">
        <f>[1]Expenditures!$AS35</f>
        <v>-9.1163671314177172E-3</v>
      </c>
      <c r="M70" s="407">
        <f t="shared" ref="M70:M77" si="59">(I70+K70)*(L70)</f>
        <v>-5.4731996492838446</v>
      </c>
      <c r="N70" s="407">
        <f t="shared" ref="N70:N77" si="60">K70+M70</f>
        <v>22.843474278253936</v>
      </c>
      <c r="O70" s="411">
        <f t="shared" ref="O70:O77" si="61">N70+I70</f>
        <v>594.89749301639085</v>
      </c>
      <c r="P70" s="409">
        <f t="shared" ref="P70:P77" si="62">E70</f>
        <v>0</v>
      </c>
      <c r="Q70" s="410"/>
      <c r="R70" s="407">
        <f t="shared" ref="R70:R77" si="63">Q70*P70</f>
        <v>0</v>
      </c>
      <c r="S70" s="412">
        <f t="shared" ref="S70:S77" si="64">P70+R70</f>
        <v>0</v>
      </c>
      <c r="T70" s="409">
        <f t="shared" ref="T70:T77" si="65">F70</f>
        <v>0</v>
      </c>
      <c r="U70" s="413"/>
      <c r="V70" s="407">
        <f t="shared" ref="V70:V77" si="66">T70*U70</f>
        <v>0</v>
      </c>
      <c r="W70" s="412">
        <f t="shared" ref="W70:W77" si="67">V70+T70</f>
        <v>0</v>
      </c>
      <c r="X70" s="409">
        <f t="shared" ref="X70:X77" si="68">G70</f>
        <v>1.8861253540312881</v>
      </c>
      <c r="Y70" s="410">
        <f>Trend!$B$2</f>
        <v>5.3900000000000003E-2</v>
      </c>
      <c r="Z70" s="407">
        <f t="shared" ref="Z70:Z77" si="69">Y70*X70</f>
        <v>0.10166215658228643</v>
      </c>
      <c r="AA70" s="412">
        <f t="shared" ref="AA70:AA77" si="70">Z70+X70</f>
        <v>1.9877875106135745</v>
      </c>
      <c r="AB70" s="414">
        <f t="shared" ref="AB70:AB77" si="71">AA70+W70+S70+O70</f>
        <v>596.8852805270044</v>
      </c>
    </row>
    <row r="71" spans="2:28" ht="18" customHeight="1" x14ac:dyDescent="0.2">
      <c r="B71" s="338" t="s">
        <v>525</v>
      </c>
      <c r="C71" s="449"/>
      <c r="D71" s="406">
        <f t="shared" si="53"/>
        <v>0</v>
      </c>
      <c r="E71" s="407">
        <f t="shared" si="54"/>
        <v>0</v>
      </c>
      <c r="F71" s="407">
        <f t="shared" si="55"/>
        <v>0</v>
      </c>
      <c r="G71" s="407">
        <f t="shared" si="56"/>
        <v>0</v>
      </c>
      <c r="H71" s="408">
        <f t="shared" si="56"/>
        <v>0</v>
      </c>
      <c r="I71" s="409">
        <f t="shared" si="57"/>
        <v>0</v>
      </c>
      <c r="J71" s="410">
        <v>0</v>
      </c>
      <c r="K71" s="407">
        <f t="shared" si="58"/>
        <v>0</v>
      </c>
      <c r="L71" s="410">
        <f>[1]Expenditures!$AS36</f>
        <v>0</v>
      </c>
      <c r="M71" s="407">
        <f t="shared" si="59"/>
        <v>0</v>
      </c>
      <c r="N71" s="407">
        <f t="shared" si="60"/>
        <v>0</v>
      </c>
      <c r="O71" s="411">
        <f t="shared" si="61"/>
        <v>0</v>
      </c>
      <c r="P71" s="409">
        <f t="shared" si="62"/>
        <v>0</v>
      </c>
      <c r="Q71" s="410"/>
      <c r="R71" s="407">
        <f t="shared" si="63"/>
        <v>0</v>
      </c>
      <c r="S71" s="412">
        <f t="shared" si="64"/>
        <v>0</v>
      </c>
      <c r="T71" s="409">
        <f t="shared" si="65"/>
        <v>0</v>
      </c>
      <c r="U71" s="413"/>
      <c r="V71" s="407">
        <f t="shared" si="66"/>
        <v>0</v>
      </c>
      <c r="W71" s="412">
        <f t="shared" si="67"/>
        <v>0</v>
      </c>
      <c r="X71" s="409">
        <f t="shared" si="68"/>
        <v>0</v>
      </c>
      <c r="Y71" s="410">
        <v>0</v>
      </c>
      <c r="Z71" s="407">
        <f t="shared" si="69"/>
        <v>0</v>
      </c>
      <c r="AA71" s="412">
        <f t="shared" si="70"/>
        <v>0</v>
      </c>
      <c r="AB71" s="414">
        <f t="shared" si="71"/>
        <v>0</v>
      </c>
    </row>
    <row r="72" spans="2:28" ht="18" customHeight="1" x14ac:dyDescent="0.2">
      <c r="B72" s="338" t="s">
        <v>520</v>
      </c>
      <c r="C72" s="449"/>
      <c r="D72" s="406">
        <f t="shared" si="53"/>
        <v>0</v>
      </c>
      <c r="E72" s="407">
        <f t="shared" si="54"/>
        <v>0</v>
      </c>
      <c r="F72" s="407">
        <f t="shared" si="55"/>
        <v>0</v>
      </c>
      <c r="G72" s="407">
        <f t="shared" si="56"/>
        <v>0</v>
      </c>
      <c r="H72" s="408">
        <f t="shared" si="56"/>
        <v>0</v>
      </c>
      <c r="I72" s="409">
        <f t="shared" si="57"/>
        <v>0</v>
      </c>
      <c r="J72" s="410">
        <v>0</v>
      </c>
      <c r="K72" s="407">
        <f t="shared" si="58"/>
        <v>0</v>
      </c>
      <c r="L72" s="410">
        <f>[1]Expenditures!$AS37</f>
        <v>0</v>
      </c>
      <c r="M72" s="407">
        <f t="shared" si="59"/>
        <v>0</v>
      </c>
      <c r="N72" s="407">
        <f t="shared" si="60"/>
        <v>0</v>
      </c>
      <c r="O72" s="411">
        <f t="shared" si="61"/>
        <v>0</v>
      </c>
      <c r="P72" s="409">
        <f t="shared" si="62"/>
        <v>0</v>
      </c>
      <c r="Q72" s="410"/>
      <c r="R72" s="407">
        <f t="shared" si="63"/>
        <v>0</v>
      </c>
      <c r="S72" s="412">
        <f t="shared" si="64"/>
        <v>0</v>
      </c>
      <c r="T72" s="409">
        <f t="shared" si="65"/>
        <v>0</v>
      </c>
      <c r="U72" s="413"/>
      <c r="V72" s="407">
        <f t="shared" si="66"/>
        <v>0</v>
      </c>
      <c r="W72" s="412">
        <f t="shared" si="67"/>
        <v>0</v>
      </c>
      <c r="X72" s="409">
        <f t="shared" si="68"/>
        <v>0</v>
      </c>
      <c r="Y72" s="410">
        <v>0</v>
      </c>
      <c r="Z72" s="407">
        <f t="shared" si="69"/>
        <v>0</v>
      </c>
      <c r="AA72" s="412">
        <f t="shared" si="70"/>
        <v>0</v>
      </c>
      <c r="AB72" s="414">
        <f t="shared" si="71"/>
        <v>0</v>
      </c>
    </row>
    <row r="73" spans="2:28" ht="18" customHeight="1" x14ac:dyDescent="0.2">
      <c r="B73" s="338" t="s">
        <v>518</v>
      </c>
      <c r="C73" s="405">
        <f>'D1. Member Months'!D13</f>
        <v>54139905</v>
      </c>
      <c r="D73" s="406">
        <f t="shared" si="53"/>
        <v>266.5993792806936</v>
      </c>
      <c r="E73" s="407">
        <f t="shared" si="54"/>
        <v>0</v>
      </c>
      <c r="F73" s="407">
        <f t="shared" si="55"/>
        <v>0</v>
      </c>
      <c r="G73" s="407">
        <f t="shared" si="56"/>
        <v>0.87132834386230629</v>
      </c>
      <c r="H73" s="408">
        <f t="shared" si="56"/>
        <v>267.47070762455593</v>
      </c>
      <c r="I73" s="409">
        <f t="shared" si="57"/>
        <v>266.5993792806936</v>
      </c>
      <c r="J73" s="410">
        <f>Trend!$B$1</f>
        <v>4.9500000000000002E-2</v>
      </c>
      <c r="K73" s="407">
        <f t="shared" si="58"/>
        <v>13.196669274394333</v>
      </c>
      <c r="L73" s="410">
        <f>[1]Expenditures!$AS38</f>
        <v>-1.5829977055247028E-2</v>
      </c>
      <c r="M73" s="407">
        <f t="shared" si="59"/>
        <v>-4.4291650287758246</v>
      </c>
      <c r="N73" s="407">
        <f t="shared" si="60"/>
        <v>8.7675042456185075</v>
      </c>
      <c r="O73" s="411">
        <f t="shared" si="61"/>
        <v>275.36688352631211</v>
      </c>
      <c r="P73" s="409">
        <f t="shared" si="62"/>
        <v>0</v>
      </c>
      <c r="Q73" s="410"/>
      <c r="R73" s="407">
        <f t="shared" si="63"/>
        <v>0</v>
      </c>
      <c r="S73" s="412">
        <f t="shared" si="64"/>
        <v>0</v>
      </c>
      <c r="T73" s="409">
        <f t="shared" si="65"/>
        <v>0</v>
      </c>
      <c r="U73" s="413"/>
      <c r="V73" s="407">
        <f t="shared" si="66"/>
        <v>0</v>
      </c>
      <c r="W73" s="412">
        <f t="shared" si="67"/>
        <v>0</v>
      </c>
      <c r="X73" s="409">
        <f t="shared" si="68"/>
        <v>0.87132834386230629</v>
      </c>
      <c r="Y73" s="410">
        <f>Trend!$B$2</f>
        <v>5.3900000000000003E-2</v>
      </c>
      <c r="Z73" s="407">
        <f t="shared" si="69"/>
        <v>4.6964597734178312E-2</v>
      </c>
      <c r="AA73" s="412">
        <f t="shared" si="70"/>
        <v>0.91829294159648456</v>
      </c>
      <c r="AB73" s="414">
        <f t="shared" si="71"/>
        <v>276.28517646790857</v>
      </c>
    </row>
    <row r="74" spans="2:28" ht="18" customHeight="1" x14ac:dyDescent="0.2">
      <c r="B74" s="338" t="s">
        <v>521</v>
      </c>
      <c r="C74" s="405">
        <f>'D1. Member Months'!D14</f>
        <v>994882</v>
      </c>
      <c r="D74" s="406">
        <f t="shared" si="53"/>
        <v>272.68635119002727</v>
      </c>
      <c r="E74" s="407">
        <f t="shared" si="54"/>
        <v>0</v>
      </c>
      <c r="F74" s="407">
        <f t="shared" si="55"/>
        <v>0</v>
      </c>
      <c r="G74" s="407">
        <f t="shared" si="56"/>
        <v>0.85001998702890713</v>
      </c>
      <c r="H74" s="408">
        <f t="shared" si="56"/>
        <v>273.5363711770562</v>
      </c>
      <c r="I74" s="409">
        <f t="shared" si="57"/>
        <v>272.68635119002727</v>
      </c>
      <c r="J74" s="410">
        <f>Trend!$B$1</f>
        <v>4.9500000000000002E-2</v>
      </c>
      <c r="K74" s="407">
        <f t="shared" si="58"/>
        <v>13.49797438390635</v>
      </c>
      <c r="L74" s="410">
        <f>[1]Expenditures!$AS39</f>
        <v>-1.5142782855933892E-2</v>
      </c>
      <c r="M74" s="407">
        <f t="shared" si="59"/>
        <v>-4.3336270989379653</v>
      </c>
      <c r="N74" s="407">
        <f t="shared" si="60"/>
        <v>9.1643472849683842</v>
      </c>
      <c r="O74" s="411">
        <f t="shared" si="61"/>
        <v>281.85069847499562</v>
      </c>
      <c r="P74" s="409">
        <f t="shared" si="62"/>
        <v>0</v>
      </c>
      <c r="Q74" s="410"/>
      <c r="R74" s="407">
        <f t="shared" si="63"/>
        <v>0</v>
      </c>
      <c r="S74" s="412">
        <f t="shared" si="64"/>
        <v>0</v>
      </c>
      <c r="T74" s="409">
        <f t="shared" si="65"/>
        <v>0</v>
      </c>
      <c r="U74" s="413"/>
      <c r="V74" s="407">
        <f t="shared" si="66"/>
        <v>0</v>
      </c>
      <c r="W74" s="412">
        <f t="shared" si="67"/>
        <v>0</v>
      </c>
      <c r="X74" s="409">
        <f t="shared" si="68"/>
        <v>0.85001998702890713</v>
      </c>
      <c r="Y74" s="410">
        <f>Trend!$B$2</f>
        <v>5.3900000000000003E-2</v>
      </c>
      <c r="Z74" s="407">
        <f t="shared" si="69"/>
        <v>4.5816077300858099E-2</v>
      </c>
      <c r="AA74" s="412">
        <f t="shared" si="70"/>
        <v>0.89583606432976526</v>
      </c>
      <c r="AB74" s="414">
        <f t="shared" si="71"/>
        <v>282.74653453932541</v>
      </c>
    </row>
    <row r="75" spans="2:28" ht="18" customHeight="1" x14ac:dyDescent="0.2">
      <c r="B75" s="338" t="s">
        <v>516</v>
      </c>
      <c r="C75" s="405">
        <f>'D1. Member Months'!D15</f>
        <v>14869740</v>
      </c>
      <c r="D75" s="406">
        <f t="shared" si="53"/>
        <v>181.22022597435202</v>
      </c>
      <c r="E75" s="407">
        <f t="shared" si="54"/>
        <v>0</v>
      </c>
      <c r="F75" s="407">
        <f t="shared" si="55"/>
        <v>0</v>
      </c>
      <c r="G75" s="407">
        <f t="shared" si="56"/>
        <v>0.59436585197835379</v>
      </c>
      <c r="H75" s="408">
        <f t="shared" si="56"/>
        <v>181.81459182633037</v>
      </c>
      <c r="I75" s="409">
        <f t="shared" si="57"/>
        <v>181.22022597435202</v>
      </c>
      <c r="J75" s="410">
        <f>Trend!$B$1</f>
        <v>4.9500000000000002E-2</v>
      </c>
      <c r="K75" s="407">
        <f t="shared" si="58"/>
        <v>8.9704011857304256</v>
      </c>
      <c r="L75" s="410">
        <f>[1]Expenditures!$AS40</f>
        <v>-1.8995524701322201E-2</v>
      </c>
      <c r="M75" s="407">
        <f t="shared" si="59"/>
        <v>-3.6127707561793074</v>
      </c>
      <c r="N75" s="407">
        <f t="shared" si="60"/>
        <v>5.3576304295511186</v>
      </c>
      <c r="O75" s="411">
        <f t="shared" si="61"/>
        <v>186.57785640390313</v>
      </c>
      <c r="P75" s="409">
        <f t="shared" si="62"/>
        <v>0</v>
      </c>
      <c r="Q75" s="410"/>
      <c r="R75" s="407">
        <f t="shared" si="63"/>
        <v>0</v>
      </c>
      <c r="S75" s="412">
        <f t="shared" si="64"/>
        <v>0</v>
      </c>
      <c r="T75" s="409">
        <f t="shared" si="65"/>
        <v>0</v>
      </c>
      <c r="U75" s="413"/>
      <c r="V75" s="407">
        <f t="shared" si="66"/>
        <v>0</v>
      </c>
      <c r="W75" s="412">
        <f t="shared" si="67"/>
        <v>0</v>
      </c>
      <c r="X75" s="409">
        <f t="shared" si="68"/>
        <v>0.59436585197835379</v>
      </c>
      <c r="Y75" s="410">
        <f>Trend!$B$2</f>
        <v>5.3900000000000003E-2</v>
      </c>
      <c r="Z75" s="407">
        <f t="shared" si="69"/>
        <v>3.2036319421633271E-2</v>
      </c>
      <c r="AA75" s="412">
        <f t="shared" si="70"/>
        <v>0.62640217139998711</v>
      </c>
      <c r="AB75" s="414">
        <f t="shared" si="71"/>
        <v>187.2042585753031</v>
      </c>
    </row>
    <row r="76" spans="2:28" ht="18" customHeight="1" x14ac:dyDescent="0.2">
      <c r="B76" s="346" t="s">
        <v>517</v>
      </c>
      <c r="C76" s="405">
        <f>'D1. Member Months'!$D$16</f>
        <v>9108336</v>
      </c>
      <c r="D76" s="406">
        <f t="shared" si="53"/>
        <v>1478.3629375874275</v>
      </c>
      <c r="E76" s="407">
        <f t="shared" si="54"/>
        <v>0</v>
      </c>
      <c r="F76" s="407">
        <f t="shared" si="55"/>
        <v>0</v>
      </c>
      <c r="G76" s="407">
        <f t="shared" si="56"/>
        <v>4.7814447824381947</v>
      </c>
      <c r="H76" s="408">
        <f t="shared" si="56"/>
        <v>1483.1443823698658</v>
      </c>
      <c r="I76" s="409">
        <f t="shared" si="57"/>
        <v>1478.3629375874275</v>
      </c>
      <c r="J76" s="410">
        <f>Trend!$B$1</f>
        <v>4.9500000000000002E-2</v>
      </c>
      <c r="K76" s="407">
        <f t="shared" si="58"/>
        <v>73.178965410577661</v>
      </c>
      <c r="L76" s="410">
        <f>[1]Expenditures!$AS41</f>
        <v>-8.9255849097697668E-3</v>
      </c>
      <c r="M76" s="407">
        <f t="shared" si="59"/>
        <v>-13.848418996274461</v>
      </c>
      <c r="N76" s="407">
        <f t="shared" si="60"/>
        <v>59.3305464143032</v>
      </c>
      <c r="O76" s="411">
        <f t="shared" si="61"/>
        <v>1537.6934840017307</v>
      </c>
      <c r="P76" s="409">
        <f t="shared" si="62"/>
        <v>0</v>
      </c>
      <c r="Q76" s="410"/>
      <c r="R76" s="407">
        <f t="shared" si="63"/>
        <v>0</v>
      </c>
      <c r="S76" s="412">
        <f t="shared" si="64"/>
        <v>0</v>
      </c>
      <c r="T76" s="409">
        <f t="shared" si="65"/>
        <v>0</v>
      </c>
      <c r="U76" s="415"/>
      <c r="V76" s="407">
        <f t="shared" si="66"/>
        <v>0</v>
      </c>
      <c r="W76" s="412">
        <f t="shared" si="67"/>
        <v>0</v>
      </c>
      <c r="X76" s="409">
        <f t="shared" si="68"/>
        <v>4.7814447824381947</v>
      </c>
      <c r="Y76" s="410">
        <f>Trend!$B$2</f>
        <v>5.3900000000000003E-2</v>
      </c>
      <c r="Z76" s="407">
        <f t="shared" si="69"/>
        <v>0.25771987377341871</v>
      </c>
      <c r="AA76" s="412">
        <f t="shared" si="70"/>
        <v>5.0391646562116135</v>
      </c>
      <c r="AB76" s="414">
        <f t="shared" si="71"/>
        <v>1542.7326486579423</v>
      </c>
    </row>
    <row r="77" spans="2:28" ht="18" customHeight="1" thickBot="1" x14ac:dyDescent="0.25">
      <c r="B77" s="348" t="s">
        <v>522</v>
      </c>
      <c r="C77" s="416">
        <f>'D1. Member Months'!$D$17+'D1. Member Months'!$C$11+'D1. Member Months'!$C$12</f>
        <v>11597835</v>
      </c>
      <c r="D77" s="417">
        <f t="shared" si="53"/>
        <v>723.49181256294548</v>
      </c>
      <c r="E77" s="418">
        <f t="shared" si="54"/>
        <v>0</v>
      </c>
      <c r="F77" s="418">
        <f t="shared" si="55"/>
        <v>0</v>
      </c>
      <c r="G77" s="418">
        <f t="shared" si="56"/>
        <v>1.6982171394479693</v>
      </c>
      <c r="H77" s="419">
        <f t="shared" si="56"/>
        <v>725.19002970239342</v>
      </c>
      <c r="I77" s="420">
        <f t="shared" si="57"/>
        <v>723.49181256294548</v>
      </c>
      <c r="J77" s="421">
        <f>Trend!$B$1</f>
        <v>4.9500000000000002E-2</v>
      </c>
      <c r="K77" s="418">
        <f t="shared" si="58"/>
        <v>35.812844721865801</v>
      </c>
      <c r="L77" s="410">
        <f>[1]Expenditures!$AS42</f>
        <v>-5.925042660920081E-3</v>
      </c>
      <c r="M77" s="418">
        <f t="shared" si="59"/>
        <v>-4.4989124870478081</v>
      </c>
      <c r="N77" s="418">
        <f t="shared" si="60"/>
        <v>31.313932234817994</v>
      </c>
      <c r="O77" s="422">
        <f t="shared" si="61"/>
        <v>754.80574479776351</v>
      </c>
      <c r="P77" s="420">
        <f t="shared" si="62"/>
        <v>0</v>
      </c>
      <c r="Q77" s="421"/>
      <c r="R77" s="418">
        <f t="shared" si="63"/>
        <v>0</v>
      </c>
      <c r="S77" s="423">
        <f t="shared" si="64"/>
        <v>0</v>
      </c>
      <c r="T77" s="420">
        <f t="shared" si="65"/>
        <v>0</v>
      </c>
      <c r="U77" s="424"/>
      <c r="V77" s="418">
        <f t="shared" si="66"/>
        <v>0</v>
      </c>
      <c r="W77" s="423">
        <f t="shared" si="67"/>
        <v>0</v>
      </c>
      <c r="X77" s="420">
        <f t="shared" si="68"/>
        <v>1.6982171394479693</v>
      </c>
      <c r="Y77" s="421">
        <f>Trend!$B$2</f>
        <v>5.3900000000000003E-2</v>
      </c>
      <c r="Z77" s="418">
        <f t="shared" si="69"/>
        <v>9.1533903816245543E-2</v>
      </c>
      <c r="AA77" s="423">
        <f t="shared" si="70"/>
        <v>1.7897510432642147</v>
      </c>
      <c r="AB77" s="425">
        <f t="shared" si="71"/>
        <v>756.59549584102774</v>
      </c>
    </row>
    <row r="78" spans="2:28" ht="18" customHeight="1" thickTop="1" x14ac:dyDescent="0.2">
      <c r="B78" s="450" t="s">
        <v>159</v>
      </c>
      <c r="C78" s="234">
        <f>SUM(C70:C77)</f>
        <v>127490603</v>
      </c>
      <c r="D78" s="427"/>
      <c r="E78" s="428"/>
      <c r="F78" s="428"/>
      <c r="G78" s="428"/>
      <c r="H78" s="429"/>
      <c r="I78" s="232"/>
      <c r="J78" s="428"/>
      <c r="K78" s="428"/>
      <c r="L78" s="428"/>
      <c r="M78" s="430"/>
      <c r="N78" s="431"/>
      <c r="O78" s="432"/>
      <c r="P78" s="232"/>
      <c r="Q78" s="428"/>
      <c r="R78" s="433"/>
      <c r="S78" s="434"/>
      <c r="T78" s="232"/>
      <c r="U78" s="435"/>
      <c r="V78" s="433"/>
      <c r="W78" s="434"/>
      <c r="X78" s="232"/>
      <c r="Y78" s="428"/>
      <c r="Z78" s="433"/>
      <c r="AA78" s="434"/>
      <c r="AB78" s="436"/>
    </row>
    <row r="79" spans="2:28" ht="18" customHeight="1" thickBot="1" x14ac:dyDescent="0.25">
      <c r="B79" s="437" t="s">
        <v>449</v>
      </c>
      <c r="C79" s="438"/>
      <c r="D79" s="439">
        <f>O60</f>
        <v>472.94553111688089</v>
      </c>
      <c r="E79" s="440">
        <f>S60</f>
        <v>0</v>
      </c>
      <c r="F79" s="440">
        <f>W60</f>
        <v>0</v>
      </c>
      <c r="G79" s="440">
        <f>AA60</f>
        <v>1.4861921093101282</v>
      </c>
      <c r="H79" s="441">
        <f>AB60</f>
        <v>474.43172322619102</v>
      </c>
      <c r="I79" s="442">
        <f>D79</f>
        <v>472.94553111688089</v>
      </c>
      <c r="J79" s="443">
        <f>IF(I79=0,0,K79/I79)</f>
        <v>4.9499999999999995E-2</v>
      </c>
      <c r="K79" s="440">
        <f>SUMPRODUCT(K70:K77,$C$32:$C$39)/$C$40</f>
        <v>23.410803790285602</v>
      </c>
      <c r="L79" s="443">
        <f>M79/(I79+K79)</f>
        <v>-1.0705376390692705E-2</v>
      </c>
      <c r="M79" s="440">
        <f>SUMPRODUCT(M70:M77,$C$32:$C$39)/$C$40</f>
        <v>-5.313681389085942</v>
      </c>
      <c r="N79" s="440">
        <f>K79+M79</f>
        <v>18.097122401199659</v>
      </c>
      <c r="O79" s="444">
        <f>I79+N79</f>
        <v>491.04265351808056</v>
      </c>
      <c r="P79" s="442">
        <f>E79</f>
        <v>0</v>
      </c>
      <c r="Q79" s="443">
        <f>IF(P79=0,0,R79/P79)</f>
        <v>0</v>
      </c>
      <c r="R79" s="440">
        <f>SUMPRODUCT(R70:R77,$C$32:$C$39)/$C$40</f>
        <v>0</v>
      </c>
      <c r="S79" s="445">
        <f>P79+R79</f>
        <v>0</v>
      </c>
      <c r="T79" s="442">
        <f>F79</f>
        <v>0</v>
      </c>
      <c r="U79" s="446">
        <f>IF(T79=0,0,V79/T79)</f>
        <v>0</v>
      </c>
      <c r="V79" s="440">
        <f>SUMPRODUCT(V70:V77,$C$32:$C$39)/$C$40</f>
        <v>0</v>
      </c>
      <c r="W79" s="445">
        <f>V79+T79</f>
        <v>0</v>
      </c>
      <c r="X79" s="442">
        <f>G79</f>
        <v>1.4861921093101282</v>
      </c>
      <c r="Y79" s="443">
        <f>IF(X79=0,0,Z79/X79)</f>
        <v>5.3899999999999997E-2</v>
      </c>
      <c r="Z79" s="440">
        <f>SUMPRODUCT(Z70:Z77,$C$32:$C$39)/$C$40</f>
        <v>8.0105754691815911E-2</v>
      </c>
      <c r="AA79" s="445">
        <f>Z79+X79</f>
        <v>1.5662978640019443</v>
      </c>
      <c r="AB79" s="447">
        <f>AA79+W79+S79+O79</f>
        <v>492.60895138208252</v>
      </c>
    </row>
    <row r="80" spans="2:28" ht="18" hidden="1" customHeight="1" x14ac:dyDescent="0.2">
      <c r="B80" s="184"/>
      <c r="C80" s="184"/>
      <c r="D80" s="88"/>
      <c r="E80" s="88"/>
      <c r="F80" s="88"/>
      <c r="G80" s="88"/>
      <c r="H80" s="88"/>
      <c r="I80" s="88"/>
      <c r="J80" s="185"/>
      <c r="K80" s="88"/>
      <c r="L80" s="185"/>
      <c r="M80" s="88"/>
      <c r="N80" s="88"/>
      <c r="O80" s="186"/>
      <c r="P80" s="88"/>
      <c r="Q80" s="185"/>
      <c r="R80" s="88"/>
      <c r="S80" s="187"/>
      <c r="T80" s="88"/>
      <c r="U80" s="188"/>
      <c r="V80" s="88"/>
      <c r="W80" s="187"/>
      <c r="X80" s="88"/>
      <c r="Y80" s="185"/>
      <c r="Z80" s="88"/>
      <c r="AA80" s="187"/>
      <c r="AB80" s="187"/>
    </row>
    <row r="81" spans="2:28" ht="18" hidden="1" customHeight="1" x14ac:dyDescent="0.2">
      <c r="B81" s="184"/>
      <c r="C81" s="184"/>
      <c r="D81" s="88"/>
      <c r="E81" s="88"/>
      <c r="F81" s="88"/>
      <c r="G81" s="88"/>
      <c r="H81" s="88"/>
      <c r="I81" s="88"/>
      <c r="J81" s="185"/>
      <c r="K81" s="88"/>
      <c r="L81" s="185"/>
      <c r="M81" s="88"/>
      <c r="N81" s="88"/>
      <c r="O81" s="186"/>
      <c r="P81" s="88"/>
      <c r="Q81" s="185"/>
      <c r="R81" s="88"/>
      <c r="S81" s="187"/>
      <c r="T81" s="88"/>
      <c r="U81" s="188"/>
      <c r="V81" s="88"/>
      <c r="W81" s="187"/>
      <c r="X81" s="88"/>
      <c r="Y81" s="185"/>
      <c r="Z81" s="88"/>
      <c r="AA81" s="187"/>
      <c r="AB81" s="187"/>
    </row>
    <row r="82" spans="2:28" hidden="1" x14ac:dyDescent="0.2">
      <c r="J82" s="52"/>
      <c r="K82" s="52"/>
    </row>
    <row r="83" spans="2:28" ht="12" thickBot="1" x14ac:dyDescent="0.25">
      <c r="J83" s="52"/>
      <c r="K83" s="52"/>
    </row>
    <row r="84" spans="2:28" ht="18" customHeight="1" x14ac:dyDescent="0.2">
      <c r="B84" s="378"/>
      <c r="C84" s="379"/>
      <c r="D84" s="380" t="s">
        <v>451</v>
      </c>
      <c r="E84" s="380"/>
      <c r="F84" s="380"/>
      <c r="G84" s="380"/>
      <c r="H84" s="381"/>
      <c r="I84" s="382" t="s">
        <v>465</v>
      </c>
      <c r="J84" s="382"/>
      <c r="K84" s="382"/>
      <c r="L84" s="382"/>
      <c r="M84" s="382"/>
      <c r="N84" s="382"/>
      <c r="O84" s="383"/>
      <c r="P84" s="382" t="s">
        <v>464</v>
      </c>
      <c r="Q84" s="382"/>
      <c r="R84" s="384"/>
      <c r="S84" s="385"/>
      <c r="T84" s="382" t="s">
        <v>463</v>
      </c>
      <c r="U84" s="382"/>
      <c r="V84" s="384"/>
      <c r="W84" s="385"/>
      <c r="X84" s="382" t="s">
        <v>460</v>
      </c>
      <c r="Y84" s="382"/>
      <c r="Z84" s="384"/>
      <c r="AA84" s="385"/>
      <c r="AB84" s="386"/>
    </row>
    <row r="85" spans="2:28" ht="24" customHeight="1" x14ac:dyDescent="0.2">
      <c r="B85" s="325" t="s">
        <v>72</v>
      </c>
      <c r="C85" s="326" t="s">
        <v>256</v>
      </c>
      <c r="D85" s="387" t="s">
        <v>450</v>
      </c>
      <c r="E85" s="387" t="s">
        <v>450</v>
      </c>
      <c r="F85" s="387" t="s">
        <v>450</v>
      </c>
      <c r="G85" s="387" t="s">
        <v>450</v>
      </c>
      <c r="H85" s="387" t="s">
        <v>450</v>
      </c>
      <c r="I85" s="327" t="s">
        <v>450</v>
      </c>
      <c r="J85" s="328" t="s">
        <v>78</v>
      </c>
      <c r="K85" s="328" t="s">
        <v>124</v>
      </c>
      <c r="L85" s="328" t="s">
        <v>125</v>
      </c>
      <c r="M85" s="328" t="s">
        <v>124</v>
      </c>
      <c r="N85" s="328" t="s">
        <v>126</v>
      </c>
      <c r="O85" s="388" t="s">
        <v>462</v>
      </c>
      <c r="P85" s="327" t="s">
        <v>450</v>
      </c>
      <c r="Q85" s="328" t="s">
        <v>128</v>
      </c>
      <c r="R85" s="328" t="s">
        <v>124</v>
      </c>
      <c r="S85" s="388" t="s">
        <v>462</v>
      </c>
      <c r="T85" s="327" t="s">
        <v>450</v>
      </c>
      <c r="U85" s="328" t="s">
        <v>129</v>
      </c>
      <c r="V85" s="328" t="s">
        <v>124</v>
      </c>
      <c r="W85" s="388" t="s">
        <v>462</v>
      </c>
      <c r="X85" s="448" t="s">
        <v>450</v>
      </c>
      <c r="Y85" s="328" t="s">
        <v>130</v>
      </c>
      <c r="Z85" s="328" t="s">
        <v>124</v>
      </c>
      <c r="AA85" s="388" t="s">
        <v>462</v>
      </c>
      <c r="AB85" s="389" t="s">
        <v>462</v>
      </c>
    </row>
    <row r="86" spans="2:28" ht="18" customHeight="1" x14ac:dyDescent="0.2">
      <c r="B86" s="325" t="s">
        <v>74</v>
      </c>
      <c r="C86" s="326" t="s">
        <v>257</v>
      </c>
      <c r="D86" s="390" t="s">
        <v>78</v>
      </c>
      <c r="E86" s="331" t="s">
        <v>81</v>
      </c>
      <c r="F86" s="331" t="s">
        <v>27</v>
      </c>
      <c r="G86" s="331" t="s">
        <v>82</v>
      </c>
      <c r="H86" s="326" t="s">
        <v>83</v>
      </c>
      <c r="I86" s="332" t="s">
        <v>136</v>
      </c>
      <c r="J86" s="331" t="s">
        <v>131</v>
      </c>
      <c r="K86" s="331" t="s">
        <v>132</v>
      </c>
      <c r="L86" s="331" t="s">
        <v>133</v>
      </c>
      <c r="M86" s="331" t="s">
        <v>134</v>
      </c>
      <c r="N86" s="331" t="s">
        <v>135</v>
      </c>
      <c r="O86" s="391" t="s">
        <v>136</v>
      </c>
      <c r="P86" s="332" t="s">
        <v>128</v>
      </c>
      <c r="Q86" s="331" t="s">
        <v>131</v>
      </c>
      <c r="R86" s="331" t="s">
        <v>132</v>
      </c>
      <c r="S86" s="326" t="s">
        <v>128</v>
      </c>
      <c r="T86" s="332" t="s">
        <v>137</v>
      </c>
      <c r="U86" s="331" t="s">
        <v>131</v>
      </c>
      <c r="V86" s="331" t="s">
        <v>132</v>
      </c>
      <c r="W86" s="326" t="s">
        <v>137</v>
      </c>
      <c r="X86" s="333" t="s">
        <v>138</v>
      </c>
      <c r="Y86" s="331" t="s">
        <v>131</v>
      </c>
      <c r="Z86" s="331" t="s">
        <v>132</v>
      </c>
      <c r="AA86" s="326" t="s">
        <v>138</v>
      </c>
      <c r="AB86" s="392" t="s">
        <v>139</v>
      </c>
    </row>
    <row r="87" spans="2:28" ht="18" customHeight="1" x14ac:dyDescent="0.2">
      <c r="B87" s="325"/>
      <c r="C87" s="393" t="s">
        <v>75</v>
      </c>
      <c r="D87" s="390" t="s">
        <v>87</v>
      </c>
      <c r="E87" s="331" t="s">
        <v>87</v>
      </c>
      <c r="F87" s="331" t="s">
        <v>87</v>
      </c>
      <c r="G87" s="331" t="s">
        <v>87</v>
      </c>
      <c r="H87" s="326" t="s">
        <v>231</v>
      </c>
      <c r="I87" s="332" t="s">
        <v>148</v>
      </c>
      <c r="J87" s="394" t="s">
        <v>461</v>
      </c>
      <c r="K87" s="331" t="s">
        <v>145</v>
      </c>
      <c r="L87" s="331" t="s">
        <v>146</v>
      </c>
      <c r="M87" s="331" t="s">
        <v>145</v>
      </c>
      <c r="N87" s="331" t="s">
        <v>147</v>
      </c>
      <c r="O87" s="391" t="s">
        <v>148</v>
      </c>
      <c r="P87" s="332" t="s">
        <v>149</v>
      </c>
      <c r="Q87" s="394" t="s">
        <v>164</v>
      </c>
      <c r="R87" s="331" t="s">
        <v>145</v>
      </c>
      <c r="S87" s="326" t="s">
        <v>149</v>
      </c>
      <c r="T87" s="332" t="s">
        <v>148</v>
      </c>
      <c r="U87" s="394" t="s">
        <v>164</v>
      </c>
      <c r="V87" s="331" t="s">
        <v>145</v>
      </c>
      <c r="W87" s="326" t="s">
        <v>148</v>
      </c>
      <c r="X87" s="333" t="s">
        <v>149</v>
      </c>
      <c r="Y87" s="394" t="s">
        <v>461</v>
      </c>
      <c r="Z87" s="331" t="s">
        <v>145</v>
      </c>
      <c r="AA87" s="326" t="s">
        <v>149</v>
      </c>
      <c r="AB87" s="392" t="s">
        <v>91</v>
      </c>
    </row>
    <row r="88" spans="2:28" ht="18" customHeight="1" x14ac:dyDescent="0.2">
      <c r="B88" s="395"/>
      <c r="C88" s="396" t="s">
        <v>84</v>
      </c>
      <c r="D88" s="397"/>
      <c r="E88" s="398"/>
      <c r="F88" s="398"/>
      <c r="G88" s="398"/>
      <c r="H88" s="399"/>
      <c r="I88" s="400"/>
      <c r="J88" s="401"/>
      <c r="K88" s="401"/>
      <c r="L88" s="401"/>
      <c r="M88" s="401"/>
      <c r="N88" s="401"/>
      <c r="O88" s="402"/>
      <c r="P88" s="400"/>
      <c r="Q88" s="401"/>
      <c r="R88" s="401"/>
      <c r="S88" s="402"/>
      <c r="T88" s="400"/>
      <c r="U88" s="401"/>
      <c r="V88" s="401"/>
      <c r="W88" s="402"/>
      <c r="X88" s="403"/>
      <c r="Y88" s="401"/>
      <c r="Z88" s="401"/>
      <c r="AA88" s="402"/>
      <c r="AB88" s="404"/>
    </row>
    <row r="89" spans="2:28" ht="18" customHeight="1" x14ac:dyDescent="0.2">
      <c r="B89" s="338" t="s">
        <v>519</v>
      </c>
      <c r="C89" s="405">
        <f>'D1. Member Months'!D10</f>
        <v>36779905</v>
      </c>
      <c r="D89" s="406">
        <f t="shared" ref="D89:D96" si="72">O70</f>
        <v>594.89749301639085</v>
      </c>
      <c r="E89" s="407">
        <f t="shared" ref="E89:E96" si="73">S70</f>
        <v>0</v>
      </c>
      <c r="F89" s="407">
        <f t="shared" ref="F89:F96" si="74">W70</f>
        <v>0</v>
      </c>
      <c r="G89" s="407">
        <f t="shared" ref="G89:H96" si="75">AA70</f>
        <v>1.9877875106135745</v>
      </c>
      <c r="H89" s="408">
        <f t="shared" si="75"/>
        <v>596.8852805270044</v>
      </c>
      <c r="I89" s="409">
        <f t="shared" ref="I89:I96" si="76">D89</f>
        <v>594.89749301639085</v>
      </c>
      <c r="J89" s="410">
        <f>Trend!$B$1</f>
        <v>4.9500000000000002E-2</v>
      </c>
      <c r="K89" s="407">
        <f t="shared" ref="K89:K96" si="77">J89*I89</f>
        <v>29.447425904311348</v>
      </c>
      <c r="L89" s="410">
        <f>[1]Expenditures!$AS46</f>
        <v>0</v>
      </c>
      <c r="M89" s="407">
        <f t="shared" ref="M89:M96" si="78">(I89+K89)*(L89)</f>
        <v>0</v>
      </c>
      <c r="N89" s="407">
        <f t="shared" ref="N89:N96" si="79">K89+M89</f>
        <v>29.447425904311348</v>
      </c>
      <c r="O89" s="411">
        <f t="shared" ref="O89:O96" si="80">N89+I89</f>
        <v>624.34491892070218</v>
      </c>
      <c r="P89" s="409">
        <f t="shared" ref="P89:P96" si="81">E89</f>
        <v>0</v>
      </c>
      <c r="Q89" s="410"/>
      <c r="R89" s="407">
        <f t="shared" ref="R89:R96" si="82">Q89*P89</f>
        <v>0</v>
      </c>
      <c r="S89" s="412">
        <f t="shared" ref="S89:S96" si="83">P89+R89</f>
        <v>0</v>
      </c>
      <c r="T89" s="409">
        <f t="shared" ref="T89:T96" si="84">F89</f>
        <v>0</v>
      </c>
      <c r="U89" s="413"/>
      <c r="V89" s="407">
        <f t="shared" ref="V89:V96" si="85">T89*U89</f>
        <v>0</v>
      </c>
      <c r="W89" s="412">
        <f t="shared" ref="W89:W96" si="86">V89+T89</f>
        <v>0</v>
      </c>
      <c r="X89" s="409">
        <f t="shared" ref="X89:X96" si="87">G89</f>
        <v>1.9877875106135745</v>
      </c>
      <c r="Y89" s="410">
        <f>Trend!$B$2</f>
        <v>5.3900000000000003E-2</v>
      </c>
      <c r="Z89" s="407">
        <f t="shared" ref="Z89:Z96" si="88">Y89*X89</f>
        <v>0.10714174682207167</v>
      </c>
      <c r="AA89" s="412">
        <f t="shared" ref="AA89:AA96" si="89">Z89+X89</f>
        <v>2.0949292574356462</v>
      </c>
      <c r="AB89" s="414">
        <f t="shared" ref="AB89:AB96" si="90">AA89+W89+S89+O89</f>
        <v>626.43984817813782</v>
      </c>
    </row>
    <row r="90" spans="2:28" ht="18" customHeight="1" x14ac:dyDescent="0.2">
      <c r="B90" s="338" t="s">
        <v>525</v>
      </c>
      <c r="C90" s="449"/>
      <c r="D90" s="406">
        <f t="shared" si="72"/>
        <v>0</v>
      </c>
      <c r="E90" s="407">
        <f t="shared" si="73"/>
        <v>0</v>
      </c>
      <c r="F90" s="407">
        <f t="shared" si="74"/>
        <v>0</v>
      </c>
      <c r="G90" s="407">
        <f t="shared" si="75"/>
        <v>0</v>
      </c>
      <c r="H90" s="408">
        <f t="shared" si="75"/>
        <v>0</v>
      </c>
      <c r="I90" s="409">
        <f t="shared" si="76"/>
        <v>0</v>
      </c>
      <c r="J90" s="410">
        <v>0</v>
      </c>
      <c r="K90" s="407">
        <f t="shared" si="77"/>
        <v>0</v>
      </c>
      <c r="L90" s="410">
        <f>[1]Expenditures!$AS47</f>
        <v>0</v>
      </c>
      <c r="M90" s="407">
        <f t="shared" si="78"/>
        <v>0</v>
      </c>
      <c r="N90" s="407">
        <f t="shared" si="79"/>
        <v>0</v>
      </c>
      <c r="O90" s="411">
        <f t="shared" si="80"/>
        <v>0</v>
      </c>
      <c r="P90" s="409">
        <f t="shared" si="81"/>
        <v>0</v>
      </c>
      <c r="Q90" s="410"/>
      <c r="R90" s="407">
        <f t="shared" si="82"/>
        <v>0</v>
      </c>
      <c r="S90" s="412">
        <f t="shared" si="83"/>
        <v>0</v>
      </c>
      <c r="T90" s="409">
        <f t="shared" si="84"/>
        <v>0</v>
      </c>
      <c r="U90" s="413"/>
      <c r="V90" s="407">
        <f t="shared" si="85"/>
        <v>0</v>
      </c>
      <c r="W90" s="412">
        <f t="shared" si="86"/>
        <v>0</v>
      </c>
      <c r="X90" s="409">
        <f t="shared" si="87"/>
        <v>0</v>
      </c>
      <c r="Y90" s="410">
        <v>0</v>
      </c>
      <c r="Z90" s="407">
        <f t="shared" si="88"/>
        <v>0</v>
      </c>
      <c r="AA90" s="412">
        <f t="shared" si="89"/>
        <v>0</v>
      </c>
      <c r="AB90" s="414">
        <f t="shared" si="90"/>
        <v>0</v>
      </c>
    </row>
    <row r="91" spans="2:28" ht="18" customHeight="1" x14ac:dyDescent="0.2">
      <c r="B91" s="338" t="s">
        <v>520</v>
      </c>
      <c r="C91" s="449"/>
      <c r="D91" s="406">
        <f t="shared" si="72"/>
        <v>0</v>
      </c>
      <c r="E91" s="407">
        <f t="shared" si="73"/>
        <v>0</v>
      </c>
      <c r="F91" s="407">
        <f t="shared" si="74"/>
        <v>0</v>
      </c>
      <c r="G91" s="407">
        <f t="shared" si="75"/>
        <v>0</v>
      </c>
      <c r="H91" s="408">
        <f t="shared" si="75"/>
        <v>0</v>
      </c>
      <c r="I91" s="409">
        <f t="shared" si="76"/>
        <v>0</v>
      </c>
      <c r="J91" s="410">
        <v>0</v>
      </c>
      <c r="K91" s="407">
        <f t="shared" si="77"/>
        <v>0</v>
      </c>
      <c r="L91" s="410">
        <f>[1]Expenditures!$AS48</f>
        <v>0</v>
      </c>
      <c r="M91" s="407">
        <f t="shared" si="78"/>
        <v>0</v>
      </c>
      <c r="N91" s="407">
        <f t="shared" si="79"/>
        <v>0</v>
      </c>
      <c r="O91" s="411">
        <f t="shared" si="80"/>
        <v>0</v>
      </c>
      <c r="P91" s="409">
        <f t="shared" si="81"/>
        <v>0</v>
      </c>
      <c r="Q91" s="410"/>
      <c r="R91" s="407">
        <f t="shared" si="82"/>
        <v>0</v>
      </c>
      <c r="S91" s="412">
        <f t="shared" si="83"/>
        <v>0</v>
      </c>
      <c r="T91" s="409">
        <f t="shared" si="84"/>
        <v>0</v>
      </c>
      <c r="U91" s="413"/>
      <c r="V91" s="407">
        <f t="shared" si="85"/>
        <v>0</v>
      </c>
      <c r="W91" s="412">
        <f t="shared" si="86"/>
        <v>0</v>
      </c>
      <c r="X91" s="409">
        <f t="shared" si="87"/>
        <v>0</v>
      </c>
      <c r="Y91" s="410">
        <v>0</v>
      </c>
      <c r="Z91" s="407">
        <f t="shared" si="88"/>
        <v>0</v>
      </c>
      <c r="AA91" s="412">
        <f t="shared" si="89"/>
        <v>0</v>
      </c>
      <c r="AB91" s="414">
        <f t="shared" si="90"/>
        <v>0</v>
      </c>
    </row>
    <row r="92" spans="2:28" ht="18" customHeight="1" x14ac:dyDescent="0.2">
      <c r="B92" s="338" t="s">
        <v>518</v>
      </c>
      <c r="C92" s="405">
        <f>'D1. Member Months'!D13</f>
        <v>54139905</v>
      </c>
      <c r="D92" s="406">
        <f t="shared" si="72"/>
        <v>275.36688352631211</v>
      </c>
      <c r="E92" s="407">
        <f t="shared" si="73"/>
        <v>0</v>
      </c>
      <c r="F92" s="407">
        <f t="shared" si="74"/>
        <v>0</v>
      </c>
      <c r="G92" s="407">
        <f t="shared" si="75"/>
        <v>0.91829294159648456</v>
      </c>
      <c r="H92" s="408">
        <f t="shared" si="75"/>
        <v>276.28517646790857</v>
      </c>
      <c r="I92" s="409">
        <f t="shared" si="76"/>
        <v>275.36688352631211</v>
      </c>
      <c r="J92" s="410">
        <f>Trend!$B$1</f>
        <v>4.9500000000000002E-2</v>
      </c>
      <c r="K92" s="407">
        <f t="shared" si="77"/>
        <v>13.63066073455245</v>
      </c>
      <c r="L92" s="410">
        <f>[1]Expenditures!$AS49</f>
        <v>0</v>
      </c>
      <c r="M92" s="407">
        <f t="shared" si="78"/>
        <v>0</v>
      </c>
      <c r="N92" s="407">
        <f t="shared" si="79"/>
        <v>13.63066073455245</v>
      </c>
      <c r="O92" s="411">
        <f t="shared" si="80"/>
        <v>288.99754426086457</v>
      </c>
      <c r="P92" s="409">
        <f t="shared" si="81"/>
        <v>0</v>
      </c>
      <c r="Q92" s="410"/>
      <c r="R92" s="407">
        <f t="shared" si="82"/>
        <v>0</v>
      </c>
      <c r="S92" s="412">
        <f t="shared" si="83"/>
        <v>0</v>
      </c>
      <c r="T92" s="409">
        <f t="shared" si="84"/>
        <v>0</v>
      </c>
      <c r="U92" s="413"/>
      <c r="V92" s="407">
        <f t="shared" si="85"/>
        <v>0</v>
      </c>
      <c r="W92" s="412">
        <f t="shared" si="86"/>
        <v>0</v>
      </c>
      <c r="X92" s="409">
        <f t="shared" si="87"/>
        <v>0.91829294159648456</v>
      </c>
      <c r="Y92" s="410">
        <f>Trend!$B$2</f>
        <v>5.3900000000000003E-2</v>
      </c>
      <c r="Z92" s="407">
        <f t="shared" si="88"/>
        <v>4.9495989552050521E-2</v>
      </c>
      <c r="AA92" s="412">
        <f t="shared" si="89"/>
        <v>0.96778893114853504</v>
      </c>
      <c r="AB92" s="414">
        <f t="shared" si="90"/>
        <v>289.96533319201313</v>
      </c>
    </row>
    <row r="93" spans="2:28" ht="18" customHeight="1" x14ac:dyDescent="0.2">
      <c r="B93" s="338" t="s">
        <v>521</v>
      </c>
      <c r="C93" s="405">
        <f>'D1. Member Months'!D14</f>
        <v>994882</v>
      </c>
      <c r="D93" s="406">
        <f t="shared" si="72"/>
        <v>281.85069847499562</v>
      </c>
      <c r="E93" s="407">
        <f t="shared" si="73"/>
        <v>0</v>
      </c>
      <c r="F93" s="407">
        <f t="shared" si="74"/>
        <v>0</v>
      </c>
      <c r="G93" s="407">
        <f t="shared" si="75"/>
        <v>0.89583606432976526</v>
      </c>
      <c r="H93" s="408">
        <f t="shared" si="75"/>
        <v>282.74653453932541</v>
      </c>
      <c r="I93" s="409">
        <f t="shared" si="76"/>
        <v>281.85069847499562</v>
      </c>
      <c r="J93" s="410">
        <f>Trend!$B$1</f>
        <v>4.9500000000000002E-2</v>
      </c>
      <c r="K93" s="407">
        <f t="shared" si="77"/>
        <v>13.951609574512284</v>
      </c>
      <c r="L93" s="410">
        <f>[1]Expenditures!$AS50</f>
        <v>0</v>
      </c>
      <c r="M93" s="407">
        <f t="shared" si="78"/>
        <v>0</v>
      </c>
      <c r="N93" s="407">
        <f t="shared" si="79"/>
        <v>13.951609574512284</v>
      </c>
      <c r="O93" s="411">
        <f t="shared" si="80"/>
        <v>295.80230804950793</v>
      </c>
      <c r="P93" s="409">
        <f t="shared" si="81"/>
        <v>0</v>
      </c>
      <c r="Q93" s="410"/>
      <c r="R93" s="407">
        <f t="shared" si="82"/>
        <v>0</v>
      </c>
      <c r="S93" s="412">
        <f t="shared" si="83"/>
        <v>0</v>
      </c>
      <c r="T93" s="409">
        <f t="shared" si="84"/>
        <v>0</v>
      </c>
      <c r="U93" s="413"/>
      <c r="V93" s="407">
        <f t="shared" si="85"/>
        <v>0</v>
      </c>
      <c r="W93" s="412">
        <f t="shared" si="86"/>
        <v>0</v>
      </c>
      <c r="X93" s="409">
        <f t="shared" si="87"/>
        <v>0.89583606432976526</v>
      </c>
      <c r="Y93" s="410">
        <f>Trend!$B$2</f>
        <v>5.3900000000000003E-2</v>
      </c>
      <c r="Z93" s="407">
        <f t="shared" si="88"/>
        <v>4.828556386737435E-2</v>
      </c>
      <c r="AA93" s="412">
        <f t="shared" si="89"/>
        <v>0.94412162819713963</v>
      </c>
      <c r="AB93" s="414">
        <f t="shared" si="90"/>
        <v>296.74642967770507</v>
      </c>
    </row>
    <row r="94" spans="2:28" ht="18" customHeight="1" x14ac:dyDescent="0.2">
      <c r="B94" s="338" t="s">
        <v>516</v>
      </c>
      <c r="C94" s="405">
        <f>'D1. Member Months'!D15</f>
        <v>14869740</v>
      </c>
      <c r="D94" s="406">
        <f t="shared" si="72"/>
        <v>186.57785640390313</v>
      </c>
      <c r="E94" s="407">
        <f t="shared" si="73"/>
        <v>0</v>
      </c>
      <c r="F94" s="407">
        <f t="shared" si="74"/>
        <v>0</v>
      </c>
      <c r="G94" s="407">
        <f t="shared" si="75"/>
        <v>0.62640217139998711</v>
      </c>
      <c r="H94" s="408">
        <f t="shared" si="75"/>
        <v>187.2042585753031</v>
      </c>
      <c r="I94" s="409">
        <f t="shared" si="76"/>
        <v>186.57785640390313</v>
      </c>
      <c r="J94" s="410">
        <f>Trend!$B$1</f>
        <v>4.9500000000000002E-2</v>
      </c>
      <c r="K94" s="407">
        <f t="shared" si="77"/>
        <v>9.2356038919932057</v>
      </c>
      <c r="L94" s="410">
        <f>[1]Expenditures!$AS51</f>
        <v>0</v>
      </c>
      <c r="M94" s="407">
        <f t="shared" si="78"/>
        <v>0</v>
      </c>
      <c r="N94" s="407">
        <f t="shared" si="79"/>
        <v>9.2356038919932057</v>
      </c>
      <c r="O94" s="411">
        <f t="shared" si="80"/>
        <v>195.81346029589633</v>
      </c>
      <c r="P94" s="409">
        <f t="shared" si="81"/>
        <v>0</v>
      </c>
      <c r="Q94" s="410"/>
      <c r="R94" s="407">
        <f t="shared" si="82"/>
        <v>0</v>
      </c>
      <c r="S94" s="412">
        <f t="shared" si="83"/>
        <v>0</v>
      </c>
      <c r="T94" s="409">
        <f t="shared" si="84"/>
        <v>0</v>
      </c>
      <c r="U94" s="413"/>
      <c r="V94" s="407">
        <f t="shared" si="85"/>
        <v>0</v>
      </c>
      <c r="W94" s="412">
        <f t="shared" si="86"/>
        <v>0</v>
      </c>
      <c r="X94" s="409">
        <f t="shared" si="87"/>
        <v>0.62640217139998711</v>
      </c>
      <c r="Y94" s="410">
        <f>Trend!$B$2</f>
        <v>5.3900000000000003E-2</v>
      </c>
      <c r="Z94" s="407">
        <f t="shared" si="88"/>
        <v>3.3763077038459308E-2</v>
      </c>
      <c r="AA94" s="412">
        <f t="shared" si="89"/>
        <v>0.66016524843844637</v>
      </c>
      <c r="AB94" s="414">
        <f t="shared" si="90"/>
        <v>196.47362554433479</v>
      </c>
    </row>
    <row r="95" spans="2:28" ht="18" customHeight="1" x14ac:dyDescent="0.2">
      <c r="B95" s="346" t="s">
        <v>517</v>
      </c>
      <c r="C95" s="405">
        <f>'D1. Member Months'!$D$16</f>
        <v>9108336</v>
      </c>
      <c r="D95" s="406">
        <f t="shared" si="72"/>
        <v>1537.6934840017307</v>
      </c>
      <c r="E95" s="407">
        <f t="shared" si="73"/>
        <v>0</v>
      </c>
      <c r="F95" s="407">
        <f t="shared" si="74"/>
        <v>0</v>
      </c>
      <c r="G95" s="407">
        <f t="shared" si="75"/>
        <v>5.0391646562116135</v>
      </c>
      <c r="H95" s="408">
        <f t="shared" si="75"/>
        <v>1542.7326486579423</v>
      </c>
      <c r="I95" s="409">
        <f t="shared" si="76"/>
        <v>1537.6934840017307</v>
      </c>
      <c r="J95" s="410">
        <f>Trend!$B$1</f>
        <v>4.9500000000000002E-2</v>
      </c>
      <c r="K95" s="407">
        <f t="shared" si="77"/>
        <v>76.115827458085676</v>
      </c>
      <c r="L95" s="410">
        <f>[1]Expenditures!$AS52</f>
        <v>0</v>
      </c>
      <c r="M95" s="407">
        <f t="shared" si="78"/>
        <v>0</v>
      </c>
      <c r="N95" s="407">
        <f t="shared" si="79"/>
        <v>76.115827458085676</v>
      </c>
      <c r="O95" s="411">
        <f t="shared" si="80"/>
        <v>1613.8093114598164</v>
      </c>
      <c r="P95" s="409">
        <f t="shared" si="81"/>
        <v>0</v>
      </c>
      <c r="Q95" s="410"/>
      <c r="R95" s="407">
        <f t="shared" si="82"/>
        <v>0</v>
      </c>
      <c r="S95" s="412">
        <f t="shared" si="83"/>
        <v>0</v>
      </c>
      <c r="T95" s="409">
        <f t="shared" si="84"/>
        <v>0</v>
      </c>
      <c r="U95" s="415"/>
      <c r="V95" s="407">
        <f t="shared" si="85"/>
        <v>0</v>
      </c>
      <c r="W95" s="412">
        <f t="shared" si="86"/>
        <v>0</v>
      </c>
      <c r="X95" s="409">
        <f t="shared" si="87"/>
        <v>5.0391646562116135</v>
      </c>
      <c r="Y95" s="410">
        <f>Trend!$B$2</f>
        <v>5.3900000000000003E-2</v>
      </c>
      <c r="Z95" s="407">
        <f t="shared" si="88"/>
        <v>0.27161097496980596</v>
      </c>
      <c r="AA95" s="412">
        <f t="shared" si="89"/>
        <v>5.3107756311814196</v>
      </c>
      <c r="AB95" s="414">
        <f t="shared" si="90"/>
        <v>1619.1200870909979</v>
      </c>
    </row>
    <row r="96" spans="2:28" ht="18" customHeight="1" thickBot="1" x14ac:dyDescent="0.25">
      <c r="B96" s="348" t="s">
        <v>522</v>
      </c>
      <c r="C96" s="416">
        <f>'D1. Member Months'!$D$17+'D1. Member Months'!$C$11+'D1. Member Months'!$C$12</f>
        <v>11597835</v>
      </c>
      <c r="D96" s="417">
        <f t="shared" si="72"/>
        <v>754.80574479776351</v>
      </c>
      <c r="E96" s="418">
        <f t="shared" si="73"/>
        <v>0</v>
      </c>
      <c r="F96" s="418">
        <f t="shared" si="74"/>
        <v>0</v>
      </c>
      <c r="G96" s="418">
        <f t="shared" si="75"/>
        <v>1.7897510432642147</v>
      </c>
      <c r="H96" s="419">
        <f t="shared" si="75"/>
        <v>756.59549584102774</v>
      </c>
      <c r="I96" s="420">
        <f t="shared" si="76"/>
        <v>754.80574479776351</v>
      </c>
      <c r="J96" s="421">
        <f>Trend!$B$1</f>
        <v>4.9500000000000002E-2</v>
      </c>
      <c r="K96" s="418">
        <f t="shared" si="77"/>
        <v>37.362884367489293</v>
      </c>
      <c r="L96" s="410">
        <f>[1]Expenditures!$AS53</f>
        <v>0</v>
      </c>
      <c r="M96" s="418">
        <f t="shared" si="78"/>
        <v>0</v>
      </c>
      <c r="N96" s="418">
        <f t="shared" si="79"/>
        <v>37.362884367489293</v>
      </c>
      <c r="O96" s="422">
        <f t="shared" si="80"/>
        <v>792.16862916525281</v>
      </c>
      <c r="P96" s="420">
        <f t="shared" si="81"/>
        <v>0</v>
      </c>
      <c r="Q96" s="421"/>
      <c r="R96" s="418">
        <f t="shared" si="82"/>
        <v>0</v>
      </c>
      <c r="S96" s="423">
        <f t="shared" si="83"/>
        <v>0</v>
      </c>
      <c r="T96" s="420">
        <f t="shared" si="84"/>
        <v>0</v>
      </c>
      <c r="U96" s="424"/>
      <c r="V96" s="418">
        <f t="shared" si="85"/>
        <v>0</v>
      </c>
      <c r="W96" s="423">
        <f t="shared" si="86"/>
        <v>0</v>
      </c>
      <c r="X96" s="420">
        <f t="shared" si="87"/>
        <v>1.7897510432642147</v>
      </c>
      <c r="Y96" s="421">
        <f>Trend!$B$2</f>
        <v>5.3900000000000003E-2</v>
      </c>
      <c r="Z96" s="418">
        <f t="shared" si="88"/>
        <v>9.6467581231941185E-2</v>
      </c>
      <c r="AA96" s="423">
        <f t="shared" si="89"/>
        <v>1.8862186244961558</v>
      </c>
      <c r="AB96" s="425">
        <f t="shared" si="90"/>
        <v>794.05484778974892</v>
      </c>
    </row>
    <row r="97" spans="2:28" ht="18" customHeight="1" thickTop="1" x14ac:dyDescent="0.2">
      <c r="B97" s="450" t="s">
        <v>159</v>
      </c>
      <c r="C97" s="234">
        <f>SUM(C89:C96)</f>
        <v>127490603</v>
      </c>
      <c r="D97" s="427"/>
      <c r="E97" s="428"/>
      <c r="F97" s="428"/>
      <c r="G97" s="428"/>
      <c r="H97" s="429"/>
      <c r="I97" s="232"/>
      <c r="J97" s="428"/>
      <c r="K97" s="428"/>
      <c r="L97" s="428"/>
      <c r="M97" s="430"/>
      <c r="N97" s="431"/>
      <c r="O97" s="432"/>
      <c r="P97" s="232"/>
      <c r="Q97" s="428"/>
      <c r="R97" s="433"/>
      <c r="S97" s="434"/>
      <c r="T97" s="232"/>
      <c r="U97" s="435"/>
      <c r="V97" s="433"/>
      <c r="W97" s="434"/>
      <c r="X97" s="232"/>
      <c r="Y97" s="428"/>
      <c r="Z97" s="433"/>
      <c r="AA97" s="434"/>
      <c r="AB97" s="436"/>
    </row>
    <row r="98" spans="2:28" ht="18" customHeight="1" thickBot="1" x14ac:dyDescent="0.25">
      <c r="B98" s="437" t="s">
        <v>466</v>
      </c>
      <c r="C98" s="438"/>
      <c r="D98" s="439">
        <f>O79</f>
        <v>491.04265351808056</v>
      </c>
      <c r="E98" s="440">
        <f>S79</f>
        <v>0</v>
      </c>
      <c r="F98" s="440">
        <f>W79</f>
        <v>0</v>
      </c>
      <c r="G98" s="440">
        <f>AA79</f>
        <v>1.5662978640019443</v>
      </c>
      <c r="H98" s="441">
        <f>AB79</f>
        <v>492.60895138208252</v>
      </c>
      <c r="I98" s="442">
        <f>D98</f>
        <v>491.04265351808056</v>
      </c>
      <c r="J98" s="443">
        <f>IF(I98=0,0,K98/I98)</f>
        <v>4.9499999999999995E-2</v>
      </c>
      <c r="K98" s="440">
        <f>SUMPRODUCT(K89:K96,$C$32:$C$39)/$C$40</f>
        <v>24.306611349144987</v>
      </c>
      <c r="L98" s="443">
        <f>M98/(I98+K98)</f>
        <v>0</v>
      </c>
      <c r="M98" s="440">
        <f>SUMPRODUCT(M89:M96,$C$32:$C$39)/$C$40</f>
        <v>0</v>
      </c>
      <c r="N98" s="440">
        <f>K98+M98</f>
        <v>24.306611349144987</v>
      </c>
      <c r="O98" s="444">
        <f>I98+N98</f>
        <v>515.34926486722554</v>
      </c>
      <c r="P98" s="442">
        <f>E98</f>
        <v>0</v>
      </c>
      <c r="Q98" s="443">
        <f>IF(P98=0,0,R98/P98)</f>
        <v>0</v>
      </c>
      <c r="R98" s="440">
        <f>SUMPRODUCT(R89:R96,$C$32:$C$39)/$C$40</f>
        <v>0</v>
      </c>
      <c r="S98" s="445">
        <f>P98+R98</f>
        <v>0</v>
      </c>
      <c r="T98" s="442">
        <f>F98</f>
        <v>0</v>
      </c>
      <c r="U98" s="446">
        <f>IF(T98=0,0,V98/T98)</f>
        <v>0</v>
      </c>
      <c r="V98" s="440">
        <f>SUMPRODUCT(V89:V96,$C$32:$C$39)/$C$40</f>
        <v>0</v>
      </c>
      <c r="W98" s="445">
        <f>V98+T98</f>
        <v>0</v>
      </c>
      <c r="X98" s="442">
        <f>G98</f>
        <v>1.5662978640019443</v>
      </c>
      <c r="Y98" s="443">
        <f>IF(X98=0,0,Z98/X98)</f>
        <v>5.3899999999999997E-2</v>
      </c>
      <c r="Z98" s="440">
        <f>SUMPRODUCT(Z89:Z96,$C$32:$C$39)/$C$40</f>
        <v>8.4423454869704789E-2</v>
      </c>
      <c r="AA98" s="445">
        <f>Z98+X98</f>
        <v>1.650721318871649</v>
      </c>
      <c r="AB98" s="447">
        <f>AA98+W98+S98+O98</f>
        <v>516.9999861860972</v>
      </c>
    </row>
    <row r="99" spans="2:28" hidden="1" x14ac:dyDescent="0.2">
      <c r="J99" s="52"/>
      <c r="K99" s="52"/>
    </row>
    <row r="100" spans="2:28" hidden="1" x14ac:dyDescent="0.2">
      <c r="J100" s="52"/>
      <c r="K100" s="52"/>
    </row>
    <row r="101" spans="2:28" hidden="1" x14ac:dyDescent="0.2">
      <c r="J101" s="52"/>
      <c r="K101" s="52"/>
    </row>
    <row r="102" spans="2:28" hidden="1" x14ac:dyDescent="0.2">
      <c r="D102" s="174"/>
      <c r="E102" s="174"/>
      <c r="J102" s="52"/>
      <c r="K102" s="52"/>
    </row>
    <row r="103" spans="2:28" hidden="1" x14ac:dyDescent="0.2">
      <c r="J103" s="52"/>
      <c r="K103" s="52"/>
    </row>
    <row r="104" spans="2:28" hidden="1" x14ac:dyDescent="0.2">
      <c r="J104" s="52"/>
      <c r="K104" s="52"/>
    </row>
    <row r="105" spans="2:28" hidden="1" x14ac:dyDescent="0.2">
      <c r="J105" s="52"/>
      <c r="K105" s="52"/>
    </row>
    <row r="106" spans="2:28" hidden="1" x14ac:dyDescent="0.2">
      <c r="J106" s="52"/>
      <c r="K106" s="52"/>
    </row>
    <row r="107" spans="2:28" hidden="1" x14ac:dyDescent="0.2">
      <c r="J107" s="52"/>
      <c r="K107" s="52"/>
    </row>
    <row r="108" spans="2:28" hidden="1" x14ac:dyDescent="0.2">
      <c r="J108" s="52"/>
      <c r="K108" s="52"/>
    </row>
    <row r="109" spans="2:28" hidden="1" x14ac:dyDescent="0.2">
      <c r="J109" s="52"/>
      <c r="K109" s="52"/>
    </row>
    <row r="110" spans="2:28" hidden="1" x14ac:dyDescent="0.2">
      <c r="J110" s="52"/>
      <c r="K110" s="52"/>
    </row>
    <row r="111" spans="2:28" hidden="1" x14ac:dyDescent="0.2">
      <c r="J111" s="52"/>
      <c r="K111" s="52"/>
    </row>
    <row r="112" spans="2:28" hidden="1" x14ac:dyDescent="0.2">
      <c r="J112" s="52"/>
      <c r="K112" s="52"/>
    </row>
    <row r="113" spans="10:11" hidden="1" x14ac:dyDescent="0.2">
      <c r="J113" s="52"/>
      <c r="K113" s="52"/>
    </row>
    <row r="114" spans="10:11" hidden="1" x14ac:dyDescent="0.2">
      <c r="J114" s="52"/>
      <c r="K114" s="52"/>
    </row>
    <row r="115" spans="10:11" hidden="1" x14ac:dyDescent="0.2">
      <c r="J115" s="52"/>
      <c r="K115" s="52"/>
    </row>
    <row r="116" spans="10:11" hidden="1" x14ac:dyDescent="0.2">
      <c r="J116" s="52"/>
      <c r="K116" s="52"/>
    </row>
    <row r="117" spans="10:11" hidden="1" x14ac:dyDescent="0.2">
      <c r="J117" s="52"/>
      <c r="K117" s="52"/>
    </row>
    <row r="118" spans="10:11" hidden="1" x14ac:dyDescent="0.2">
      <c r="J118" s="52"/>
      <c r="K118" s="52"/>
    </row>
    <row r="119" spans="10:11" hidden="1" x14ac:dyDescent="0.2">
      <c r="J119" s="52"/>
      <c r="K119" s="52"/>
    </row>
    <row r="120" spans="10:11" hidden="1" x14ac:dyDescent="0.2">
      <c r="J120" s="52"/>
      <c r="K120" s="52"/>
    </row>
    <row r="121" spans="10:11" hidden="1" x14ac:dyDescent="0.2">
      <c r="J121" s="52"/>
      <c r="K121" s="52"/>
    </row>
    <row r="122" spans="10:11" hidden="1" x14ac:dyDescent="0.2">
      <c r="J122" s="52"/>
      <c r="K122" s="52"/>
    </row>
    <row r="123" spans="10:11" hidden="1" x14ac:dyDescent="0.2">
      <c r="J123" s="52"/>
      <c r="K123" s="52"/>
    </row>
    <row r="124" spans="10:11" hidden="1" x14ac:dyDescent="0.2">
      <c r="J124" s="52"/>
      <c r="K124" s="52"/>
    </row>
    <row r="125" spans="10:11" hidden="1" x14ac:dyDescent="0.2">
      <c r="J125" s="52"/>
      <c r="K125" s="52"/>
    </row>
    <row r="126" spans="10:11" hidden="1" x14ac:dyDescent="0.2">
      <c r="J126" s="52"/>
      <c r="K126" s="52"/>
    </row>
    <row r="127" spans="10:11" hidden="1" x14ac:dyDescent="0.2">
      <c r="J127" s="52"/>
      <c r="K127" s="52"/>
    </row>
    <row r="128" spans="10:11" hidden="1" x14ac:dyDescent="0.2">
      <c r="J128" s="52"/>
      <c r="K128" s="52"/>
    </row>
    <row r="129" spans="10:11" hidden="1" x14ac:dyDescent="0.2">
      <c r="J129" s="52"/>
      <c r="K129" s="52"/>
    </row>
    <row r="130" spans="10:11" hidden="1" x14ac:dyDescent="0.2">
      <c r="J130" s="52"/>
      <c r="K130" s="52"/>
    </row>
    <row r="131" spans="10:11" hidden="1" x14ac:dyDescent="0.2">
      <c r="J131" s="52"/>
      <c r="K131" s="52"/>
    </row>
    <row r="132" spans="10:11" hidden="1" x14ac:dyDescent="0.2">
      <c r="J132" s="52"/>
      <c r="K132" s="52"/>
    </row>
    <row r="133" spans="10:11" hidden="1" x14ac:dyDescent="0.2">
      <c r="J133" s="52"/>
      <c r="K133" s="52"/>
    </row>
    <row r="134" spans="10:11" hidden="1" x14ac:dyDescent="0.2">
      <c r="J134" s="52"/>
      <c r="K134" s="52"/>
    </row>
    <row r="135" spans="10:11" hidden="1" x14ac:dyDescent="0.2">
      <c r="J135" s="52"/>
      <c r="K135" s="52"/>
    </row>
    <row r="136" spans="10:11" hidden="1" x14ac:dyDescent="0.2">
      <c r="J136" s="52"/>
      <c r="K136" s="52"/>
    </row>
    <row r="137" spans="10:11" hidden="1" x14ac:dyDescent="0.2">
      <c r="J137" s="52"/>
      <c r="K137" s="52"/>
    </row>
    <row r="138" spans="10:11" hidden="1" x14ac:dyDescent="0.2">
      <c r="J138" s="52"/>
      <c r="K138" s="52"/>
    </row>
    <row r="139" spans="10:11" hidden="1" x14ac:dyDescent="0.2">
      <c r="J139" s="52"/>
      <c r="K139" s="52"/>
    </row>
    <row r="140" spans="10:11" hidden="1" x14ac:dyDescent="0.2">
      <c r="J140" s="52"/>
      <c r="K140" s="52"/>
    </row>
    <row r="141" spans="10:11" hidden="1" x14ac:dyDescent="0.2">
      <c r="J141" s="52"/>
      <c r="K141" s="52"/>
    </row>
    <row r="142" spans="10:11" hidden="1" x14ac:dyDescent="0.2">
      <c r="J142" s="52"/>
      <c r="K142" s="52"/>
    </row>
    <row r="143" spans="10:11" hidden="1" x14ac:dyDescent="0.2">
      <c r="J143" s="52"/>
      <c r="K143" s="52"/>
    </row>
    <row r="144" spans="10:11" hidden="1" x14ac:dyDescent="0.2">
      <c r="J144" s="52"/>
      <c r="K144" s="52"/>
    </row>
    <row r="145" spans="10:11" hidden="1" x14ac:dyDescent="0.2">
      <c r="J145" s="52"/>
      <c r="K145" s="52"/>
    </row>
    <row r="146" spans="10:11" hidden="1" x14ac:dyDescent="0.2">
      <c r="J146" s="52"/>
      <c r="K146" s="52"/>
    </row>
    <row r="147" spans="10:11" hidden="1" x14ac:dyDescent="0.2">
      <c r="J147" s="52"/>
      <c r="K147" s="52"/>
    </row>
    <row r="148" spans="10:11" hidden="1" x14ac:dyDescent="0.2">
      <c r="J148" s="52"/>
      <c r="K148" s="52"/>
    </row>
    <row r="149" spans="10:11" hidden="1" x14ac:dyDescent="0.2">
      <c r="J149" s="52"/>
      <c r="K149" s="52"/>
    </row>
    <row r="150" spans="10:11" hidden="1" x14ac:dyDescent="0.2">
      <c r="J150" s="52"/>
      <c r="K150" s="52"/>
    </row>
    <row r="151" spans="10:11" hidden="1" x14ac:dyDescent="0.2">
      <c r="J151" s="52"/>
      <c r="K151" s="52"/>
    </row>
    <row r="152" spans="10:11" hidden="1" x14ac:dyDescent="0.2">
      <c r="J152" s="52"/>
      <c r="K152" s="52"/>
    </row>
    <row r="153" spans="10:11" hidden="1" x14ac:dyDescent="0.2">
      <c r="J153" s="52"/>
      <c r="K153" s="52"/>
    </row>
    <row r="154" spans="10:11" hidden="1" x14ac:dyDescent="0.2">
      <c r="J154" s="52"/>
      <c r="K154" s="52"/>
    </row>
    <row r="155" spans="10:11" hidden="1" x14ac:dyDescent="0.2">
      <c r="J155" s="52"/>
      <c r="K155" s="52"/>
    </row>
    <row r="156" spans="10:11" hidden="1" x14ac:dyDescent="0.2">
      <c r="J156" s="52"/>
      <c r="K156" s="52"/>
    </row>
    <row r="157" spans="10:11" hidden="1" x14ac:dyDescent="0.2">
      <c r="J157" s="52"/>
      <c r="K157" s="52"/>
    </row>
    <row r="158" spans="10:11" hidden="1" x14ac:dyDescent="0.2">
      <c r="J158" s="52"/>
      <c r="K158" s="52"/>
    </row>
    <row r="159" spans="10:11" hidden="1" x14ac:dyDescent="0.2">
      <c r="J159" s="52"/>
      <c r="K159" s="52"/>
    </row>
    <row r="160" spans="10:11" hidden="1" x14ac:dyDescent="0.2">
      <c r="J160" s="52"/>
      <c r="K160" s="52"/>
    </row>
    <row r="161" spans="10:11" hidden="1" x14ac:dyDescent="0.2">
      <c r="J161" s="52"/>
      <c r="K161" s="52"/>
    </row>
    <row r="162" spans="10:11" hidden="1" x14ac:dyDescent="0.2">
      <c r="J162" s="52"/>
      <c r="K162" s="52"/>
    </row>
    <row r="163" spans="10:11" hidden="1" x14ac:dyDescent="0.2">
      <c r="J163" s="52"/>
      <c r="K163" s="52"/>
    </row>
    <row r="164" spans="10:11" hidden="1" x14ac:dyDescent="0.2">
      <c r="J164" s="52"/>
      <c r="K164" s="52"/>
    </row>
    <row r="165" spans="10:11" hidden="1" x14ac:dyDescent="0.2">
      <c r="J165" s="52"/>
      <c r="K165" s="52"/>
    </row>
    <row r="166" spans="10:11" hidden="1" x14ac:dyDescent="0.2">
      <c r="J166" s="52"/>
      <c r="K166" s="52"/>
    </row>
    <row r="167" spans="10:11" hidden="1" x14ac:dyDescent="0.2">
      <c r="J167" s="52"/>
      <c r="K167" s="52"/>
    </row>
    <row r="168" spans="10:11" hidden="1" x14ac:dyDescent="0.2">
      <c r="J168" s="52"/>
      <c r="K168" s="52"/>
    </row>
    <row r="169" spans="10:11" hidden="1" x14ac:dyDescent="0.2">
      <c r="J169" s="52"/>
      <c r="K169" s="52"/>
    </row>
    <row r="170" spans="10:11" hidden="1" x14ac:dyDescent="0.2">
      <c r="J170" s="52"/>
      <c r="K170" s="52"/>
    </row>
    <row r="171" spans="10:11" hidden="1" x14ac:dyDescent="0.2">
      <c r="J171" s="52"/>
      <c r="K171" s="52"/>
    </row>
    <row r="172" spans="10:11" hidden="1" x14ac:dyDescent="0.2">
      <c r="J172" s="52"/>
      <c r="K172" s="52"/>
    </row>
    <row r="173" spans="10:11" hidden="1" x14ac:dyDescent="0.2">
      <c r="J173" s="52"/>
      <c r="K173" s="52"/>
    </row>
    <row r="174" spans="10:11" hidden="1" x14ac:dyDescent="0.2">
      <c r="J174" s="52"/>
      <c r="K174" s="52"/>
    </row>
    <row r="175" spans="10:11" hidden="1" x14ac:dyDescent="0.2">
      <c r="J175" s="52"/>
      <c r="K175" s="52"/>
    </row>
    <row r="176" spans="10:11" hidden="1" x14ac:dyDescent="0.2">
      <c r="J176" s="52"/>
      <c r="K176" s="52"/>
    </row>
    <row r="177" spans="10:11" hidden="1" x14ac:dyDescent="0.2">
      <c r="J177" s="52"/>
      <c r="K177" s="52"/>
    </row>
    <row r="178" spans="10:11" hidden="1" x14ac:dyDescent="0.2">
      <c r="J178" s="52"/>
      <c r="K178" s="52"/>
    </row>
    <row r="179" spans="10:11" hidden="1" x14ac:dyDescent="0.2">
      <c r="J179" s="52"/>
      <c r="K179" s="52"/>
    </row>
    <row r="180" spans="10:11" hidden="1" x14ac:dyDescent="0.2">
      <c r="J180" s="52"/>
      <c r="K180" s="52"/>
    </row>
    <row r="181" spans="10:11" hidden="1" x14ac:dyDescent="0.2">
      <c r="J181" s="52"/>
      <c r="K181" s="52"/>
    </row>
    <row r="182" spans="10:11" hidden="1" x14ac:dyDescent="0.2">
      <c r="J182" s="52"/>
      <c r="K182" s="52"/>
    </row>
    <row r="183" spans="10:11" hidden="1" x14ac:dyDescent="0.2">
      <c r="J183" s="52"/>
      <c r="K183" s="52"/>
    </row>
    <row r="184" spans="10:11" hidden="1" x14ac:dyDescent="0.2">
      <c r="J184" s="52"/>
      <c r="K184" s="52"/>
    </row>
    <row r="185" spans="10:11" hidden="1" x14ac:dyDescent="0.2">
      <c r="J185" s="52"/>
      <c r="K185" s="52"/>
    </row>
    <row r="186" spans="10:11" hidden="1" x14ac:dyDescent="0.2">
      <c r="J186" s="52"/>
      <c r="K186" s="52"/>
    </row>
    <row r="187" spans="10:11" hidden="1" x14ac:dyDescent="0.2">
      <c r="J187" s="52"/>
      <c r="K187" s="52"/>
    </row>
    <row r="188" spans="10:11" hidden="1" x14ac:dyDescent="0.2">
      <c r="J188" s="52"/>
      <c r="K188" s="52"/>
    </row>
  </sheetData>
  <mergeCells count="2">
    <mergeCell ref="C23:O23"/>
    <mergeCell ref="C25:O25"/>
  </mergeCells>
  <phoneticPr fontId="0" type="noConversion"/>
  <printOptions horizontalCentered="1"/>
  <pageMargins left="0.25" right="0.25" top="1.5" bottom="1" header="1" footer="0.5"/>
  <pageSetup scale="27" fitToWidth="3" orientation="landscape" r:id="rId1"/>
  <headerFooter alignWithMargins="0">
    <oddHeader xml:space="preserve">&amp;L&amp;"Arial,Bold"&amp;12State of &amp;C&amp;"Arial,Bold"&amp;12Appendix &amp;A&amp;R&amp;"Arial,Bold"&amp;12 </oddHeader>
    <oddFooter>&amp;L&amp;8'&amp;A'&amp;C&amp;8Page &amp;P of &amp;N&amp;R&amp;8&amp;F</oddFooter>
  </headerFooter>
  <rowBreaks count="1" manualBreakCount="1">
    <brk id="62"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53"/>
  <sheetViews>
    <sheetView showGridLines="0" topLeftCell="A97" zoomScale="70" zoomScaleNormal="70" zoomScaleSheetLayoutView="70" workbookViewId="0">
      <selection activeCell="AG128" sqref="AG128"/>
    </sheetView>
  </sheetViews>
  <sheetFormatPr defaultColWidth="0" defaultRowHeight="11.25" zeroHeight="1" x14ac:dyDescent="0.2"/>
  <cols>
    <col min="1" max="1" width="6.140625" style="24" bestFit="1" customWidth="1"/>
    <col min="2" max="2" width="43" style="24" bestFit="1" customWidth="1"/>
    <col min="3" max="3" width="15.140625" style="24" bestFit="1" customWidth="1"/>
    <col min="4" max="4" width="19.85546875" style="24" bestFit="1" customWidth="1"/>
    <col min="5" max="5" width="15.140625" style="24" bestFit="1" customWidth="1"/>
    <col min="6" max="6" width="17.140625" style="24" bestFit="1" customWidth="1"/>
    <col min="7" max="7" width="19.85546875" style="24" bestFit="1" customWidth="1"/>
    <col min="8" max="8" width="14" style="24" bestFit="1" customWidth="1"/>
    <col min="9" max="9" width="15.140625" style="24" bestFit="1" customWidth="1"/>
    <col min="10" max="10" width="19.85546875" style="24" bestFit="1" customWidth="1"/>
    <col min="11" max="12" width="14.140625" style="24" bestFit="1" customWidth="1"/>
    <col min="13" max="13" width="16.85546875" style="24" bestFit="1" customWidth="1"/>
    <col min="14" max="14" width="14.140625" style="24" bestFit="1" customWidth="1"/>
    <col min="15" max="15" width="17.140625" style="24" bestFit="1" customWidth="1"/>
    <col min="16" max="16" width="27" style="24" customWidth="1"/>
    <col min="17" max="17" width="28" style="24" bestFit="1" customWidth="1"/>
    <col min="18" max="18" width="26.140625" style="24" bestFit="1" customWidth="1"/>
    <col min="19" max="19" width="25.140625" style="24" customWidth="1"/>
    <col min="20" max="20" width="25.5703125" style="24" customWidth="1"/>
    <col min="21" max="21" width="23.85546875" style="24" customWidth="1"/>
    <col min="22" max="22" width="34.140625" style="24" bestFit="1" customWidth="1"/>
    <col min="23" max="23" width="37.140625" style="24" bestFit="1" customWidth="1"/>
    <col min="24" max="24" width="27" style="24" customWidth="1"/>
    <col min="25" max="25" width="20" style="24" customWidth="1"/>
    <col min="26" max="26" width="12.85546875" style="24" bestFit="1" customWidth="1"/>
    <col min="27" max="27" width="14.140625" style="24" bestFit="1" customWidth="1"/>
    <col min="28" max="28" width="16.140625" style="24" bestFit="1" customWidth="1"/>
    <col min="29" max="29" width="11" style="24" bestFit="1" customWidth="1"/>
    <col min="30" max="30" width="14.140625" style="24" customWidth="1"/>
    <col min="31" max="31" width="16.140625" style="24" customWidth="1"/>
    <col min="32" max="32" width="13.5703125" style="24" customWidth="1"/>
    <col min="33" max="33" width="14.140625" style="24" bestFit="1" customWidth="1"/>
    <col min="34" max="34" width="16.140625" style="24" customWidth="1"/>
    <col min="35" max="35" width="11" style="24" bestFit="1" customWidth="1"/>
    <col min="36" max="36" width="0.140625" style="24" customWidth="1"/>
    <col min="37" max="37" width="0.85546875" style="24" hidden="1"/>
    <col min="38" max="38" width="1.140625" style="24" hidden="1"/>
    <col min="39" max="39" width="0.85546875" style="24" hidden="1"/>
    <col min="40" max="40" width="16.140625" style="24" hidden="1"/>
    <col min="41" max="41" width="11" style="24" hidden="1"/>
    <col min="42" max="42" width="14.140625" style="24" hidden="1"/>
    <col min="43" max="43" width="16.140625" style="24" hidden="1"/>
    <col min="44" max="44" width="11" style="24" hidden="1"/>
    <col min="45" max="45" width="14.140625" style="24" hidden="1"/>
    <col min="46" max="46" width="16.140625" style="24" hidden="1"/>
    <col min="47" max="47" width="11" style="24" hidden="1"/>
    <col min="48" max="189" width="0" style="24" hidden="1"/>
    <col min="190" max="16384" width="9.140625" style="24" hidden="1"/>
  </cols>
  <sheetData>
    <row r="1" spans="1:189" s="62" customFormat="1" ht="12.75" x14ac:dyDescent="0.2">
      <c r="A1" s="451" t="s">
        <v>544</v>
      </c>
      <c r="B1" s="62" t="s">
        <v>1</v>
      </c>
      <c r="C1" s="62" t="s">
        <v>2</v>
      </c>
      <c r="D1" s="62" t="s">
        <v>3</v>
      </c>
      <c r="E1" s="62" t="s">
        <v>4</v>
      </c>
      <c r="F1" s="62" t="s">
        <v>5</v>
      </c>
      <c r="G1" s="62" t="s">
        <v>6</v>
      </c>
      <c r="H1" s="62" t="s">
        <v>7</v>
      </c>
      <c r="I1" s="62" t="s">
        <v>8</v>
      </c>
      <c r="J1" s="62" t="s">
        <v>9</v>
      </c>
      <c r="K1" s="62" t="s">
        <v>10</v>
      </c>
      <c r="L1" s="62" t="s">
        <v>11</v>
      </c>
      <c r="M1" s="62" t="s">
        <v>12</v>
      </c>
      <c r="N1" s="62" t="s">
        <v>13</v>
      </c>
      <c r="O1" s="62" t="s">
        <v>68</v>
      </c>
      <c r="P1" s="62" t="s">
        <v>109</v>
      </c>
      <c r="Q1" s="62" t="s">
        <v>110</v>
      </c>
      <c r="R1" s="62" t="s">
        <v>111</v>
      </c>
      <c r="S1" s="62" t="s">
        <v>112</v>
      </c>
      <c r="T1" s="62" t="s">
        <v>113</v>
      </c>
      <c r="U1" s="62" t="s">
        <v>114</v>
      </c>
      <c r="V1" s="62" t="s">
        <v>115</v>
      </c>
      <c r="W1" s="62" t="s">
        <v>116</v>
      </c>
      <c r="X1" s="62" t="s">
        <v>40</v>
      </c>
      <c r="Y1" s="62" t="s">
        <v>117</v>
      </c>
      <c r="Z1" s="62" t="s">
        <v>118</v>
      </c>
      <c r="AA1" s="62" t="s">
        <v>119</v>
      </c>
      <c r="AB1" s="62" t="s">
        <v>120</v>
      </c>
      <c r="AC1" s="62" t="s">
        <v>302</v>
      </c>
      <c r="AD1" s="62" t="s">
        <v>303</v>
      </c>
      <c r="AE1" s="62" t="s">
        <v>304</v>
      </c>
      <c r="AF1" s="62" t="s">
        <v>305</v>
      </c>
      <c r="AG1" s="62" t="s">
        <v>306</v>
      </c>
      <c r="AH1" s="62" t="s">
        <v>307</v>
      </c>
      <c r="AI1" s="62" t="s">
        <v>308</v>
      </c>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row>
    <row r="2" spans="1:189" s="91" customFormat="1" ht="15" customHeight="1" x14ac:dyDescent="0.2">
      <c r="A2" s="62"/>
      <c r="B2" s="153" t="s">
        <v>330</v>
      </c>
      <c r="C2" s="65"/>
      <c r="D2" s="65"/>
      <c r="E2" s="65"/>
      <c r="F2" s="65"/>
      <c r="G2" s="65"/>
      <c r="H2" s="65"/>
      <c r="I2" s="65"/>
      <c r="J2" s="65"/>
      <c r="K2" s="65"/>
      <c r="L2" s="65"/>
      <c r="M2" s="65"/>
      <c r="N2" s="65"/>
      <c r="O2"/>
      <c r="P2" s="490" t="s">
        <v>240</v>
      </c>
      <c r="Q2" s="106"/>
      <c r="R2" s="65"/>
      <c r="S2" s="65"/>
      <c r="T2" s="65"/>
      <c r="U2" s="65"/>
      <c r="V2" s="106" t="s">
        <v>275</v>
      </c>
      <c r="W2" s="65"/>
      <c r="X2" s="65"/>
      <c r="Y2" s="65"/>
      <c r="Z2" s="65"/>
      <c r="AA2" s="65"/>
      <c r="AB2" s="65"/>
      <c r="AC2" s="65"/>
      <c r="AD2" s="20"/>
      <c r="AE2" s="20"/>
      <c r="AF2" s="20"/>
      <c r="AG2" s="65"/>
      <c r="AH2" s="65"/>
      <c r="AI2" s="65"/>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row>
    <row r="3" spans="1:189" customFormat="1" ht="15" customHeight="1" x14ac:dyDescent="0.2">
      <c r="A3" s="62"/>
      <c r="B3" s="157" t="s">
        <v>331</v>
      </c>
      <c r="G3" s="212" t="s">
        <v>398</v>
      </c>
      <c r="H3" s="212" t="str">
        <f>'D1. Member Months'!G4</f>
        <v>California</v>
      </c>
      <c r="R3" s="212" t="s">
        <v>398</v>
      </c>
      <c r="S3" s="212" t="str">
        <f>'D1. Member Months'!G4</f>
        <v>California</v>
      </c>
      <c r="Z3" t="s">
        <v>398</v>
      </c>
      <c r="AA3" t="str">
        <f>'D1. Member Months'!G4</f>
        <v>California</v>
      </c>
    </row>
    <row r="4" spans="1:189" s="66" customFormat="1" ht="18" customHeight="1" x14ac:dyDescent="0.2">
      <c r="A4" s="62"/>
      <c r="B4" s="489" t="s">
        <v>271</v>
      </c>
      <c r="C4" s="65"/>
      <c r="D4" s="64"/>
      <c r="E4" s="64"/>
      <c r="F4" s="64"/>
      <c r="G4" s="64"/>
      <c r="H4" s="64"/>
      <c r="I4" s="64"/>
      <c r="J4" s="64"/>
      <c r="K4" s="126"/>
      <c r="L4" s="126"/>
      <c r="M4" s="126"/>
      <c r="N4" s="126"/>
      <c r="O4"/>
      <c r="P4" s="489" t="s">
        <v>271</v>
      </c>
      <c r="Q4" s="64"/>
      <c r="R4" s="64"/>
      <c r="S4" s="64"/>
      <c r="T4" s="64"/>
      <c r="U4" s="64"/>
      <c r="V4" s="64" t="s">
        <v>271</v>
      </c>
      <c r="W4" s="65"/>
      <c r="X4" s="65"/>
      <c r="Y4" s="65"/>
      <c r="Z4" s="64"/>
      <c r="AA4" s="64"/>
      <c r="AB4" s="64"/>
      <c r="AC4" s="64"/>
      <c r="AD4" s="20"/>
      <c r="AE4" s="20"/>
      <c r="AF4" s="20"/>
      <c r="AG4" s="65"/>
      <c r="AH4" s="65"/>
      <c r="AI4" s="65"/>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row>
    <row r="5" spans="1:189" s="66" customFormat="1" ht="15" customHeight="1" thickBot="1" x14ac:dyDescent="0.25">
      <c r="A5" s="62"/>
      <c r="B5" s="452" t="s">
        <v>15</v>
      </c>
      <c r="C5" s="91"/>
      <c r="D5" s="64"/>
      <c r="E5" s="64"/>
      <c r="F5" s="64"/>
      <c r="G5" s="64"/>
      <c r="H5" s="64"/>
      <c r="I5" s="64"/>
      <c r="J5" s="64"/>
      <c r="K5" s="64"/>
      <c r="L5" s="64"/>
      <c r="M5" s="64"/>
      <c r="N5" s="64"/>
      <c r="O5" s="65"/>
      <c r="P5" s="489" t="s">
        <v>277</v>
      </c>
      <c r="Q5" s="64"/>
      <c r="R5" s="64"/>
      <c r="S5" s="64"/>
      <c r="T5" s="64"/>
      <c r="U5" s="64"/>
      <c r="V5" s="64" t="s">
        <v>276</v>
      </c>
      <c r="W5" s="65"/>
      <c r="X5" s="65"/>
      <c r="Y5" s="65"/>
      <c r="Z5" s="64"/>
      <c r="AA5" s="64"/>
      <c r="AB5" s="64"/>
      <c r="AC5" s="64"/>
      <c r="AD5" s="20"/>
      <c r="AE5" s="20"/>
      <c r="AF5" s="20"/>
      <c r="AG5" s="65"/>
      <c r="AH5" s="65"/>
      <c r="AI5" s="6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row>
    <row r="6" spans="1:189" ht="15" customHeight="1" thickBot="1" x14ac:dyDescent="0.25">
      <c r="A6" s="62"/>
      <c r="B6" s="453"/>
      <c r="C6" s="454" t="s">
        <v>17</v>
      </c>
      <c r="D6" s="455" t="s">
        <v>309</v>
      </c>
      <c r="E6" s="456"/>
      <c r="F6" s="456"/>
      <c r="G6" s="456"/>
      <c r="H6" s="457"/>
      <c r="I6" s="458" t="s">
        <v>176</v>
      </c>
      <c r="P6" s="128"/>
      <c r="Q6" s="128"/>
      <c r="R6" s="128"/>
      <c r="S6" s="128"/>
      <c r="T6" s="128"/>
      <c r="U6" s="128"/>
      <c r="V6" s="129" t="str">
        <f>P20</f>
        <v>Projected Year 1</v>
      </c>
      <c r="W6" s="129"/>
      <c r="X6" s="20"/>
      <c r="Y6" s="20"/>
      <c r="Z6" s="20"/>
      <c r="AA6" s="20"/>
      <c r="AB6" s="20"/>
      <c r="AC6" s="20"/>
      <c r="AD6" s="20"/>
      <c r="AE6" s="20"/>
      <c r="AF6" s="20"/>
      <c r="AG6" s="20"/>
      <c r="AH6" s="20"/>
      <c r="AI6" s="20"/>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row>
    <row r="7" spans="1:189" ht="15" customHeight="1" thickBot="1" x14ac:dyDescent="0.25">
      <c r="A7" s="62"/>
      <c r="B7" s="459" t="s">
        <v>174</v>
      </c>
      <c r="C7" s="460" t="s">
        <v>175</v>
      </c>
      <c r="D7" s="461" t="s">
        <v>176</v>
      </c>
      <c r="E7" s="462" t="s">
        <v>176</v>
      </c>
      <c r="F7" s="462" t="s">
        <v>176</v>
      </c>
      <c r="G7" s="462" t="s">
        <v>176</v>
      </c>
      <c r="H7" s="463" t="s">
        <v>176</v>
      </c>
      <c r="I7" s="464" t="s">
        <v>280</v>
      </c>
      <c r="P7" s="129"/>
      <c r="Q7" s="129"/>
      <c r="R7" s="129"/>
      <c r="S7" s="129"/>
      <c r="T7" s="129"/>
      <c r="U7" s="129"/>
      <c r="V7" s="499"/>
      <c r="W7" s="499"/>
      <c r="X7" s="548" t="s">
        <v>298</v>
      </c>
      <c r="Y7" s="130"/>
      <c r="Z7" s="131"/>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row>
    <row r="8" spans="1:189" ht="15" customHeight="1" x14ac:dyDescent="0.2">
      <c r="A8" s="62"/>
      <c r="B8" s="459" t="s">
        <v>177</v>
      </c>
      <c r="C8" s="465" t="s">
        <v>140</v>
      </c>
      <c r="D8" s="466" t="s">
        <v>136</v>
      </c>
      <c r="E8" s="467" t="s">
        <v>81</v>
      </c>
      <c r="F8" s="467" t="s">
        <v>137</v>
      </c>
      <c r="G8" s="467" t="s">
        <v>82</v>
      </c>
      <c r="H8" s="468" t="s">
        <v>139</v>
      </c>
      <c r="I8" s="464" t="s">
        <v>87</v>
      </c>
      <c r="P8" s="129"/>
      <c r="Q8" s="129"/>
      <c r="R8" s="129"/>
      <c r="S8" s="129"/>
      <c r="T8" s="129"/>
      <c r="U8" s="129"/>
      <c r="V8" s="506"/>
      <c r="W8" s="506"/>
      <c r="X8" s="491" t="s">
        <v>297</v>
      </c>
      <c r="Y8" s="141"/>
      <c r="Z8" s="141"/>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5" customHeight="1" thickBot="1" x14ac:dyDescent="0.25">
      <c r="A9" s="62"/>
      <c r="B9" s="469" t="s">
        <v>74</v>
      </c>
      <c r="C9" s="470" t="s">
        <v>18</v>
      </c>
      <c r="D9" s="471" t="s">
        <v>148</v>
      </c>
      <c r="E9" s="472" t="s">
        <v>148</v>
      </c>
      <c r="F9" s="472" t="s">
        <v>148</v>
      </c>
      <c r="G9" s="472" t="s">
        <v>148</v>
      </c>
      <c r="H9" s="473" t="s">
        <v>91</v>
      </c>
      <c r="I9" s="474" t="s">
        <v>300</v>
      </c>
      <c r="P9" s="129"/>
      <c r="Q9" s="129"/>
      <c r="R9" s="129"/>
      <c r="S9" s="129"/>
      <c r="T9" s="129"/>
      <c r="U9" s="129"/>
      <c r="V9" s="512" t="s">
        <v>274</v>
      </c>
      <c r="W9" s="512" t="s">
        <v>14</v>
      </c>
      <c r="X9" s="549" t="s">
        <v>301</v>
      </c>
      <c r="Y9" s="142"/>
      <c r="Z9" s="143"/>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row>
    <row r="10" spans="1:189" ht="15" customHeight="1" x14ac:dyDescent="0.2">
      <c r="A10" s="62"/>
      <c r="B10" s="338" t="s">
        <v>519</v>
      </c>
      <c r="C10" s="475">
        <f>'D1. Member Months'!I10</f>
        <v>36779905</v>
      </c>
      <c r="D10" s="476">
        <f>'D5. Waiver Cost Projection'!O13</f>
        <v>534.52254048806208</v>
      </c>
      <c r="E10" s="477">
        <f>'D5. Waiver Cost Projection'!S13</f>
        <v>0</v>
      </c>
      <c r="F10" s="477">
        <f>'D5. Waiver Cost Projection'!W13</f>
        <v>0</v>
      </c>
      <c r="G10" s="477">
        <f>'D5. Waiver Cost Projection'!AA13</f>
        <v>1.6981331653529275</v>
      </c>
      <c r="H10" s="408">
        <f>'D5. Waiver Cost Projection'!AB13</f>
        <v>536.22067365341502</v>
      </c>
      <c r="I10" s="478">
        <f>H10-G10</f>
        <v>534.52254048806208</v>
      </c>
      <c r="P10" s="129"/>
      <c r="Q10" s="129"/>
      <c r="R10" s="129"/>
      <c r="S10" s="129"/>
      <c r="T10" s="129"/>
      <c r="U10" s="129"/>
      <c r="V10" s="506"/>
      <c r="W10" s="506"/>
      <c r="X10" s="464" t="s">
        <v>299</v>
      </c>
      <c r="Y10" s="142"/>
      <c r="Z10" s="143"/>
      <c r="AH10" s="94"/>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row>
    <row r="11" spans="1:189" ht="15" customHeight="1" x14ac:dyDescent="0.2">
      <c r="A11" s="62"/>
      <c r="B11" s="338" t="s">
        <v>525</v>
      </c>
      <c r="C11" s="475">
        <f>'D1. Member Months'!I11</f>
        <v>6866224</v>
      </c>
      <c r="D11" s="476">
        <f>'D5. Waiver Cost Projection'!O14</f>
        <v>578.25926097734748</v>
      </c>
      <c r="E11" s="477">
        <f>'D5. Waiver Cost Projection'!S14</f>
        <v>0</v>
      </c>
      <c r="F11" s="477">
        <f>'D5. Waiver Cost Projection'!W14</f>
        <v>0</v>
      </c>
      <c r="G11" s="477">
        <f>'D5. Waiver Cost Projection'!AA14</f>
        <v>1.7499699179755224</v>
      </c>
      <c r="H11" s="408">
        <f>'D5. Waiver Cost Projection'!AB14</f>
        <v>580.00923089532296</v>
      </c>
      <c r="I11" s="478">
        <f t="shared" ref="I11:I17" si="0">H11-G11</f>
        <v>578.25926097734748</v>
      </c>
      <c r="P11" s="129"/>
      <c r="Q11" s="129"/>
      <c r="R11" s="129"/>
      <c r="S11" s="129"/>
      <c r="T11" s="129"/>
      <c r="U11" s="129"/>
      <c r="V11" s="530"/>
      <c r="W11" s="241" t="s">
        <v>519</v>
      </c>
      <c r="X11" s="550">
        <f>I10</f>
        <v>534.52254048806208</v>
      </c>
      <c r="Y11" s="142"/>
      <c r="Z11" s="143"/>
      <c r="AH11" s="94"/>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row>
    <row r="12" spans="1:189" ht="15" customHeight="1" x14ac:dyDescent="0.2">
      <c r="A12" s="62"/>
      <c r="B12" s="338" t="s">
        <v>520</v>
      </c>
      <c r="C12" s="475">
        <f>'D1. Member Months'!I12</f>
        <v>1316547</v>
      </c>
      <c r="D12" s="476">
        <f>'D5. Waiver Cost Projection'!O15</f>
        <v>325.0792600995631</v>
      </c>
      <c r="E12" s="477">
        <f>'D5. Waiver Cost Projection'!S15</f>
        <v>0</v>
      </c>
      <c r="F12" s="477">
        <f>'D5. Waiver Cost Projection'!W15</f>
        <v>0</v>
      </c>
      <c r="G12" s="477">
        <f>'D5. Waiver Cost Projection'!AA15</f>
        <v>0.9940151141864032</v>
      </c>
      <c r="H12" s="408">
        <f>'D5. Waiver Cost Projection'!AB15</f>
        <v>326.07327521374953</v>
      </c>
      <c r="I12" s="478">
        <f t="shared" si="0"/>
        <v>325.0792600995631</v>
      </c>
      <c r="P12" s="129"/>
      <c r="Q12" s="129"/>
      <c r="R12" s="129"/>
      <c r="S12" s="129"/>
      <c r="T12" s="129"/>
      <c r="U12" s="129"/>
      <c r="V12" s="530"/>
      <c r="W12" s="241" t="s">
        <v>525</v>
      </c>
      <c r="X12" s="550">
        <f t="shared" ref="X12:X18" si="1">I11</f>
        <v>578.25926097734748</v>
      </c>
      <c r="Y12" s="142"/>
      <c r="Z12" s="143"/>
      <c r="AH12" s="94"/>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row>
    <row r="13" spans="1:189" ht="15" customHeight="1" x14ac:dyDescent="0.2">
      <c r="A13" s="62"/>
      <c r="B13" s="338" t="s">
        <v>518</v>
      </c>
      <c r="C13" s="475">
        <f>'D1. Member Months'!I13</f>
        <v>54139905</v>
      </c>
      <c r="D13" s="476">
        <f>'D5. Waiver Cost Projection'!O16</f>
        <v>264.71497969407761</v>
      </c>
      <c r="E13" s="477">
        <f>'D5. Waiver Cost Projection'!S16</f>
        <v>0</v>
      </c>
      <c r="F13" s="477">
        <f>'D5. Waiver Cost Projection'!W16</f>
        <v>0</v>
      </c>
      <c r="G13" s="477">
        <f>'D5. Waiver Cost Projection'!AA16</f>
        <v>0.78448208941264108</v>
      </c>
      <c r="H13" s="408">
        <f>'D5. Waiver Cost Projection'!AB16</f>
        <v>265.49946178349023</v>
      </c>
      <c r="I13" s="478">
        <f t="shared" si="0"/>
        <v>264.71497969407761</v>
      </c>
      <c r="P13" s="129"/>
      <c r="Q13" s="129"/>
      <c r="R13" s="129"/>
      <c r="S13" s="129"/>
      <c r="T13" s="129"/>
      <c r="U13" s="129"/>
      <c r="V13" s="530"/>
      <c r="W13" s="241" t="s">
        <v>520</v>
      </c>
      <c r="X13" s="550">
        <f t="shared" si="1"/>
        <v>325.0792600995631</v>
      </c>
      <c r="Y13" s="142"/>
      <c r="Z13" s="143"/>
      <c r="AH13" s="94"/>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row>
    <row r="14" spans="1:189" ht="15" customHeight="1" x14ac:dyDescent="0.2">
      <c r="A14" s="62"/>
      <c r="B14" s="338" t="s">
        <v>521</v>
      </c>
      <c r="C14" s="475">
        <f>'D1. Member Months'!I14</f>
        <v>994882</v>
      </c>
      <c r="D14" s="476">
        <f>'D5. Waiver Cost Projection'!O17</f>
        <v>269.27791654124155</v>
      </c>
      <c r="E14" s="477">
        <f>'D5. Waiver Cost Projection'!S17</f>
        <v>0</v>
      </c>
      <c r="F14" s="477">
        <f>'D5. Waiver Cost Projection'!W17</f>
        <v>0</v>
      </c>
      <c r="G14" s="477">
        <f>'D5. Waiver Cost Projection'!AA17</f>
        <v>0.7652975599429368</v>
      </c>
      <c r="H14" s="408">
        <f>'D5. Waiver Cost Projection'!AB17</f>
        <v>270.0432141011845</v>
      </c>
      <c r="I14" s="478">
        <f t="shared" si="0"/>
        <v>269.27791654124155</v>
      </c>
      <c r="P14" s="129"/>
      <c r="Q14" s="129"/>
      <c r="R14" s="129"/>
      <c r="S14" s="129"/>
      <c r="T14" s="129"/>
      <c r="U14" s="129"/>
      <c r="V14" s="530"/>
      <c r="W14" s="241" t="s">
        <v>518</v>
      </c>
      <c r="X14" s="550">
        <f t="shared" si="1"/>
        <v>264.71497969407761</v>
      </c>
      <c r="Y14" s="144"/>
      <c r="Z14" s="143"/>
      <c r="AH14" s="9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row>
    <row r="15" spans="1:189" ht="15" customHeight="1" x14ac:dyDescent="0.2">
      <c r="A15" s="62"/>
      <c r="B15" s="338" t="s">
        <v>516</v>
      </c>
      <c r="C15" s="475">
        <f>'D1. Member Months'!I15</f>
        <v>14869740</v>
      </c>
      <c r="D15" s="476">
        <f>'D5. Waiver Cost Projection'!O18</f>
        <v>186.60104455013706</v>
      </c>
      <c r="E15" s="477">
        <f>'D5. Waiver Cost Projection'!S18</f>
        <v>0</v>
      </c>
      <c r="F15" s="477">
        <f>'D5. Waiver Cost Projection'!W18</f>
        <v>0</v>
      </c>
      <c r="G15" s="477">
        <f>'D5. Waiver Cost Projection'!AA18</f>
        <v>0.53512475373943169</v>
      </c>
      <c r="H15" s="408">
        <f>'D5. Waiver Cost Projection'!AB18</f>
        <v>187.1361693038765</v>
      </c>
      <c r="I15" s="478">
        <f t="shared" si="0"/>
        <v>186.60104455013706</v>
      </c>
      <c r="P15" s="129"/>
      <c r="Q15" s="129"/>
      <c r="R15" s="129"/>
      <c r="S15" s="129"/>
      <c r="T15" s="129"/>
      <c r="U15" s="129"/>
      <c r="V15" s="530"/>
      <c r="W15" s="241" t="s">
        <v>521</v>
      </c>
      <c r="X15" s="550">
        <f t="shared" si="1"/>
        <v>269.27791654124155</v>
      </c>
      <c r="AH15" s="94"/>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row>
    <row r="16" spans="1:189" ht="15" customHeight="1" x14ac:dyDescent="0.2">
      <c r="A16" s="62"/>
      <c r="B16" s="346" t="s">
        <v>517</v>
      </c>
      <c r="C16" s="475">
        <f>'D1. Member Months'!I16</f>
        <v>9108336</v>
      </c>
      <c r="D16" s="476">
        <f>'D5. Waiver Cost Projection'!O19</f>
        <v>1316.2645871185709</v>
      </c>
      <c r="E16" s="477">
        <f>'D5. Waiver Cost Projection'!S19</f>
        <v>0</v>
      </c>
      <c r="F16" s="477">
        <f>'D5. Waiver Cost Projection'!W19</f>
        <v>0</v>
      </c>
      <c r="G16" s="477">
        <f>'D5. Waiver Cost Projection'!AA19</f>
        <v>4.3048729216262469</v>
      </c>
      <c r="H16" s="408">
        <f>'D5. Waiver Cost Projection'!AB19</f>
        <v>1320.5694600401971</v>
      </c>
      <c r="I16" s="478">
        <f t="shared" si="0"/>
        <v>1316.2645871185709</v>
      </c>
      <c r="P16" s="129"/>
      <c r="Q16" s="129"/>
      <c r="R16" s="129"/>
      <c r="S16" s="129"/>
      <c r="T16" s="129"/>
      <c r="U16" s="129"/>
      <c r="V16" s="530"/>
      <c r="W16" s="241" t="s">
        <v>516</v>
      </c>
      <c r="X16" s="550">
        <f t="shared" si="1"/>
        <v>186.60104455013706</v>
      </c>
      <c r="AH16" s="94"/>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row>
    <row r="17" spans="1:189" ht="15" customHeight="1" thickBot="1" x14ac:dyDescent="0.25">
      <c r="A17" s="62"/>
      <c r="B17" s="346" t="s">
        <v>522</v>
      </c>
      <c r="C17" s="475">
        <f>'D1. Member Months'!I17</f>
        <v>3415064</v>
      </c>
      <c r="D17" s="476">
        <f>'D5. Waiver Cost Projection'!O20</f>
        <v>450.85014406711036</v>
      </c>
      <c r="E17" s="477">
        <f>'D5. Waiver Cost Projection'!S20</f>
        <v>0</v>
      </c>
      <c r="F17" s="477">
        <f>'D5. Waiver Cost Projection'!W20</f>
        <v>0</v>
      </c>
      <c r="G17" s="477">
        <f>'D5. Waiver Cost Projection'!AA20</f>
        <v>1.2908111797714776</v>
      </c>
      <c r="H17" s="408">
        <f>'D5. Waiver Cost Projection'!AB20</f>
        <v>452.14095524688184</v>
      </c>
      <c r="I17" s="478">
        <f t="shared" si="0"/>
        <v>450.85014406711036</v>
      </c>
      <c r="P17" s="129"/>
      <c r="Q17" s="129"/>
      <c r="R17" s="129"/>
      <c r="S17" s="129"/>
      <c r="T17" s="129"/>
      <c r="U17" s="129"/>
      <c r="V17" s="530"/>
      <c r="W17" s="241" t="s">
        <v>517</v>
      </c>
      <c r="X17" s="550">
        <f t="shared" si="1"/>
        <v>1316.2645871185709</v>
      </c>
      <c r="AH17" s="94"/>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row>
    <row r="18" spans="1:189" ht="15" customHeight="1" thickTop="1" thickBot="1" x14ac:dyDescent="0.25">
      <c r="A18" s="62"/>
      <c r="B18" s="479" t="s">
        <v>98</v>
      </c>
      <c r="C18" s="480">
        <f>SUM(C10:C17)</f>
        <v>127490603</v>
      </c>
      <c r="D18" s="481"/>
      <c r="E18" s="482"/>
      <c r="F18" s="482"/>
      <c r="G18" s="482"/>
      <c r="H18" s="483"/>
      <c r="I18" s="483"/>
      <c r="J18" s="147"/>
      <c r="P18" s="129"/>
      <c r="Q18" s="129"/>
      <c r="R18" s="129"/>
      <c r="S18" s="129"/>
      <c r="T18" s="129"/>
      <c r="U18" s="129"/>
      <c r="V18" s="530"/>
      <c r="W18" s="241" t="s">
        <v>522</v>
      </c>
      <c r="X18" s="550">
        <f t="shared" si="1"/>
        <v>450.85014406711036</v>
      </c>
      <c r="AH18" s="94"/>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row>
    <row r="19" spans="1:189" ht="15" customHeight="1" thickBot="1" x14ac:dyDescent="0.25">
      <c r="A19" s="62"/>
      <c r="B19" s="484" t="s">
        <v>313</v>
      </c>
      <c r="C19" s="485"/>
      <c r="D19" s="486">
        <f>SUMPRODUCT(D10:D17,$C$10:$C$17)/$C$18</f>
        <v>431.09877550696075</v>
      </c>
      <c r="E19" s="487">
        <f>SUMPRODUCT(E10:E17,$C$10:$C$17)/$C$18</f>
        <v>0</v>
      </c>
      <c r="F19" s="487">
        <f>SUMPRODUCT(F10:F17,$C$10:$C$17)/$C$18</f>
        <v>0</v>
      </c>
      <c r="G19" s="488">
        <f>SUMPRODUCT(G10:G17,$C$10:$C$17)/$C$18</f>
        <v>1.3380617070393754</v>
      </c>
      <c r="H19" s="487">
        <f>SUMPRODUCT(H10:H17,$C$10:$C$17)/$C$18</f>
        <v>432.43683721400004</v>
      </c>
      <c r="I19" s="487"/>
      <c r="J19" s="79"/>
      <c r="K19" s="80"/>
      <c r="L19" s="80"/>
      <c r="M19" s="80"/>
      <c r="N19" s="80"/>
      <c r="O19" s="81"/>
      <c r="P19" s="81"/>
      <c r="Q19" s="81"/>
      <c r="R19" s="80"/>
      <c r="S19" s="80"/>
      <c r="T19" s="80"/>
      <c r="U19" s="80"/>
      <c r="V19" s="541"/>
      <c r="W19" s="551" t="s">
        <v>24</v>
      </c>
      <c r="X19" s="552">
        <f>G19</f>
        <v>1.3380617070393754</v>
      </c>
      <c r="Y19" s="81"/>
      <c r="Z19" s="81"/>
      <c r="AA19" s="81"/>
      <c r="AB19" s="81"/>
      <c r="AC19" s="81"/>
      <c r="AH19" s="94"/>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row>
    <row r="20" spans="1:189" ht="18" customHeight="1" thickBot="1" x14ac:dyDescent="0.25">
      <c r="A20" s="62"/>
      <c r="B20" s="66"/>
      <c r="C20" s="66"/>
      <c r="D20" s="66"/>
      <c r="E20" s="66"/>
      <c r="F20" s="66"/>
      <c r="G20" s="66"/>
      <c r="H20" s="66"/>
      <c r="I20" s="66"/>
      <c r="J20" s="66"/>
      <c r="K20" s="66"/>
      <c r="L20" s="66"/>
      <c r="M20" s="66"/>
      <c r="N20" s="66"/>
      <c r="O20" s="66"/>
      <c r="P20" t="s">
        <v>15</v>
      </c>
      <c r="Q20" s="165">
        <f>'D1. Member Months'!D6</f>
        <v>44562</v>
      </c>
      <c r="R20" s="66" t="s">
        <v>386</v>
      </c>
      <c r="S20" s="166">
        <f>'D1. Member Months'!F6</f>
        <v>44926</v>
      </c>
      <c r="T20" s="66"/>
      <c r="U20" s="66"/>
      <c r="V20" s="129" t="str">
        <f>P20</f>
        <v>Projected Year 1</v>
      </c>
      <c r="W20" s="129"/>
      <c r="X20" s="545" t="s">
        <v>292</v>
      </c>
      <c r="Y20" s="546"/>
      <c r="Z20" s="547"/>
      <c r="AA20" s="545" t="s">
        <v>292</v>
      </c>
      <c r="AB20" s="546"/>
      <c r="AC20" s="547"/>
      <c r="AD20" s="545" t="s">
        <v>292</v>
      </c>
      <c r="AE20" s="546"/>
      <c r="AF20" s="547"/>
      <c r="AG20" s="545" t="s">
        <v>292</v>
      </c>
      <c r="AH20" s="546"/>
      <c r="AI20" s="547"/>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row>
    <row r="21" spans="1:189" ht="15" customHeight="1" x14ac:dyDescent="0.2">
      <c r="A21" s="62"/>
      <c r="B21" s="491"/>
      <c r="C21" s="492" t="s">
        <v>170</v>
      </c>
      <c r="D21" s="456"/>
      <c r="E21" s="457"/>
      <c r="F21" s="492" t="s">
        <v>171</v>
      </c>
      <c r="G21" s="456"/>
      <c r="H21" s="457"/>
      <c r="I21" s="492" t="s">
        <v>172</v>
      </c>
      <c r="J21" s="456"/>
      <c r="K21" s="457"/>
      <c r="L21" s="492" t="s">
        <v>173</v>
      </c>
      <c r="M21" s="456"/>
      <c r="N21" s="457"/>
      <c r="O21" s="493"/>
      <c r="P21" s="494"/>
      <c r="Q21" s="495"/>
      <c r="R21" s="496"/>
      <c r="S21" s="496"/>
      <c r="T21" s="496"/>
      <c r="U21" s="497"/>
      <c r="V21" s="498"/>
      <c r="W21" s="499"/>
      <c r="X21" s="492" t="s">
        <v>284</v>
      </c>
      <c r="Y21" s="456"/>
      <c r="Z21" s="457"/>
      <c r="AA21" s="492" t="s">
        <v>285</v>
      </c>
      <c r="AB21" s="456"/>
      <c r="AC21" s="457"/>
      <c r="AD21" s="492" t="s">
        <v>286</v>
      </c>
      <c r="AE21" s="456"/>
      <c r="AF21" s="457"/>
      <c r="AG21" s="492" t="s">
        <v>287</v>
      </c>
      <c r="AH21" s="456"/>
      <c r="AI21" s="457"/>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row>
    <row r="22" spans="1:189" ht="15" customHeight="1" x14ac:dyDescent="0.2">
      <c r="A22" s="62"/>
      <c r="B22" s="500" t="s">
        <v>174</v>
      </c>
      <c r="C22" s="501" t="s">
        <v>140</v>
      </c>
      <c r="D22" s="502" t="s">
        <v>273</v>
      </c>
      <c r="E22" s="503" t="s">
        <v>272</v>
      </c>
      <c r="F22" s="459" t="s">
        <v>140</v>
      </c>
      <c r="G22" s="502" t="s">
        <v>273</v>
      </c>
      <c r="H22" s="503" t="s">
        <v>272</v>
      </c>
      <c r="I22" s="459" t="s">
        <v>140</v>
      </c>
      <c r="J22" s="502" t="s">
        <v>273</v>
      </c>
      <c r="K22" s="503" t="s">
        <v>272</v>
      </c>
      <c r="L22" s="459" t="s">
        <v>140</v>
      </c>
      <c r="M22" s="502" t="s">
        <v>273</v>
      </c>
      <c r="N22" s="503" t="s">
        <v>272</v>
      </c>
      <c r="O22" s="504"/>
      <c r="P22" s="505"/>
      <c r="Q22" s="506"/>
      <c r="R22" s="507"/>
      <c r="S22" s="507"/>
      <c r="T22" s="508"/>
      <c r="U22" s="509"/>
      <c r="V22" s="510"/>
      <c r="W22" s="506"/>
      <c r="X22" s="501" t="s">
        <v>140</v>
      </c>
      <c r="Y22" s="467" t="s">
        <v>283</v>
      </c>
      <c r="Z22" s="503" t="s">
        <v>283</v>
      </c>
      <c r="AA22" s="501" t="s">
        <v>140</v>
      </c>
      <c r="AB22" s="467" t="s">
        <v>283</v>
      </c>
      <c r="AC22" s="503" t="s">
        <v>283</v>
      </c>
      <c r="AD22" s="501" t="s">
        <v>140</v>
      </c>
      <c r="AE22" s="467" t="s">
        <v>283</v>
      </c>
      <c r="AF22" s="503" t="s">
        <v>283</v>
      </c>
      <c r="AG22" s="501" t="s">
        <v>140</v>
      </c>
      <c r="AH22" s="467" t="s">
        <v>283</v>
      </c>
      <c r="AI22" s="503" t="s">
        <v>283</v>
      </c>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row>
    <row r="23" spans="1:189" ht="15" customHeight="1" x14ac:dyDescent="0.2">
      <c r="A23" s="62"/>
      <c r="B23" s="500" t="s">
        <v>177</v>
      </c>
      <c r="C23" s="501" t="s">
        <v>178</v>
      </c>
      <c r="D23" s="502" t="s">
        <v>87</v>
      </c>
      <c r="E23" s="468" t="s">
        <v>82</v>
      </c>
      <c r="F23" s="459" t="s">
        <v>178</v>
      </c>
      <c r="G23" s="502" t="s">
        <v>87</v>
      </c>
      <c r="H23" s="468" t="s">
        <v>82</v>
      </c>
      <c r="I23" s="459" t="s">
        <v>178</v>
      </c>
      <c r="J23" s="502" t="s">
        <v>87</v>
      </c>
      <c r="K23" s="468" t="s">
        <v>82</v>
      </c>
      <c r="L23" s="459" t="s">
        <v>178</v>
      </c>
      <c r="M23" s="502" t="s">
        <v>87</v>
      </c>
      <c r="N23" s="468" t="s">
        <v>82</v>
      </c>
      <c r="O23" s="504" t="s">
        <v>208</v>
      </c>
      <c r="P23" s="511" t="s">
        <v>274</v>
      </c>
      <c r="Q23" s="512" t="s">
        <v>14</v>
      </c>
      <c r="R23" s="513" t="s">
        <v>170</v>
      </c>
      <c r="S23" s="513" t="s">
        <v>171</v>
      </c>
      <c r="T23" s="513" t="s">
        <v>172</v>
      </c>
      <c r="U23" s="514" t="s">
        <v>173</v>
      </c>
      <c r="V23" s="515" t="s">
        <v>274</v>
      </c>
      <c r="W23" s="512" t="s">
        <v>14</v>
      </c>
      <c r="X23" s="501" t="s">
        <v>278</v>
      </c>
      <c r="Y23" s="502" t="s">
        <v>281</v>
      </c>
      <c r="Z23" s="468" t="s">
        <v>282</v>
      </c>
      <c r="AA23" s="501" t="s">
        <v>278</v>
      </c>
      <c r="AB23" s="502" t="s">
        <v>281</v>
      </c>
      <c r="AC23" s="468" t="s">
        <v>282</v>
      </c>
      <c r="AD23" s="501" t="s">
        <v>278</v>
      </c>
      <c r="AE23" s="502" t="s">
        <v>281</v>
      </c>
      <c r="AF23" s="468" t="s">
        <v>282</v>
      </c>
      <c r="AG23" s="501" t="s">
        <v>278</v>
      </c>
      <c r="AH23" s="502" t="s">
        <v>281</v>
      </c>
      <c r="AI23" s="468" t="s">
        <v>282</v>
      </c>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row>
    <row r="24" spans="1:189" ht="15" customHeight="1" thickBot="1" x14ac:dyDescent="0.25">
      <c r="A24" s="62"/>
      <c r="B24" s="516" t="s">
        <v>74</v>
      </c>
      <c r="C24" s="469"/>
      <c r="D24" s="517" t="s">
        <v>179</v>
      </c>
      <c r="E24" s="473" t="s">
        <v>86</v>
      </c>
      <c r="F24" s="469"/>
      <c r="G24" s="517" t="s">
        <v>179</v>
      </c>
      <c r="H24" s="473" t="s">
        <v>86</v>
      </c>
      <c r="I24" s="469"/>
      <c r="J24" s="517" t="s">
        <v>179</v>
      </c>
      <c r="K24" s="473" t="s">
        <v>86</v>
      </c>
      <c r="L24" s="469"/>
      <c r="M24" s="517" t="s">
        <v>179</v>
      </c>
      <c r="N24" s="473" t="s">
        <v>86</v>
      </c>
      <c r="O24" s="518" t="s">
        <v>91</v>
      </c>
      <c r="P24" s="519"/>
      <c r="Q24" s="520"/>
      <c r="R24" s="521">
        <f>'D1. Member Months'!F9-1</f>
        <v>44651</v>
      </c>
      <c r="S24" s="521">
        <f>'D1. Member Months'!G9-1</f>
        <v>44742</v>
      </c>
      <c r="T24" s="522">
        <f>'D1. Member Months'!H9-1</f>
        <v>44834</v>
      </c>
      <c r="U24" s="523">
        <f>'D1. Member Months'!F6</f>
        <v>44926</v>
      </c>
      <c r="V24" s="524"/>
      <c r="W24" s="525"/>
      <c r="X24" s="469">
        <f>R24</f>
        <v>44651</v>
      </c>
      <c r="Y24" s="517" t="s">
        <v>279</v>
      </c>
      <c r="Z24" s="473"/>
      <c r="AA24" s="469">
        <f>S24</f>
        <v>44742</v>
      </c>
      <c r="AB24" s="517" t="s">
        <v>279</v>
      </c>
      <c r="AC24" s="473"/>
      <c r="AD24" s="469">
        <f>T24</f>
        <v>44834</v>
      </c>
      <c r="AE24" s="517" t="s">
        <v>279</v>
      </c>
      <c r="AF24" s="473"/>
      <c r="AG24" s="469">
        <f>U24</f>
        <v>44926</v>
      </c>
      <c r="AH24" s="517" t="s">
        <v>279</v>
      </c>
      <c r="AI24" s="473"/>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row>
    <row r="25" spans="1:189" ht="13.5" thickBot="1" x14ac:dyDescent="0.25">
      <c r="A25" s="62"/>
      <c r="B25" s="338" t="s">
        <v>519</v>
      </c>
      <c r="C25" s="526">
        <f>'D1. Member Months'!E10</f>
        <v>9194976.25</v>
      </c>
      <c r="D25" s="527">
        <f>C25*($D10+$E10+$F10)</f>
        <v>4914922064.8773947</v>
      </c>
      <c r="E25" s="528">
        <f>C25*$G10</f>
        <v>15614294.124757491</v>
      </c>
      <c r="F25" s="526">
        <f>'D1. Member Months'!F10</f>
        <v>9194976.25</v>
      </c>
      <c r="G25" s="527">
        <f>F25*($D10+$E10+$F10)</f>
        <v>4914922064.8773947</v>
      </c>
      <c r="H25" s="528">
        <f>F25*$G10</f>
        <v>15614294.124757491</v>
      </c>
      <c r="I25" s="526">
        <f>'D1. Member Months'!G10</f>
        <v>9194976.25</v>
      </c>
      <c r="J25" s="527">
        <f>I25*($D10+$E10+$F10)</f>
        <v>4914922064.8773947</v>
      </c>
      <c r="K25" s="528">
        <f>I25*$G10</f>
        <v>15614294.124757491</v>
      </c>
      <c r="L25" s="526">
        <f>'D1. Member Months'!H10</f>
        <v>9194976.25</v>
      </c>
      <c r="M25" s="527">
        <f>L25*($D10+$E10+$F10)</f>
        <v>4914922064.8773947</v>
      </c>
      <c r="N25" s="528">
        <f>L25*$G10</f>
        <v>15614294.124757491</v>
      </c>
      <c r="O25" s="529">
        <f>D25+E25+G25+H25+J25+K25+M25+N25</f>
        <v>19722145436.008606</v>
      </c>
      <c r="P25" s="530"/>
      <c r="Q25" s="241" t="s">
        <v>519</v>
      </c>
      <c r="R25" s="531">
        <f>D25</f>
        <v>4914922064.8773947</v>
      </c>
      <c r="S25" s="531">
        <f>G25</f>
        <v>4914922064.8773947</v>
      </c>
      <c r="T25" s="531">
        <f>J25</f>
        <v>4914922064.8773947</v>
      </c>
      <c r="U25" s="531">
        <f>M25</f>
        <v>4914922064.8773947</v>
      </c>
      <c r="V25" s="532"/>
      <c r="W25" s="338" t="s">
        <v>519</v>
      </c>
      <c r="X25" s="533"/>
      <c r="Y25" s="534"/>
      <c r="Z25" s="535" t="e">
        <f>Y25/X25</f>
        <v>#DIV/0!</v>
      </c>
      <c r="AA25" s="533"/>
      <c r="AB25" s="534"/>
      <c r="AC25" s="535" t="e">
        <f>AB25/AA25</f>
        <v>#DIV/0!</v>
      </c>
      <c r="AD25" s="533"/>
      <c r="AE25" s="534"/>
      <c r="AF25" s="535" t="e">
        <f>AE25/AD25</f>
        <v>#DIV/0!</v>
      </c>
      <c r="AG25" s="533"/>
      <c r="AH25" s="534"/>
      <c r="AI25" s="535" t="e">
        <f>AH25/AG25</f>
        <v>#DIV/0!</v>
      </c>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row>
    <row r="26" spans="1:189" ht="13.5" thickBot="1" x14ac:dyDescent="0.25">
      <c r="A26" s="62"/>
      <c r="B26" s="338" t="s">
        <v>525</v>
      </c>
      <c r="C26" s="526">
        <f>'D1. Member Months'!E11</f>
        <v>1716556</v>
      </c>
      <c r="D26" s="527">
        <f t="shared" ref="D26:D32" si="2">C26*($D11+$E11+$F11)</f>
        <v>992614403.98623168</v>
      </c>
      <c r="E26" s="528">
        <f t="shared" ref="E26:E32" si="3">C26*$G11</f>
        <v>3003921.3625203907</v>
      </c>
      <c r="F26" s="526">
        <f>'D1. Member Months'!F11</f>
        <v>1716556</v>
      </c>
      <c r="G26" s="527">
        <f t="shared" ref="G26:G32" si="4">F26*($D11+$E11+$F11)</f>
        <v>992614403.98623168</v>
      </c>
      <c r="H26" s="528">
        <f t="shared" ref="H26:H32" si="5">F26*$G11</f>
        <v>3003921.3625203907</v>
      </c>
      <c r="I26" s="526">
        <f>'D1. Member Months'!G11</f>
        <v>1716556</v>
      </c>
      <c r="J26" s="527">
        <f t="shared" ref="J26:J32" si="6">I26*($D11+$E11+$F11)</f>
        <v>992614403.98623168</v>
      </c>
      <c r="K26" s="528">
        <f t="shared" ref="K26:K32" si="7">I26*$G11</f>
        <v>3003921.3625203907</v>
      </c>
      <c r="L26" s="526">
        <f>'D1. Member Months'!H11</f>
        <v>1716556</v>
      </c>
      <c r="M26" s="527">
        <f t="shared" ref="M26:M32" si="8">L26*($D11+$E11+$F11)</f>
        <v>992614403.98623168</v>
      </c>
      <c r="N26" s="528">
        <f t="shared" ref="N26:N32" si="9">L26*$G11</f>
        <v>3003921.3625203907</v>
      </c>
      <c r="O26" s="529">
        <f t="shared" ref="O26:O32" si="10">D26+E26+G26+H26+J26+K26+M26+N26</f>
        <v>3982473301.3950081</v>
      </c>
      <c r="P26" s="530"/>
      <c r="Q26" s="241" t="s">
        <v>525</v>
      </c>
      <c r="R26" s="531">
        <f t="shared" ref="R26:R32" si="11">D26</f>
        <v>992614403.98623168</v>
      </c>
      <c r="S26" s="531">
        <f t="shared" ref="S26:S32" si="12">G26</f>
        <v>992614403.98623168</v>
      </c>
      <c r="T26" s="531">
        <f t="shared" ref="T26:T32" si="13">J26</f>
        <v>992614403.98623168</v>
      </c>
      <c r="U26" s="531">
        <f t="shared" ref="U26:U32" si="14">M26</f>
        <v>992614403.98623168</v>
      </c>
      <c r="V26" s="532"/>
      <c r="W26" s="241" t="s">
        <v>525</v>
      </c>
      <c r="X26" s="533"/>
      <c r="Y26" s="534"/>
      <c r="Z26" s="535" t="e">
        <f t="shared" ref="Z26:Z33" si="15">Y26/X26</f>
        <v>#DIV/0!</v>
      </c>
      <c r="AA26" s="533"/>
      <c r="AB26" s="534"/>
      <c r="AC26" s="535" t="e">
        <f t="shared" ref="AC26:AC33" si="16">AB26/AA26</f>
        <v>#DIV/0!</v>
      </c>
      <c r="AD26" s="533"/>
      <c r="AE26" s="534"/>
      <c r="AF26" s="535" t="e">
        <f t="shared" ref="AF26:AF33" si="17">AE26/AD26</f>
        <v>#DIV/0!</v>
      </c>
      <c r="AG26" s="533"/>
      <c r="AH26" s="534"/>
      <c r="AI26" s="535" t="e">
        <f t="shared" ref="AI26:AI33" si="18">AH26/AG26</f>
        <v>#DIV/0!</v>
      </c>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row>
    <row r="27" spans="1:189" ht="13.5" thickBot="1" x14ac:dyDescent="0.25">
      <c r="A27" s="62"/>
      <c r="B27" s="338" t="s">
        <v>520</v>
      </c>
      <c r="C27" s="526">
        <f>'D1. Member Months'!E12</f>
        <v>329136.75</v>
      </c>
      <c r="D27" s="527">
        <f t="shared" si="2"/>
        <v>106995531.16157487</v>
      </c>
      <c r="E27" s="528">
        <f t="shared" si="3"/>
        <v>327166.90413419163</v>
      </c>
      <c r="F27" s="526">
        <f>'D1. Member Months'!F12</f>
        <v>329136.75</v>
      </c>
      <c r="G27" s="527">
        <f t="shared" si="4"/>
        <v>106995531.16157487</v>
      </c>
      <c r="H27" s="528">
        <f t="shared" si="5"/>
        <v>327166.90413419163</v>
      </c>
      <c r="I27" s="526">
        <f>'D1. Member Months'!G12</f>
        <v>329136.75</v>
      </c>
      <c r="J27" s="527">
        <f t="shared" si="6"/>
        <v>106995531.16157487</v>
      </c>
      <c r="K27" s="528">
        <f t="shared" si="7"/>
        <v>327166.90413419163</v>
      </c>
      <c r="L27" s="526">
        <f>'D1. Member Months'!H12</f>
        <v>329136.75</v>
      </c>
      <c r="M27" s="527">
        <f t="shared" si="8"/>
        <v>106995531.16157487</v>
      </c>
      <c r="N27" s="528">
        <f t="shared" si="9"/>
        <v>327166.90413419163</v>
      </c>
      <c r="O27" s="529">
        <f t="shared" si="10"/>
        <v>429290792.26283628</v>
      </c>
      <c r="P27" s="530"/>
      <c r="Q27" s="241" t="s">
        <v>520</v>
      </c>
      <c r="R27" s="531">
        <f t="shared" si="11"/>
        <v>106995531.16157487</v>
      </c>
      <c r="S27" s="531">
        <f t="shared" si="12"/>
        <v>106995531.16157487</v>
      </c>
      <c r="T27" s="531">
        <f t="shared" si="13"/>
        <v>106995531.16157487</v>
      </c>
      <c r="U27" s="531">
        <f t="shared" si="14"/>
        <v>106995531.16157487</v>
      </c>
      <c r="V27" s="532"/>
      <c r="W27" s="338" t="s">
        <v>520</v>
      </c>
      <c r="X27" s="533"/>
      <c r="Y27" s="534"/>
      <c r="Z27" s="535" t="e">
        <f t="shared" si="15"/>
        <v>#DIV/0!</v>
      </c>
      <c r="AA27" s="533"/>
      <c r="AB27" s="534"/>
      <c r="AC27" s="535" t="e">
        <f t="shared" si="16"/>
        <v>#DIV/0!</v>
      </c>
      <c r="AD27" s="533"/>
      <c r="AE27" s="534"/>
      <c r="AF27" s="535" t="e">
        <f t="shared" si="17"/>
        <v>#DIV/0!</v>
      </c>
      <c r="AG27" s="533"/>
      <c r="AH27" s="534"/>
      <c r="AI27" s="535" t="e">
        <f t="shared" si="18"/>
        <v>#DIV/0!</v>
      </c>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row>
    <row r="28" spans="1:189" ht="13.5" thickBot="1" x14ac:dyDescent="0.25">
      <c r="A28" s="62"/>
      <c r="B28" s="338" t="s">
        <v>518</v>
      </c>
      <c r="C28" s="526">
        <f>'D1. Member Months'!E13</f>
        <v>13534976.25</v>
      </c>
      <c r="D28" s="527">
        <f t="shared" si="2"/>
        <v>3582910963.1785727</v>
      </c>
      <c r="E28" s="528">
        <f t="shared" si="3"/>
        <v>10617946.448750474</v>
      </c>
      <c r="F28" s="526">
        <f>'D1. Member Months'!F13</f>
        <v>13534976.25</v>
      </c>
      <c r="G28" s="527">
        <f t="shared" si="4"/>
        <v>3582910963.1785727</v>
      </c>
      <c r="H28" s="528">
        <f t="shared" si="5"/>
        <v>10617946.448750474</v>
      </c>
      <c r="I28" s="526">
        <f>'D1. Member Months'!G13</f>
        <v>13534976.25</v>
      </c>
      <c r="J28" s="527">
        <f t="shared" si="6"/>
        <v>3582910963.1785727</v>
      </c>
      <c r="K28" s="528">
        <f t="shared" si="7"/>
        <v>10617946.448750474</v>
      </c>
      <c r="L28" s="526">
        <f>'D1. Member Months'!H13</f>
        <v>13534976.25</v>
      </c>
      <c r="M28" s="527">
        <f t="shared" si="8"/>
        <v>3582910963.1785727</v>
      </c>
      <c r="N28" s="528">
        <f t="shared" si="9"/>
        <v>10617946.448750474</v>
      </c>
      <c r="O28" s="529">
        <f t="shared" si="10"/>
        <v>14374115638.509293</v>
      </c>
      <c r="P28" s="530"/>
      <c r="Q28" s="241" t="s">
        <v>518</v>
      </c>
      <c r="R28" s="531">
        <f t="shared" si="11"/>
        <v>3582910963.1785727</v>
      </c>
      <c r="S28" s="531">
        <f t="shared" si="12"/>
        <v>3582910963.1785727</v>
      </c>
      <c r="T28" s="531">
        <f t="shared" si="13"/>
        <v>3582910963.1785727</v>
      </c>
      <c r="U28" s="531">
        <f t="shared" si="14"/>
        <v>3582910963.1785727</v>
      </c>
      <c r="V28" s="532"/>
      <c r="W28" s="338" t="s">
        <v>518</v>
      </c>
      <c r="X28" s="533"/>
      <c r="Y28" s="534"/>
      <c r="Z28" s="535" t="e">
        <f t="shared" si="15"/>
        <v>#DIV/0!</v>
      </c>
      <c r="AA28" s="533"/>
      <c r="AB28" s="534"/>
      <c r="AC28" s="535" t="e">
        <f t="shared" si="16"/>
        <v>#DIV/0!</v>
      </c>
      <c r="AD28" s="533"/>
      <c r="AE28" s="534"/>
      <c r="AF28" s="535" t="e">
        <f t="shared" si="17"/>
        <v>#DIV/0!</v>
      </c>
      <c r="AG28" s="533"/>
      <c r="AH28" s="534"/>
      <c r="AI28" s="535" t="e">
        <f t="shared" si="18"/>
        <v>#DIV/0!</v>
      </c>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row>
    <row r="29" spans="1:189" ht="13.5" thickBot="1" x14ac:dyDescent="0.25">
      <c r="A29" s="62"/>
      <c r="B29" s="338" t="s">
        <v>521</v>
      </c>
      <c r="C29" s="526">
        <f>'D1. Member Months'!E14</f>
        <v>248720.5</v>
      </c>
      <c r="D29" s="527">
        <f t="shared" si="2"/>
        <v>66974938.041095868</v>
      </c>
      <c r="E29" s="528">
        <f t="shared" si="3"/>
        <v>190345.19175778722</v>
      </c>
      <c r="F29" s="526">
        <f>'D1. Member Months'!F14</f>
        <v>248720.5</v>
      </c>
      <c r="G29" s="527">
        <f t="shared" si="4"/>
        <v>66974938.041095868</v>
      </c>
      <c r="H29" s="528">
        <f t="shared" si="5"/>
        <v>190345.19175778722</v>
      </c>
      <c r="I29" s="526">
        <f>'D1. Member Months'!G14</f>
        <v>248720.5</v>
      </c>
      <c r="J29" s="527">
        <f t="shared" si="6"/>
        <v>66974938.041095868</v>
      </c>
      <c r="K29" s="528">
        <f t="shared" si="7"/>
        <v>190345.19175778722</v>
      </c>
      <c r="L29" s="526">
        <f>'D1. Member Months'!H14</f>
        <v>248720.5</v>
      </c>
      <c r="M29" s="527">
        <f t="shared" si="8"/>
        <v>66974938.041095868</v>
      </c>
      <c r="N29" s="528">
        <f t="shared" si="9"/>
        <v>190345.19175778722</v>
      </c>
      <c r="O29" s="529">
        <f t="shared" si="10"/>
        <v>268661132.9314146</v>
      </c>
      <c r="P29" s="530"/>
      <c r="Q29" s="241" t="s">
        <v>521</v>
      </c>
      <c r="R29" s="531">
        <f t="shared" si="11"/>
        <v>66974938.041095868</v>
      </c>
      <c r="S29" s="531">
        <f t="shared" si="12"/>
        <v>66974938.041095868</v>
      </c>
      <c r="T29" s="531">
        <f t="shared" si="13"/>
        <v>66974938.041095868</v>
      </c>
      <c r="U29" s="531">
        <f t="shared" si="14"/>
        <v>66974938.041095868</v>
      </c>
      <c r="V29" s="532"/>
      <c r="W29" s="338" t="s">
        <v>521</v>
      </c>
      <c r="X29" s="533"/>
      <c r="Y29" s="534"/>
      <c r="Z29" s="535" t="e">
        <f t="shared" si="15"/>
        <v>#DIV/0!</v>
      </c>
      <c r="AA29" s="533"/>
      <c r="AB29" s="534"/>
      <c r="AC29" s="535" t="e">
        <f t="shared" si="16"/>
        <v>#DIV/0!</v>
      </c>
      <c r="AD29" s="533"/>
      <c r="AE29" s="534"/>
      <c r="AF29" s="535" t="e">
        <f t="shared" si="17"/>
        <v>#DIV/0!</v>
      </c>
      <c r="AG29" s="533"/>
      <c r="AH29" s="534"/>
      <c r="AI29" s="535" t="e">
        <f t="shared" si="18"/>
        <v>#DIV/0!</v>
      </c>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row>
    <row r="30" spans="1:189" ht="13.5" thickBot="1" x14ac:dyDescent="0.25">
      <c r="A30" s="62"/>
      <c r="B30" s="338" t="s">
        <v>516</v>
      </c>
      <c r="C30" s="526">
        <f>'D1. Member Months'!E15</f>
        <v>3717435</v>
      </c>
      <c r="D30" s="527">
        <f t="shared" si="2"/>
        <v>693677254.04723871</v>
      </c>
      <c r="E30" s="528">
        <f t="shared" si="3"/>
        <v>1989291.4889173442</v>
      </c>
      <c r="F30" s="526">
        <f>'D1. Member Months'!F15</f>
        <v>3717435</v>
      </c>
      <c r="G30" s="527">
        <f t="shared" si="4"/>
        <v>693677254.04723871</v>
      </c>
      <c r="H30" s="528">
        <f t="shared" si="5"/>
        <v>1989291.4889173442</v>
      </c>
      <c r="I30" s="526">
        <f>'D1. Member Months'!G15</f>
        <v>3717435</v>
      </c>
      <c r="J30" s="527">
        <f t="shared" si="6"/>
        <v>693677254.04723871</v>
      </c>
      <c r="K30" s="528">
        <f t="shared" si="7"/>
        <v>1989291.4889173442</v>
      </c>
      <c r="L30" s="526">
        <f>'D1. Member Months'!H15</f>
        <v>3717435</v>
      </c>
      <c r="M30" s="527">
        <f t="shared" si="8"/>
        <v>693677254.04723871</v>
      </c>
      <c r="N30" s="528">
        <f t="shared" si="9"/>
        <v>1989291.4889173442</v>
      </c>
      <c r="O30" s="529">
        <f t="shared" si="10"/>
        <v>2782666182.1446242</v>
      </c>
      <c r="P30" s="530"/>
      <c r="Q30" s="241" t="s">
        <v>516</v>
      </c>
      <c r="R30" s="531">
        <f t="shared" si="11"/>
        <v>693677254.04723871</v>
      </c>
      <c r="S30" s="531">
        <f t="shared" si="12"/>
        <v>693677254.04723871</v>
      </c>
      <c r="T30" s="531">
        <f t="shared" si="13"/>
        <v>693677254.04723871</v>
      </c>
      <c r="U30" s="531">
        <f t="shared" si="14"/>
        <v>693677254.04723871</v>
      </c>
      <c r="V30" s="532"/>
      <c r="W30" s="338" t="s">
        <v>516</v>
      </c>
      <c r="X30" s="533"/>
      <c r="Y30" s="534"/>
      <c r="Z30" s="535" t="e">
        <f t="shared" si="15"/>
        <v>#DIV/0!</v>
      </c>
      <c r="AA30" s="533"/>
      <c r="AB30" s="534"/>
      <c r="AC30" s="535" t="e">
        <f t="shared" si="16"/>
        <v>#DIV/0!</v>
      </c>
      <c r="AD30" s="533"/>
      <c r="AE30" s="534"/>
      <c r="AF30" s="535" t="e">
        <f t="shared" si="17"/>
        <v>#DIV/0!</v>
      </c>
      <c r="AG30" s="533"/>
      <c r="AH30" s="534"/>
      <c r="AI30" s="535" t="e">
        <f t="shared" si="18"/>
        <v>#DIV/0!</v>
      </c>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row>
    <row r="31" spans="1:189" ht="13.5" thickBot="1" x14ac:dyDescent="0.25">
      <c r="A31" s="62"/>
      <c r="B31" s="346" t="s">
        <v>517</v>
      </c>
      <c r="C31" s="526">
        <f>'D1. Member Months'!E16</f>
        <v>2277084</v>
      </c>
      <c r="D31" s="527">
        <f t="shared" si="2"/>
        <v>2997245031.0943041</v>
      </c>
      <c r="E31" s="528">
        <f t="shared" si="3"/>
        <v>9802557.2518683802</v>
      </c>
      <c r="F31" s="526">
        <f>'D1. Member Months'!F16</f>
        <v>2277084</v>
      </c>
      <c r="G31" s="527">
        <f t="shared" si="4"/>
        <v>2997245031.0943041</v>
      </c>
      <c r="H31" s="528">
        <f t="shared" si="5"/>
        <v>9802557.2518683802</v>
      </c>
      <c r="I31" s="526">
        <f>'D1. Member Months'!G16</f>
        <v>2277084</v>
      </c>
      <c r="J31" s="527">
        <f t="shared" si="6"/>
        <v>2997245031.0943041</v>
      </c>
      <c r="K31" s="528">
        <f t="shared" si="7"/>
        <v>9802557.2518683802</v>
      </c>
      <c r="L31" s="526">
        <f>'D1. Member Months'!H16</f>
        <v>2277084</v>
      </c>
      <c r="M31" s="527">
        <f t="shared" si="8"/>
        <v>2997245031.0943041</v>
      </c>
      <c r="N31" s="528">
        <f t="shared" si="9"/>
        <v>9802557.2518683802</v>
      </c>
      <c r="O31" s="529">
        <f t="shared" si="10"/>
        <v>12028190353.384689</v>
      </c>
      <c r="P31" s="530"/>
      <c r="Q31" s="241" t="s">
        <v>517</v>
      </c>
      <c r="R31" s="531">
        <f t="shared" si="11"/>
        <v>2997245031.0943041</v>
      </c>
      <c r="S31" s="531">
        <f t="shared" si="12"/>
        <v>2997245031.0943041</v>
      </c>
      <c r="T31" s="531">
        <f t="shared" si="13"/>
        <v>2997245031.0943041</v>
      </c>
      <c r="U31" s="531">
        <f t="shared" si="14"/>
        <v>2997245031.0943041</v>
      </c>
      <c r="V31" s="532"/>
      <c r="W31" s="338" t="s">
        <v>517</v>
      </c>
      <c r="X31" s="533"/>
      <c r="Y31" s="534"/>
      <c r="Z31" s="535"/>
      <c r="AA31" s="533"/>
      <c r="AB31" s="534"/>
      <c r="AC31" s="535"/>
      <c r="AD31" s="533"/>
      <c r="AE31" s="534"/>
      <c r="AF31" s="535"/>
      <c r="AG31" s="533"/>
      <c r="AH31" s="534"/>
      <c r="AI31" s="535"/>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row>
    <row r="32" spans="1:189" ht="13.5" thickBot="1" x14ac:dyDescent="0.25">
      <c r="A32" s="62"/>
      <c r="B32" s="346" t="s">
        <v>522</v>
      </c>
      <c r="C32" s="526">
        <f>'D1. Member Months'!E17</f>
        <v>853766</v>
      </c>
      <c r="D32" s="527">
        <f t="shared" si="2"/>
        <v>384920524.09960055</v>
      </c>
      <c r="E32" s="528">
        <f t="shared" si="3"/>
        <v>1102050.6977087753</v>
      </c>
      <c r="F32" s="526">
        <f>'D1. Member Months'!F17</f>
        <v>853766</v>
      </c>
      <c r="G32" s="527">
        <f t="shared" si="4"/>
        <v>384920524.09960055</v>
      </c>
      <c r="H32" s="528">
        <f t="shared" si="5"/>
        <v>1102050.6977087753</v>
      </c>
      <c r="I32" s="526">
        <f>'D1. Member Months'!G17</f>
        <v>853766</v>
      </c>
      <c r="J32" s="527">
        <f t="shared" si="6"/>
        <v>384920524.09960055</v>
      </c>
      <c r="K32" s="528">
        <f t="shared" si="7"/>
        <v>1102050.6977087753</v>
      </c>
      <c r="L32" s="526">
        <f>'D1. Member Months'!H17</f>
        <v>853766</v>
      </c>
      <c r="M32" s="527">
        <f t="shared" si="8"/>
        <v>384920524.09960055</v>
      </c>
      <c r="N32" s="528">
        <f t="shared" si="9"/>
        <v>1102050.6977087753</v>
      </c>
      <c r="O32" s="529">
        <f t="shared" si="10"/>
        <v>1544090299.1892374</v>
      </c>
      <c r="P32" s="530"/>
      <c r="Q32" s="241" t="s">
        <v>522</v>
      </c>
      <c r="R32" s="531">
        <f t="shared" si="11"/>
        <v>384920524.09960055</v>
      </c>
      <c r="S32" s="531">
        <f t="shared" si="12"/>
        <v>384920524.09960055</v>
      </c>
      <c r="T32" s="531">
        <f t="shared" si="13"/>
        <v>384920524.09960055</v>
      </c>
      <c r="U32" s="531">
        <f t="shared" si="14"/>
        <v>384920524.09960055</v>
      </c>
      <c r="V32" s="532"/>
      <c r="W32" s="346" t="s">
        <v>522</v>
      </c>
      <c r="X32" s="533"/>
      <c r="Y32" s="534"/>
      <c r="Z32" s="535" t="e">
        <f t="shared" si="15"/>
        <v>#DIV/0!</v>
      </c>
      <c r="AA32" s="533"/>
      <c r="AB32" s="534"/>
      <c r="AC32" s="535" t="e">
        <f t="shared" si="16"/>
        <v>#DIV/0!</v>
      </c>
      <c r="AD32" s="533"/>
      <c r="AE32" s="534"/>
      <c r="AF32" s="535" t="e">
        <f t="shared" si="17"/>
        <v>#DIV/0!</v>
      </c>
      <c r="AG32" s="533"/>
      <c r="AH32" s="534"/>
      <c r="AI32" s="535" t="e">
        <f t="shared" si="18"/>
        <v>#DIV/0!</v>
      </c>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row>
    <row r="33" spans="1:189" ht="14.25" thickTop="1" thickBot="1" x14ac:dyDescent="0.25">
      <c r="A33" s="62"/>
      <c r="B33" s="536" t="s">
        <v>98</v>
      </c>
      <c r="C33" s="537">
        <f>SUM(C25:C32)</f>
        <v>31872650.75</v>
      </c>
      <c r="D33" s="538">
        <f t="shared" ref="D33:O33" si="19">SUM(D25:D32)</f>
        <v>13740260710.486013</v>
      </c>
      <c r="E33" s="539">
        <f t="shared" si="19"/>
        <v>42647573.470414832</v>
      </c>
      <c r="F33" s="537">
        <f t="shared" si="19"/>
        <v>31872650.75</v>
      </c>
      <c r="G33" s="538">
        <f t="shared" si="19"/>
        <v>13740260710.486013</v>
      </c>
      <c r="H33" s="539">
        <f t="shared" si="19"/>
        <v>42647573.470414832</v>
      </c>
      <c r="I33" s="537">
        <f t="shared" si="19"/>
        <v>31872650.75</v>
      </c>
      <c r="J33" s="538">
        <f t="shared" si="19"/>
        <v>13740260710.486013</v>
      </c>
      <c r="K33" s="539">
        <f t="shared" si="19"/>
        <v>42647573.470414832</v>
      </c>
      <c r="L33" s="537">
        <f t="shared" si="19"/>
        <v>31872650.75</v>
      </c>
      <c r="M33" s="538">
        <f t="shared" si="19"/>
        <v>13740260710.486013</v>
      </c>
      <c r="N33" s="539">
        <f t="shared" si="19"/>
        <v>42647573.470414832</v>
      </c>
      <c r="O33" s="540">
        <f t="shared" si="19"/>
        <v>55131633135.825706</v>
      </c>
      <c r="P33" s="541"/>
      <c r="Q33" s="541"/>
      <c r="R33" s="542">
        <f>SUM(R25:R32)</f>
        <v>13740260710.486013</v>
      </c>
      <c r="S33" s="542">
        <f>SUM(S25:S32)</f>
        <v>13740260710.486013</v>
      </c>
      <c r="T33" s="542">
        <f>SUM(T25:T32)</f>
        <v>13740260710.486013</v>
      </c>
      <c r="U33" s="542">
        <f>SUM(U25:U32)</f>
        <v>13740260710.486013</v>
      </c>
      <c r="V33" s="543"/>
      <c r="W33" s="544" t="s">
        <v>24</v>
      </c>
      <c r="X33" s="533"/>
      <c r="Y33" s="534"/>
      <c r="Z33" s="535" t="e">
        <f t="shared" si="15"/>
        <v>#DIV/0!</v>
      </c>
      <c r="AA33" s="533"/>
      <c r="AB33" s="534"/>
      <c r="AC33" s="535" t="e">
        <f t="shared" si="16"/>
        <v>#DIV/0!</v>
      </c>
      <c r="AD33" s="533"/>
      <c r="AE33" s="534"/>
      <c r="AF33" s="535" t="e">
        <f t="shared" si="17"/>
        <v>#DIV/0!</v>
      </c>
      <c r="AG33" s="533"/>
      <c r="AH33" s="534"/>
      <c r="AI33" s="535" t="e">
        <f t="shared" si="18"/>
        <v>#DIV/0!</v>
      </c>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row>
    <row r="34" spans="1:189" ht="21" customHeight="1" x14ac:dyDescent="0.2">
      <c r="A34" s="62"/>
      <c r="B34" s="66"/>
      <c r="C34" s="66"/>
      <c r="D34" s="66"/>
      <c r="E34" s="66"/>
      <c r="F34" s="66"/>
      <c r="G34" s="66"/>
      <c r="H34" s="66"/>
      <c r="I34" s="66"/>
      <c r="J34" s="66"/>
      <c r="K34" s="66"/>
      <c r="L34" s="66"/>
      <c r="M34" s="66"/>
      <c r="N34" s="66"/>
      <c r="O34" s="66"/>
      <c r="P34" s="132"/>
      <c r="Q34" s="129"/>
      <c r="R34" s="66"/>
      <c r="S34" s="66"/>
      <c r="T34" s="66"/>
      <c r="U34" s="149"/>
      <c r="V34" s="129"/>
      <c r="W34" s="129"/>
      <c r="X34" s="129"/>
      <c r="Y34" s="129"/>
      <c r="Z34" s="66"/>
      <c r="AA34" s="66"/>
      <c r="AB34" s="66"/>
      <c r="AC34" s="66"/>
      <c r="AD34" s="66"/>
      <c r="AE34" s="66"/>
      <c r="AF34" s="66"/>
      <c r="AG34" s="132"/>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row>
    <row r="35" spans="1:189" s="66" customFormat="1" ht="15" customHeight="1" thickBot="1" x14ac:dyDescent="0.25">
      <c r="A35" s="62"/>
      <c r="B35" s="452" t="s">
        <v>16</v>
      </c>
      <c r="C35" s="91"/>
      <c r="D35" s="64"/>
      <c r="E35" s="64"/>
      <c r="F35" s="64"/>
      <c r="G35" s="64"/>
      <c r="H35" s="64"/>
      <c r="I35" s="64"/>
      <c r="J35" s="64"/>
      <c r="K35" s="64"/>
      <c r="L35" s="64"/>
      <c r="M35" s="64"/>
      <c r="N35" s="64"/>
      <c r="O35" s="65"/>
      <c r="P35" s="65"/>
      <c r="Q35" s="65"/>
      <c r="R35" s="64"/>
      <c r="S35" s="64"/>
      <c r="T35" s="64"/>
      <c r="U35" s="64"/>
      <c r="V35" s="65"/>
      <c r="W35" s="65"/>
      <c r="X35" s="65"/>
      <c r="Y35" s="65"/>
      <c r="Z35" s="64"/>
      <c r="AA35" s="64"/>
      <c r="AB35" s="64"/>
      <c r="AC35" s="64"/>
      <c r="AD35" s="64"/>
      <c r="AE35" s="64"/>
      <c r="AF35" s="64"/>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row>
    <row r="36" spans="1:189" ht="15" customHeight="1" thickBot="1" x14ac:dyDescent="0.25">
      <c r="A36" s="62"/>
      <c r="B36" s="453"/>
      <c r="C36" s="454" t="s">
        <v>17</v>
      </c>
      <c r="D36" s="455" t="s">
        <v>310</v>
      </c>
      <c r="E36" s="456"/>
      <c r="F36" s="456"/>
      <c r="G36" s="456"/>
      <c r="H36" s="457"/>
      <c r="I36" s="458" t="s">
        <v>176</v>
      </c>
      <c r="P36" s="129"/>
      <c r="Q36" s="129"/>
      <c r="R36" s="129"/>
      <c r="S36" s="129"/>
      <c r="T36" s="129"/>
      <c r="U36" s="129"/>
      <c r="V36" s="556" t="str">
        <f>P50</f>
        <v>Projected Year 2</v>
      </c>
      <c r="W36" s="129"/>
      <c r="X36" s="20"/>
      <c r="Y36" s="20"/>
      <c r="Z36" s="20"/>
      <c r="AA36" s="129"/>
      <c r="AB36" s="129"/>
      <c r="AC36" s="129"/>
      <c r="AD36" s="129"/>
      <c r="AE36" s="129"/>
      <c r="AF36" s="129"/>
      <c r="AG36" s="129"/>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row>
    <row r="37" spans="1:189" ht="15" customHeight="1" thickBot="1" x14ac:dyDescent="0.25">
      <c r="A37" s="62"/>
      <c r="B37" s="459" t="s">
        <v>174</v>
      </c>
      <c r="C37" s="460" t="s">
        <v>184</v>
      </c>
      <c r="D37" s="461" t="s">
        <v>176</v>
      </c>
      <c r="E37" s="462" t="s">
        <v>176</v>
      </c>
      <c r="F37" s="462" t="s">
        <v>176</v>
      </c>
      <c r="G37" s="462" t="s">
        <v>176</v>
      </c>
      <c r="H37" s="463" t="s">
        <v>176</v>
      </c>
      <c r="I37" s="464" t="s">
        <v>280</v>
      </c>
      <c r="P37" s="129"/>
      <c r="Q37" s="129"/>
      <c r="R37" s="129"/>
      <c r="S37" s="129"/>
      <c r="T37" s="129"/>
      <c r="U37" s="129"/>
      <c r="V37" s="499"/>
      <c r="W37" s="499"/>
      <c r="X37" s="548" t="s">
        <v>298</v>
      </c>
      <c r="Y37" s="130"/>
      <c r="Z37" s="131"/>
      <c r="AA37" s="129"/>
      <c r="AB37" s="129"/>
      <c r="AC37" s="129"/>
      <c r="AD37" s="129"/>
      <c r="AE37" s="129"/>
      <c r="AF37" s="129"/>
      <c r="AG37" s="129"/>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row>
    <row r="38" spans="1:189" ht="15" customHeight="1" x14ac:dyDescent="0.2">
      <c r="A38" s="62"/>
      <c r="B38" s="459" t="s">
        <v>177</v>
      </c>
      <c r="C38" s="465" t="s">
        <v>140</v>
      </c>
      <c r="D38" s="466" t="s">
        <v>136</v>
      </c>
      <c r="E38" s="467" t="s">
        <v>81</v>
      </c>
      <c r="F38" s="467" t="s">
        <v>137</v>
      </c>
      <c r="G38" s="467" t="s">
        <v>82</v>
      </c>
      <c r="H38" s="468" t="s">
        <v>139</v>
      </c>
      <c r="I38" s="464" t="s">
        <v>87</v>
      </c>
      <c r="P38" s="129"/>
      <c r="Q38" s="129"/>
      <c r="R38" s="129"/>
      <c r="S38" s="129"/>
      <c r="T38" s="129"/>
      <c r="U38" s="129"/>
      <c r="V38" s="506"/>
      <c r="W38" s="506"/>
      <c r="X38" s="491" t="s">
        <v>297</v>
      </c>
      <c r="Y38" s="141"/>
      <c r="Z38" s="141"/>
      <c r="AA38" s="129"/>
      <c r="AB38" s="129"/>
      <c r="AC38" s="129"/>
      <c r="AD38" s="129"/>
      <c r="AE38" s="129"/>
      <c r="AF38" s="129"/>
      <c r="AG38" s="129"/>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row>
    <row r="39" spans="1:189" ht="15" customHeight="1" thickBot="1" x14ac:dyDescent="0.25">
      <c r="A39" s="62"/>
      <c r="B39" s="469" t="s">
        <v>74</v>
      </c>
      <c r="C39" s="470" t="s">
        <v>19</v>
      </c>
      <c r="D39" s="471" t="s">
        <v>148</v>
      </c>
      <c r="E39" s="472" t="s">
        <v>148</v>
      </c>
      <c r="F39" s="472" t="s">
        <v>148</v>
      </c>
      <c r="G39" s="472" t="s">
        <v>148</v>
      </c>
      <c r="H39" s="473" t="s">
        <v>91</v>
      </c>
      <c r="I39" s="474" t="s">
        <v>300</v>
      </c>
      <c r="P39" s="129"/>
      <c r="Q39" s="129"/>
      <c r="R39" s="129"/>
      <c r="S39" s="129"/>
      <c r="T39" s="129"/>
      <c r="U39" s="129"/>
      <c r="V39" s="512" t="s">
        <v>274</v>
      </c>
      <c r="W39" s="512" t="s">
        <v>14</v>
      </c>
      <c r="X39" s="549" t="s">
        <v>301</v>
      </c>
      <c r="Y39" s="142"/>
      <c r="Z39" s="143"/>
      <c r="AA39" s="129"/>
      <c r="AB39" s="129"/>
      <c r="AC39" s="129"/>
      <c r="AD39" s="129"/>
      <c r="AE39" s="129"/>
      <c r="AF39" s="129"/>
      <c r="AG39" s="12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row>
    <row r="40" spans="1:189" ht="15" customHeight="1" thickBot="1" x14ac:dyDescent="0.25">
      <c r="A40" s="62"/>
      <c r="B40" s="338" t="s">
        <v>519</v>
      </c>
      <c r="C40" s="475">
        <f>'D1. Member Months'!N10</f>
        <v>36779905</v>
      </c>
      <c r="D40" s="476">
        <f>'D5. Waiver Cost Projection'!O32</f>
        <v>552.10684743930312</v>
      </c>
      <c r="E40" s="477">
        <f>'D5. Waiver Cost Projection'!S32</f>
        <v>0</v>
      </c>
      <c r="F40" s="477">
        <f>'D5. Waiver Cost Projection'!W32</f>
        <v>0</v>
      </c>
      <c r="G40" s="477">
        <f>'D5. Waiver Cost Projection'!AA32</f>
        <v>1.7896625429654502</v>
      </c>
      <c r="H40" s="408">
        <f>'D5. Waiver Cost Projection'!AB32</f>
        <v>553.89650998226853</v>
      </c>
      <c r="I40" s="478">
        <f>H40-G40</f>
        <v>552.10684743930312</v>
      </c>
      <c r="P40" s="129"/>
      <c r="Q40" s="129"/>
      <c r="R40" s="129"/>
      <c r="S40" s="129"/>
      <c r="T40" s="129"/>
      <c r="U40" s="129"/>
      <c r="V40" s="525"/>
      <c r="W40" s="525"/>
      <c r="X40" s="474" t="s">
        <v>299</v>
      </c>
      <c r="Y40" s="142"/>
      <c r="Z40" s="143"/>
      <c r="AA40" s="129"/>
      <c r="AB40" s="129"/>
      <c r="AC40" s="129"/>
      <c r="AD40" s="129"/>
      <c r="AE40" s="129"/>
      <c r="AF40" s="129"/>
      <c r="AG40" s="129"/>
      <c r="AH40" s="94"/>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row>
    <row r="41" spans="1:189" ht="15" customHeight="1" thickBot="1" x14ac:dyDescent="0.25">
      <c r="A41" s="62"/>
      <c r="B41" s="338" t="s">
        <v>525</v>
      </c>
      <c r="C41" s="475">
        <f>'D1. Member Months'!N11</f>
        <v>0</v>
      </c>
      <c r="D41" s="476">
        <f>'D5. Waiver Cost Projection'!O33</f>
        <v>0</v>
      </c>
      <c r="E41" s="477">
        <f>'D5. Waiver Cost Projection'!S33</f>
        <v>0</v>
      </c>
      <c r="F41" s="477">
        <f>'D5. Waiver Cost Projection'!W33</f>
        <v>0</v>
      </c>
      <c r="G41" s="477">
        <f>'D5. Waiver Cost Projection'!AA33</f>
        <v>0</v>
      </c>
      <c r="H41" s="408">
        <f>'D5. Waiver Cost Projection'!AB33</f>
        <v>0</v>
      </c>
      <c r="I41" s="478">
        <f t="shared" ref="I41:I47" si="20">H41-G41</f>
        <v>0</v>
      </c>
      <c r="P41" s="129"/>
      <c r="Q41" s="129"/>
      <c r="R41" s="129"/>
      <c r="S41" s="129"/>
      <c r="T41" s="129"/>
      <c r="U41" s="129"/>
      <c r="V41" s="553"/>
      <c r="W41" s="338" t="s">
        <v>519</v>
      </c>
      <c r="X41" s="554">
        <f>I40</f>
        <v>552.10684743930312</v>
      </c>
      <c r="Y41" s="142"/>
      <c r="Z41" s="143"/>
      <c r="AA41" s="129"/>
      <c r="AB41" s="129"/>
      <c r="AC41" s="129"/>
      <c r="AD41" s="129"/>
      <c r="AE41" s="129"/>
      <c r="AF41" s="129"/>
      <c r="AG41" s="129"/>
      <c r="AH41" s="94"/>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row>
    <row r="42" spans="1:189" ht="15" customHeight="1" thickBot="1" x14ac:dyDescent="0.25">
      <c r="A42" s="62"/>
      <c r="B42" s="338" t="s">
        <v>520</v>
      </c>
      <c r="C42" s="475">
        <f>'D1. Member Months'!N12</f>
        <v>0</v>
      </c>
      <c r="D42" s="476">
        <f>'D5. Waiver Cost Projection'!O34</f>
        <v>0</v>
      </c>
      <c r="E42" s="477">
        <f>'D5. Waiver Cost Projection'!S34</f>
        <v>0</v>
      </c>
      <c r="F42" s="477">
        <f>'D5. Waiver Cost Projection'!W34</f>
        <v>0</v>
      </c>
      <c r="G42" s="477">
        <f>'D5. Waiver Cost Projection'!AA34</f>
        <v>0</v>
      </c>
      <c r="H42" s="408">
        <f>'D5. Waiver Cost Projection'!AB34</f>
        <v>0</v>
      </c>
      <c r="I42" s="478">
        <f t="shared" si="20"/>
        <v>0</v>
      </c>
      <c r="P42" s="129"/>
      <c r="Q42" s="129"/>
      <c r="R42" s="129"/>
      <c r="S42" s="129"/>
      <c r="T42" s="129"/>
      <c r="U42" s="129"/>
      <c r="V42" s="553"/>
      <c r="W42" s="241" t="s">
        <v>525</v>
      </c>
      <c r="X42" s="554">
        <f t="shared" ref="X42:X48" si="21">I41</f>
        <v>0</v>
      </c>
      <c r="Y42" s="142"/>
      <c r="Z42" s="143"/>
      <c r="AA42" s="129"/>
      <c r="AB42" s="129"/>
      <c r="AC42" s="129"/>
      <c r="AD42" s="129"/>
      <c r="AE42" s="129"/>
      <c r="AF42" s="129"/>
      <c r="AG42" s="129"/>
      <c r="AH42" s="94"/>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row>
    <row r="43" spans="1:189" ht="15" customHeight="1" thickBot="1" x14ac:dyDescent="0.25">
      <c r="A43" s="62"/>
      <c r="B43" s="338" t="s">
        <v>518</v>
      </c>
      <c r="C43" s="475">
        <f>'D1. Member Months'!N13</f>
        <v>54139905</v>
      </c>
      <c r="D43" s="476">
        <f>'D5. Waiver Cost Projection'!O35</f>
        <v>257.27567493385567</v>
      </c>
      <c r="E43" s="477">
        <f>'D5. Waiver Cost Projection'!S35</f>
        <v>0</v>
      </c>
      <c r="F43" s="477">
        <f>'D5. Waiver Cost Projection'!W35</f>
        <v>0</v>
      </c>
      <c r="G43" s="477">
        <f>'D5. Waiver Cost Projection'!AA35</f>
        <v>0.82676567403198242</v>
      </c>
      <c r="H43" s="408">
        <f>'D5. Waiver Cost Projection'!AB35</f>
        <v>258.10244060788767</v>
      </c>
      <c r="I43" s="478">
        <f t="shared" si="20"/>
        <v>257.27567493385567</v>
      </c>
      <c r="P43" s="129"/>
      <c r="Q43" s="129"/>
      <c r="R43" s="129"/>
      <c r="S43" s="129"/>
      <c r="T43" s="129"/>
      <c r="U43" s="129"/>
      <c r="V43" s="553"/>
      <c r="W43" s="338" t="s">
        <v>520</v>
      </c>
      <c r="X43" s="554">
        <f t="shared" si="21"/>
        <v>0</v>
      </c>
      <c r="Y43" s="142"/>
      <c r="Z43" s="143"/>
      <c r="AA43" s="129"/>
      <c r="AB43" s="129"/>
      <c r="AC43" s="129"/>
      <c r="AD43" s="129"/>
      <c r="AE43" s="129"/>
      <c r="AF43" s="129"/>
      <c r="AG43" s="129"/>
      <c r="AH43" s="94"/>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row>
    <row r="44" spans="1:189" ht="15" customHeight="1" thickBot="1" x14ac:dyDescent="0.25">
      <c r="A44" s="62"/>
      <c r="B44" s="338" t="s">
        <v>521</v>
      </c>
      <c r="C44" s="475">
        <f>'D1. Member Months'!N14</f>
        <v>994882</v>
      </c>
      <c r="D44" s="476">
        <f>'D5. Waiver Cost Projection'!O36</f>
        <v>262.95277139560312</v>
      </c>
      <c r="E44" s="477">
        <f>'D5. Waiver Cost Projection'!S36</f>
        <v>0</v>
      </c>
      <c r="F44" s="477">
        <f>'D5. Waiver Cost Projection'!W36</f>
        <v>0</v>
      </c>
      <c r="G44" s="477">
        <f>'D5. Waiver Cost Projection'!AA36</f>
        <v>0.80654709842386108</v>
      </c>
      <c r="H44" s="408">
        <f>'D5. Waiver Cost Projection'!AB36</f>
        <v>263.75931849402696</v>
      </c>
      <c r="I44" s="478">
        <f t="shared" si="20"/>
        <v>262.95277139560312</v>
      </c>
      <c r="P44" s="129"/>
      <c r="Q44" s="129"/>
      <c r="R44" s="129"/>
      <c r="S44" s="129"/>
      <c r="T44" s="129"/>
      <c r="U44" s="129"/>
      <c r="V44" s="553"/>
      <c r="W44" s="338" t="s">
        <v>518</v>
      </c>
      <c r="X44" s="554">
        <f t="shared" si="21"/>
        <v>257.27567493385567</v>
      </c>
      <c r="Y44" s="144"/>
      <c r="Z44" s="143"/>
      <c r="AA44" s="129"/>
      <c r="AB44" s="129"/>
      <c r="AC44" s="129"/>
      <c r="AD44" s="129"/>
      <c r="AE44" s="129"/>
      <c r="AF44" s="129"/>
      <c r="AG44" s="129"/>
      <c r="AH44" s="9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row>
    <row r="45" spans="1:189" ht="15" customHeight="1" thickBot="1" x14ac:dyDescent="0.25">
      <c r="A45" s="62"/>
      <c r="B45" s="338" t="s">
        <v>516</v>
      </c>
      <c r="C45" s="475">
        <f>'D1. Member Months'!N15</f>
        <v>14869740</v>
      </c>
      <c r="D45" s="476">
        <f>'D5. Waiver Cost Projection'!O37</f>
        <v>174.87425915438027</v>
      </c>
      <c r="E45" s="477">
        <f>'D5. Waiver Cost Projection'!S37</f>
        <v>0</v>
      </c>
      <c r="F45" s="477">
        <f>'D5. Waiver Cost Projection'!W37</f>
        <v>0</v>
      </c>
      <c r="G45" s="477">
        <f>'D5. Waiver Cost Projection'!AA37</f>
        <v>0.56396797796598708</v>
      </c>
      <c r="H45" s="408">
        <f>'D5. Waiver Cost Projection'!AB37</f>
        <v>175.43822713234624</v>
      </c>
      <c r="I45" s="478">
        <f t="shared" si="20"/>
        <v>174.87425915438027</v>
      </c>
      <c r="P45" s="129"/>
      <c r="Q45" s="129"/>
      <c r="R45" s="129"/>
      <c r="S45" s="129"/>
      <c r="T45" s="129"/>
      <c r="U45" s="129"/>
      <c r="V45" s="553"/>
      <c r="W45" s="338" t="s">
        <v>521</v>
      </c>
      <c r="X45" s="554">
        <f t="shared" si="21"/>
        <v>262.95277139560312</v>
      </c>
      <c r="AA45" s="129"/>
      <c r="AB45" s="129"/>
      <c r="AC45" s="129"/>
      <c r="AD45" s="129"/>
      <c r="AE45" s="129"/>
      <c r="AF45" s="129"/>
      <c r="AG45" s="129"/>
      <c r="AH45" s="94"/>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row>
    <row r="46" spans="1:189" ht="15" customHeight="1" thickBot="1" x14ac:dyDescent="0.25">
      <c r="A46" s="62"/>
      <c r="B46" s="346" t="s">
        <v>517</v>
      </c>
      <c r="C46" s="475">
        <f>'D1. Member Months'!N16</f>
        <v>9313336</v>
      </c>
      <c r="D46" s="476">
        <f>'D5. Waiver Cost Projection'!O38</f>
        <v>1426.4329166123368</v>
      </c>
      <c r="E46" s="477">
        <f>'D5. Waiver Cost Projection'!S38</f>
        <v>0</v>
      </c>
      <c r="F46" s="477">
        <f>'D5. Waiver Cost Projection'!W38</f>
        <v>0</v>
      </c>
      <c r="G46" s="477">
        <f>'D5. Waiver Cost Projection'!AA38</f>
        <v>4.5369055721019018</v>
      </c>
      <c r="H46" s="408">
        <f>'D5. Waiver Cost Projection'!AB38</f>
        <v>1430.9698221844387</v>
      </c>
      <c r="I46" s="478">
        <f t="shared" si="20"/>
        <v>1426.4329166123368</v>
      </c>
      <c r="P46" s="129"/>
      <c r="Q46" s="129"/>
      <c r="R46" s="129"/>
      <c r="S46" s="129"/>
      <c r="T46" s="129"/>
      <c r="U46" s="129"/>
      <c r="V46" s="553"/>
      <c r="W46" s="338" t="s">
        <v>516</v>
      </c>
      <c r="X46" s="554">
        <f t="shared" si="21"/>
        <v>174.87425915438027</v>
      </c>
      <c r="AA46" s="129"/>
      <c r="AB46" s="129"/>
      <c r="AC46" s="129"/>
      <c r="AD46" s="129"/>
      <c r="AE46" s="129"/>
      <c r="AF46" s="129"/>
      <c r="AG46" s="129"/>
      <c r="AH46" s="94"/>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row>
    <row r="47" spans="1:189" ht="15" customHeight="1" thickBot="1" x14ac:dyDescent="0.25">
      <c r="A47" s="62"/>
      <c r="B47" s="346" t="s">
        <v>522</v>
      </c>
      <c r="C47" s="475">
        <f>'D1. Member Months'!N17</f>
        <v>15257835</v>
      </c>
      <c r="D47" s="476">
        <f>'D5. Waiver Cost Projection'!O39</f>
        <v>695.14991476705757</v>
      </c>
      <c r="E47" s="477">
        <f>'D5. Waiver Cost Projection'!S39</f>
        <v>0</v>
      </c>
      <c r="F47" s="477">
        <f>'D5. Waiver Cost Projection'!W39</f>
        <v>0</v>
      </c>
      <c r="G47" s="477">
        <f>'D5. Waiver Cost Projection'!AA39</f>
        <v>1.6113645881468539</v>
      </c>
      <c r="H47" s="408">
        <f>'D5. Waiver Cost Projection'!AB39</f>
        <v>696.76127935520446</v>
      </c>
      <c r="I47" s="478">
        <f t="shared" si="20"/>
        <v>695.14991476705757</v>
      </c>
      <c r="P47" s="129"/>
      <c r="Q47" s="129"/>
      <c r="R47" s="129"/>
      <c r="S47" s="129"/>
      <c r="T47" s="129"/>
      <c r="U47" s="129"/>
      <c r="V47" s="553"/>
      <c r="W47" s="338" t="s">
        <v>517</v>
      </c>
      <c r="X47" s="554">
        <f t="shared" si="21"/>
        <v>1426.4329166123368</v>
      </c>
      <c r="AA47" s="129"/>
      <c r="AB47" s="129"/>
      <c r="AC47" s="129"/>
      <c r="AD47" s="129"/>
      <c r="AE47" s="129"/>
      <c r="AF47" s="129"/>
      <c r="AG47" s="129"/>
      <c r="AH47" s="94"/>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row>
    <row r="48" spans="1:189" ht="15" customHeight="1" thickTop="1" thickBot="1" x14ac:dyDescent="0.25">
      <c r="A48" s="62"/>
      <c r="B48" s="479" t="s">
        <v>98</v>
      </c>
      <c r="C48" s="480">
        <f>SUM(C40:C47)</f>
        <v>131355603</v>
      </c>
      <c r="D48" s="481"/>
      <c r="E48" s="482"/>
      <c r="F48" s="482"/>
      <c r="G48" s="482"/>
      <c r="H48" s="483"/>
      <c r="I48" s="483"/>
      <c r="P48" s="129"/>
      <c r="Q48" s="129"/>
      <c r="R48" s="129"/>
      <c r="S48" s="129"/>
      <c r="T48" s="129"/>
      <c r="U48" s="129"/>
      <c r="V48" s="553"/>
      <c r="W48" s="346" t="s">
        <v>522</v>
      </c>
      <c r="X48" s="554">
        <f t="shared" si="21"/>
        <v>695.14991476705757</v>
      </c>
      <c r="AA48" s="129"/>
      <c r="AB48" s="129"/>
      <c r="AC48" s="129"/>
      <c r="AD48" s="129"/>
      <c r="AE48" s="129"/>
      <c r="AF48" s="129"/>
      <c r="AG48" s="129"/>
      <c r="AH48" s="94"/>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row>
    <row r="49" spans="1:189" ht="15" customHeight="1" thickBot="1" x14ac:dyDescent="0.25">
      <c r="A49" s="62"/>
      <c r="B49" s="484" t="s">
        <v>315</v>
      </c>
      <c r="C49" s="485"/>
      <c r="D49" s="486">
        <f>SUMPRODUCT(D40:D47,$C$40:$C$47)/$C$48</f>
        <v>464.30140842547274</v>
      </c>
      <c r="E49" s="487">
        <f>SUMPRODUCT(E40:E47,$C$40:$C$47)/$C$48</f>
        <v>0</v>
      </c>
      <c r="F49" s="487">
        <f>SUMPRODUCT(F40:F47,$C$40:$C$47)/$C$48</f>
        <v>0</v>
      </c>
      <c r="G49" s="488">
        <f>SUMPRODUCT(G40:G47,$C$40:$C$47)/$C$48</f>
        <v>1.4206685249412554</v>
      </c>
      <c r="H49" s="487">
        <f>SUMPRODUCT(H40:H47,$C$40:$C$47)/$C$48</f>
        <v>465.72207695041396</v>
      </c>
      <c r="I49" s="487"/>
      <c r="J49" s="79"/>
      <c r="K49" s="80"/>
      <c r="L49" s="80"/>
      <c r="M49" s="80"/>
      <c r="N49" s="80"/>
      <c r="O49" s="81"/>
      <c r="P49" s="81"/>
      <c r="Q49" s="81"/>
      <c r="R49" s="80"/>
      <c r="S49" s="80"/>
      <c r="T49" s="80"/>
      <c r="U49" s="80"/>
      <c r="V49" s="543"/>
      <c r="W49" s="544" t="s">
        <v>24</v>
      </c>
      <c r="X49" s="555">
        <f>G49</f>
        <v>1.4206685249412554</v>
      </c>
      <c r="Y49" s="81"/>
      <c r="Z49" s="81"/>
      <c r="AA49" s="80"/>
      <c r="AB49" s="80"/>
      <c r="AC49" s="80"/>
      <c r="AD49" s="80"/>
      <c r="AE49" s="80"/>
      <c r="AF49" s="80"/>
      <c r="AG49" s="129"/>
      <c r="AH49" s="94"/>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row>
    <row r="50" spans="1:189" ht="18" customHeight="1" thickBot="1" x14ac:dyDescent="0.25">
      <c r="A50" s="62"/>
      <c r="B50" s="557"/>
      <c r="C50" s="557"/>
      <c r="D50" s="557"/>
      <c r="E50" s="557"/>
      <c r="F50" s="557"/>
      <c r="G50" s="557"/>
      <c r="H50" s="557"/>
      <c r="I50" s="557"/>
      <c r="J50" s="557"/>
      <c r="K50" s="557"/>
      <c r="L50" s="557"/>
      <c r="M50" s="557"/>
      <c r="N50" s="557"/>
      <c r="O50" s="557"/>
      <c r="P50" s="558" t="s">
        <v>16</v>
      </c>
      <c r="Q50" s="559">
        <f>'D1. Member Months'!H6</f>
        <v>44927</v>
      </c>
      <c r="R50" s="559" t="s">
        <v>386</v>
      </c>
      <c r="S50" s="559">
        <f>'D1. Member Months'!J6</f>
        <v>45291</v>
      </c>
      <c r="T50" s="557"/>
      <c r="U50" s="560"/>
      <c r="V50" s="556" t="str">
        <f>P50</f>
        <v>Projected Year 2</v>
      </c>
      <c r="W50" s="556"/>
      <c r="X50" s="545" t="s">
        <v>292</v>
      </c>
      <c r="Y50" s="546"/>
      <c r="Z50" s="547"/>
      <c r="AA50" s="545" t="s">
        <v>292</v>
      </c>
      <c r="AB50" s="546"/>
      <c r="AC50" s="547"/>
      <c r="AD50" s="545" t="s">
        <v>292</v>
      </c>
      <c r="AE50" s="546"/>
      <c r="AF50" s="547"/>
      <c r="AG50" s="545" t="s">
        <v>292</v>
      </c>
      <c r="AH50" s="546"/>
      <c r="AI50" s="547"/>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row>
    <row r="51" spans="1:189" ht="15" customHeight="1" x14ac:dyDescent="0.2">
      <c r="A51" s="62"/>
      <c r="B51" s="491"/>
      <c r="C51" s="492" t="s">
        <v>180</v>
      </c>
      <c r="D51" s="456"/>
      <c r="E51" s="457"/>
      <c r="F51" s="492" t="s">
        <v>181</v>
      </c>
      <c r="G51" s="456"/>
      <c r="H51" s="457"/>
      <c r="I51" s="492" t="s">
        <v>182</v>
      </c>
      <c r="J51" s="456"/>
      <c r="K51" s="457"/>
      <c r="L51" s="492" t="s">
        <v>183</v>
      </c>
      <c r="M51" s="456"/>
      <c r="N51" s="457"/>
      <c r="O51" s="561"/>
      <c r="P51" s="499"/>
      <c r="Q51" s="499"/>
      <c r="R51" s="562"/>
      <c r="S51" s="562"/>
      <c r="T51" s="562"/>
      <c r="U51" s="562"/>
      <c r="V51" s="499"/>
      <c r="W51" s="499"/>
      <c r="X51" s="492" t="s">
        <v>288</v>
      </c>
      <c r="Y51" s="456"/>
      <c r="Z51" s="457"/>
      <c r="AA51" s="492" t="s">
        <v>289</v>
      </c>
      <c r="AB51" s="456"/>
      <c r="AC51" s="457"/>
      <c r="AD51" s="492" t="s">
        <v>290</v>
      </c>
      <c r="AE51" s="456"/>
      <c r="AF51" s="457"/>
      <c r="AG51" s="492" t="s">
        <v>291</v>
      </c>
      <c r="AH51" s="456"/>
      <c r="AI51" s="457"/>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row>
    <row r="52" spans="1:189" ht="15" customHeight="1" x14ac:dyDescent="0.2">
      <c r="A52" s="62"/>
      <c r="B52" s="500" t="s">
        <v>174</v>
      </c>
      <c r="C52" s="501" t="s">
        <v>140</v>
      </c>
      <c r="D52" s="502" t="s">
        <v>273</v>
      </c>
      <c r="E52" s="503" t="s">
        <v>272</v>
      </c>
      <c r="F52" s="459" t="s">
        <v>140</v>
      </c>
      <c r="G52" s="502" t="s">
        <v>273</v>
      </c>
      <c r="H52" s="503" t="s">
        <v>272</v>
      </c>
      <c r="I52" s="459" t="s">
        <v>140</v>
      </c>
      <c r="J52" s="502" t="s">
        <v>273</v>
      </c>
      <c r="K52" s="503" t="s">
        <v>272</v>
      </c>
      <c r="L52" s="459" t="s">
        <v>140</v>
      </c>
      <c r="M52" s="502" t="s">
        <v>273</v>
      </c>
      <c r="N52" s="503" t="s">
        <v>272</v>
      </c>
      <c r="O52" s="464"/>
      <c r="P52" s="506"/>
      <c r="Q52" s="506"/>
      <c r="R52" s="507"/>
      <c r="S52" s="507"/>
      <c r="T52" s="508"/>
      <c r="U52" s="563"/>
      <c r="V52" s="506"/>
      <c r="W52" s="506"/>
      <c r="X52" s="501" t="s">
        <v>140</v>
      </c>
      <c r="Y52" s="467" t="s">
        <v>283</v>
      </c>
      <c r="Z52" s="503" t="s">
        <v>283</v>
      </c>
      <c r="AA52" s="501" t="s">
        <v>140</v>
      </c>
      <c r="AB52" s="467" t="s">
        <v>283</v>
      </c>
      <c r="AC52" s="503" t="s">
        <v>283</v>
      </c>
      <c r="AD52" s="501" t="s">
        <v>140</v>
      </c>
      <c r="AE52" s="467" t="s">
        <v>283</v>
      </c>
      <c r="AF52" s="503" t="s">
        <v>283</v>
      </c>
      <c r="AG52" s="501" t="s">
        <v>140</v>
      </c>
      <c r="AH52" s="467" t="s">
        <v>283</v>
      </c>
      <c r="AI52" s="503" t="s">
        <v>283</v>
      </c>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row>
    <row r="53" spans="1:189" ht="15" customHeight="1" x14ac:dyDescent="0.2">
      <c r="A53" s="62"/>
      <c r="B53" s="500" t="s">
        <v>177</v>
      </c>
      <c r="C53" s="501" t="s">
        <v>178</v>
      </c>
      <c r="D53" s="502" t="s">
        <v>87</v>
      </c>
      <c r="E53" s="468" t="s">
        <v>82</v>
      </c>
      <c r="F53" s="459" t="s">
        <v>178</v>
      </c>
      <c r="G53" s="502" t="s">
        <v>87</v>
      </c>
      <c r="H53" s="468" t="s">
        <v>82</v>
      </c>
      <c r="I53" s="459" t="s">
        <v>178</v>
      </c>
      <c r="J53" s="502" t="s">
        <v>87</v>
      </c>
      <c r="K53" s="468" t="s">
        <v>82</v>
      </c>
      <c r="L53" s="459" t="s">
        <v>178</v>
      </c>
      <c r="M53" s="502" t="s">
        <v>87</v>
      </c>
      <c r="N53" s="468" t="s">
        <v>82</v>
      </c>
      <c r="O53" s="464" t="s">
        <v>209</v>
      </c>
      <c r="P53" s="512" t="s">
        <v>274</v>
      </c>
      <c r="Q53" s="512" t="s">
        <v>14</v>
      </c>
      <c r="R53" s="513" t="s">
        <v>180</v>
      </c>
      <c r="S53" s="513" t="s">
        <v>181</v>
      </c>
      <c r="T53" s="513" t="s">
        <v>182</v>
      </c>
      <c r="U53" s="513" t="s">
        <v>183</v>
      </c>
      <c r="V53" s="512" t="s">
        <v>274</v>
      </c>
      <c r="W53" s="512" t="s">
        <v>14</v>
      </c>
      <c r="X53" s="501" t="s">
        <v>278</v>
      </c>
      <c r="Y53" s="502" t="s">
        <v>281</v>
      </c>
      <c r="Z53" s="468" t="s">
        <v>282</v>
      </c>
      <c r="AA53" s="501" t="s">
        <v>278</v>
      </c>
      <c r="AB53" s="502" t="s">
        <v>281</v>
      </c>
      <c r="AC53" s="468" t="s">
        <v>282</v>
      </c>
      <c r="AD53" s="501" t="s">
        <v>278</v>
      </c>
      <c r="AE53" s="502" t="s">
        <v>281</v>
      </c>
      <c r="AF53" s="468" t="s">
        <v>282</v>
      </c>
      <c r="AG53" s="501" t="s">
        <v>278</v>
      </c>
      <c r="AH53" s="502" t="s">
        <v>281</v>
      </c>
      <c r="AI53" s="468" t="s">
        <v>282</v>
      </c>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row>
    <row r="54" spans="1:189" ht="15" customHeight="1" thickBot="1" x14ac:dyDescent="0.25">
      <c r="A54" s="62"/>
      <c r="B54" s="516" t="s">
        <v>74</v>
      </c>
      <c r="C54" s="469"/>
      <c r="D54" s="517" t="s">
        <v>179</v>
      </c>
      <c r="E54" s="473" t="s">
        <v>86</v>
      </c>
      <c r="F54" s="469"/>
      <c r="G54" s="517" t="s">
        <v>179</v>
      </c>
      <c r="H54" s="473" t="s">
        <v>86</v>
      </c>
      <c r="I54" s="469"/>
      <c r="J54" s="517" t="s">
        <v>179</v>
      </c>
      <c r="K54" s="473" t="s">
        <v>86</v>
      </c>
      <c r="L54" s="469"/>
      <c r="M54" s="517" t="s">
        <v>179</v>
      </c>
      <c r="N54" s="473" t="s">
        <v>86</v>
      </c>
      <c r="O54" s="474" t="s">
        <v>91</v>
      </c>
      <c r="P54" s="525"/>
      <c r="Q54" s="525"/>
      <c r="R54" s="564">
        <f>'D1. Member Months'!K9-1</f>
        <v>45016</v>
      </c>
      <c r="S54" s="564">
        <f>'D1. Member Months'!L9-1</f>
        <v>45107</v>
      </c>
      <c r="T54" s="565">
        <f>'D1. Member Months'!M9-1</f>
        <v>45199</v>
      </c>
      <c r="U54" s="565">
        <f>'D1. Member Months'!J6</f>
        <v>45291</v>
      </c>
      <c r="V54" s="525"/>
      <c r="W54" s="525"/>
      <c r="X54" s="469">
        <f>R54</f>
        <v>45016</v>
      </c>
      <c r="Y54" s="517" t="s">
        <v>279</v>
      </c>
      <c r="Z54" s="473"/>
      <c r="AA54" s="469">
        <f>S54</f>
        <v>45107</v>
      </c>
      <c r="AB54" s="517" t="s">
        <v>279</v>
      </c>
      <c r="AC54" s="473"/>
      <c r="AD54" s="469">
        <f>T54</f>
        <v>45199</v>
      </c>
      <c r="AE54" s="517" t="s">
        <v>279</v>
      </c>
      <c r="AF54" s="473"/>
      <c r="AG54" s="469">
        <f>U54</f>
        <v>45291</v>
      </c>
      <c r="AH54" s="517" t="s">
        <v>279</v>
      </c>
      <c r="AI54" s="473"/>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row>
    <row r="55" spans="1:189" ht="15" customHeight="1" thickBot="1" x14ac:dyDescent="0.25">
      <c r="A55" s="62"/>
      <c r="B55" s="338" t="s">
        <v>519</v>
      </c>
      <c r="C55" s="526">
        <f>'D1. Member Months'!J10</f>
        <v>9194976.25</v>
      </c>
      <c r="D55" s="527">
        <f>C55*($D40+$E40+$F40)</f>
        <v>5076609349.6667652</v>
      </c>
      <c r="E55" s="528">
        <f>C55*$G40</f>
        <v>16455904.578081919</v>
      </c>
      <c r="F55" s="526">
        <f>'D1. Member Months'!K10</f>
        <v>9194976.25</v>
      </c>
      <c r="G55" s="527">
        <f>F55*($D40+$E40+$F40)</f>
        <v>5076609349.6667652</v>
      </c>
      <c r="H55" s="528">
        <f>F55*$G40</f>
        <v>16455904.578081919</v>
      </c>
      <c r="I55" s="526">
        <f>'D1. Member Months'!L10</f>
        <v>9194976.25</v>
      </c>
      <c r="J55" s="527">
        <f>I55*($D40+$E40+$F40)</f>
        <v>5076609349.6667652</v>
      </c>
      <c r="K55" s="528">
        <f>I55*$G40</f>
        <v>16455904.578081919</v>
      </c>
      <c r="L55" s="526">
        <f>'D1. Member Months'!M10</f>
        <v>9194976.25</v>
      </c>
      <c r="M55" s="527">
        <f>L55*($D40+$E40+$F40)</f>
        <v>5076609349.6667652</v>
      </c>
      <c r="N55" s="528">
        <f>L55*$G40</f>
        <v>16455904.578081919</v>
      </c>
      <c r="O55" s="566">
        <f>D55+E55+G55+H55+J55+K55+M55+N55</f>
        <v>20372261016.979389</v>
      </c>
      <c r="P55" s="553"/>
      <c r="Q55" s="241" t="s">
        <v>519</v>
      </c>
      <c r="R55" s="531">
        <f>D55</f>
        <v>5076609349.6667652</v>
      </c>
      <c r="S55" s="531">
        <f>G55</f>
        <v>5076609349.6667652</v>
      </c>
      <c r="T55" s="531">
        <f>J55</f>
        <v>5076609349.6667652</v>
      </c>
      <c r="U55" s="531">
        <f>M55</f>
        <v>5076609349.6667652</v>
      </c>
      <c r="V55" s="553"/>
      <c r="W55" s="338" t="s">
        <v>519</v>
      </c>
      <c r="X55" s="533"/>
      <c r="Y55" s="534"/>
      <c r="Z55" s="535" t="e">
        <f>Y55/X55</f>
        <v>#DIV/0!</v>
      </c>
      <c r="AA55" s="533"/>
      <c r="AB55" s="534"/>
      <c r="AC55" s="535" t="e">
        <f>AB55/AA55</f>
        <v>#DIV/0!</v>
      </c>
      <c r="AD55" s="533"/>
      <c r="AE55" s="534"/>
      <c r="AF55" s="535" t="e">
        <f>AE55/AD55</f>
        <v>#DIV/0!</v>
      </c>
      <c r="AG55" s="533"/>
      <c r="AH55" s="534"/>
      <c r="AI55" s="535" t="e">
        <f>AH55/AG55</f>
        <v>#DIV/0!</v>
      </c>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row>
    <row r="56" spans="1:189" ht="15" customHeight="1" thickBot="1" x14ac:dyDescent="0.25">
      <c r="A56" s="62"/>
      <c r="B56" s="338" t="s">
        <v>525</v>
      </c>
      <c r="C56" s="526">
        <f>'D1. Member Months'!J11</f>
        <v>0</v>
      </c>
      <c r="D56" s="527">
        <f t="shared" ref="D56:D62" si="22">C56*($D41+$E41+$F41)</f>
        <v>0</v>
      </c>
      <c r="E56" s="528">
        <f t="shared" ref="E56:E62" si="23">C56*$G41</f>
        <v>0</v>
      </c>
      <c r="F56" s="526">
        <f>'D1. Member Months'!K11</f>
        <v>0</v>
      </c>
      <c r="G56" s="527">
        <f t="shared" ref="G56:G62" si="24">F56*($D41+$E41+$F41)</f>
        <v>0</v>
      </c>
      <c r="H56" s="528">
        <f t="shared" ref="H56:H62" si="25">F56*$G41</f>
        <v>0</v>
      </c>
      <c r="I56" s="526">
        <f>'D1. Member Months'!L11</f>
        <v>0</v>
      </c>
      <c r="J56" s="527">
        <f t="shared" ref="J56:J62" si="26">I56*($D41+$E41+$F41)</f>
        <v>0</v>
      </c>
      <c r="K56" s="528">
        <f t="shared" ref="K56:K62" si="27">I56*$G41</f>
        <v>0</v>
      </c>
      <c r="L56" s="526">
        <f>'D1. Member Months'!M11</f>
        <v>0</v>
      </c>
      <c r="M56" s="527">
        <f t="shared" ref="M56:M62" si="28">L56*($D41+$E41+$F41)</f>
        <v>0</v>
      </c>
      <c r="N56" s="528">
        <f t="shared" ref="N56:N62" si="29">L56*$G41</f>
        <v>0</v>
      </c>
      <c r="O56" s="566">
        <f t="shared" ref="O56:O62" si="30">D56+E56+G56+H56+J56+K56+M56+N56</f>
        <v>0</v>
      </c>
      <c r="P56" s="553"/>
      <c r="Q56" s="241" t="s">
        <v>525</v>
      </c>
      <c r="R56" s="531">
        <f t="shared" ref="R56:R62" si="31">D56</f>
        <v>0</v>
      </c>
      <c r="S56" s="531">
        <f t="shared" ref="S56:S62" si="32">G56</f>
        <v>0</v>
      </c>
      <c r="T56" s="531">
        <f t="shared" ref="T56:T62" si="33">J56</f>
        <v>0</v>
      </c>
      <c r="U56" s="531">
        <f t="shared" ref="U56:U62" si="34">M56</f>
        <v>0</v>
      </c>
      <c r="V56" s="553"/>
      <c r="W56" s="241" t="s">
        <v>525</v>
      </c>
      <c r="X56" s="533"/>
      <c r="Y56" s="534"/>
      <c r="Z56" s="535" t="e">
        <f t="shared" ref="Z56:Z63" si="35">Y56/X56</f>
        <v>#DIV/0!</v>
      </c>
      <c r="AA56" s="533"/>
      <c r="AB56" s="534"/>
      <c r="AC56" s="535" t="e">
        <f t="shared" ref="AC56:AC63" si="36">AB56/AA56</f>
        <v>#DIV/0!</v>
      </c>
      <c r="AD56" s="533"/>
      <c r="AE56" s="534"/>
      <c r="AF56" s="535" t="e">
        <f t="shared" ref="AF56:AF63" si="37">AE56/AD56</f>
        <v>#DIV/0!</v>
      </c>
      <c r="AG56" s="533"/>
      <c r="AH56" s="534"/>
      <c r="AI56" s="535" t="e">
        <f t="shared" ref="AI56:AI63" si="38">AH56/AG56</f>
        <v>#DIV/0!</v>
      </c>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row>
    <row r="57" spans="1:189" ht="15" customHeight="1" thickBot="1" x14ac:dyDescent="0.25">
      <c r="A57" s="62"/>
      <c r="B57" s="338" t="s">
        <v>520</v>
      </c>
      <c r="C57" s="526">
        <f>'D1. Member Months'!J12</f>
        <v>0</v>
      </c>
      <c r="D57" s="527">
        <f t="shared" si="22"/>
        <v>0</v>
      </c>
      <c r="E57" s="528">
        <f t="shared" si="23"/>
        <v>0</v>
      </c>
      <c r="F57" s="526">
        <f>'D1. Member Months'!K12</f>
        <v>0</v>
      </c>
      <c r="G57" s="527">
        <f t="shared" si="24"/>
        <v>0</v>
      </c>
      <c r="H57" s="528">
        <f t="shared" si="25"/>
        <v>0</v>
      </c>
      <c r="I57" s="526">
        <f>'D1. Member Months'!L12</f>
        <v>0</v>
      </c>
      <c r="J57" s="527">
        <f t="shared" si="26"/>
        <v>0</v>
      </c>
      <c r="K57" s="528">
        <f t="shared" si="27"/>
        <v>0</v>
      </c>
      <c r="L57" s="526">
        <f>'D1. Member Months'!M12</f>
        <v>0</v>
      </c>
      <c r="M57" s="527">
        <f t="shared" si="28"/>
        <v>0</v>
      </c>
      <c r="N57" s="528">
        <f t="shared" si="29"/>
        <v>0</v>
      </c>
      <c r="O57" s="566">
        <f t="shared" si="30"/>
        <v>0</v>
      </c>
      <c r="P57" s="553"/>
      <c r="Q57" s="241" t="s">
        <v>520</v>
      </c>
      <c r="R57" s="531">
        <f t="shared" si="31"/>
        <v>0</v>
      </c>
      <c r="S57" s="531">
        <f t="shared" si="32"/>
        <v>0</v>
      </c>
      <c r="T57" s="531">
        <f t="shared" si="33"/>
        <v>0</v>
      </c>
      <c r="U57" s="531">
        <f t="shared" si="34"/>
        <v>0</v>
      </c>
      <c r="V57" s="553"/>
      <c r="W57" s="338" t="s">
        <v>520</v>
      </c>
      <c r="X57" s="533"/>
      <c r="Y57" s="534"/>
      <c r="Z57" s="535" t="e">
        <f t="shared" si="35"/>
        <v>#DIV/0!</v>
      </c>
      <c r="AA57" s="533"/>
      <c r="AB57" s="534"/>
      <c r="AC57" s="535" t="e">
        <f t="shared" si="36"/>
        <v>#DIV/0!</v>
      </c>
      <c r="AD57" s="533"/>
      <c r="AE57" s="534"/>
      <c r="AF57" s="535" t="e">
        <f t="shared" si="37"/>
        <v>#DIV/0!</v>
      </c>
      <c r="AG57" s="533"/>
      <c r="AH57" s="534"/>
      <c r="AI57" s="535" t="e">
        <f t="shared" si="38"/>
        <v>#DIV/0!</v>
      </c>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row>
    <row r="58" spans="1:189" ht="15" customHeight="1" thickBot="1" x14ac:dyDescent="0.25">
      <c r="A58" s="62"/>
      <c r="B58" s="338" t="s">
        <v>518</v>
      </c>
      <c r="C58" s="526">
        <f>'D1. Member Months'!J13</f>
        <v>13534976.25</v>
      </c>
      <c r="D58" s="527">
        <f t="shared" si="22"/>
        <v>3482220149.932457</v>
      </c>
      <c r="E58" s="528">
        <f t="shared" si="23"/>
        <v>11190253.762338124</v>
      </c>
      <c r="F58" s="526">
        <f>'D1. Member Months'!K13</f>
        <v>13534976.25</v>
      </c>
      <c r="G58" s="527">
        <f t="shared" si="24"/>
        <v>3482220149.932457</v>
      </c>
      <c r="H58" s="528">
        <f t="shared" si="25"/>
        <v>11190253.762338124</v>
      </c>
      <c r="I58" s="526">
        <f>'D1. Member Months'!L13</f>
        <v>13534976.25</v>
      </c>
      <c r="J58" s="527">
        <f t="shared" si="26"/>
        <v>3482220149.932457</v>
      </c>
      <c r="K58" s="528">
        <f t="shared" si="27"/>
        <v>11190253.762338124</v>
      </c>
      <c r="L58" s="526">
        <f>'D1. Member Months'!M13</f>
        <v>13534976.25</v>
      </c>
      <c r="M58" s="527">
        <f t="shared" si="28"/>
        <v>3482220149.932457</v>
      </c>
      <c r="N58" s="528">
        <f t="shared" si="29"/>
        <v>11190253.762338124</v>
      </c>
      <c r="O58" s="566">
        <f t="shared" si="30"/>
        <v>13973641614.779182</v>
      </c>
      <c r="P58" s="553"/>
      <c r="Q58" s="241" t="s">
        <v>518</v>
      </c>
      <c r="R58" s="531">
        <f t="shared" si="31"/>
        <v>3482220149.932457</v>
      </c>
      <c r="S58" s="531">
        <f t="shared" si="32"/>
        <v>3482220149.932457</v>
      </c>
      <c r="T58" s="531">
        <f t="shared" si="33"/>
        <v>3482220149.932457</v>
      </c>
      <c r="U58" s="531">
        <f t="shared" si="34"/>
        <v>3482220149.932457</v>
      </c>
      <c r="V58" s="553"/>
      <c r="W58" s="338" t="s">
        <v>518</v>
      </c>
      <c r="X58" s="533"/>
      <c r="Y58" s="534"/>
      <c r="Z58" s="535" t="e">
        <f t="shared" si="35"/>
        <v>#DIV/0!</v>
      </c>
      <c r="AA58" s="533"/>
      <c r="AB58" s="534"/>
      <c r="AC58" s="535" t="e">
        <f t="shared" si="36"/>
        <v>#DIV/0!</v>
      </c>
      <c r="AD58" s="533"/>
      <c r="AE58" s="534"/>
      <c r="AF58" s="535" t="e">
        <f t="shared" si="37"/>
        <v>#DIV/0!</v>
      </c>
      <c r="AG58" s="533"/>
      <c r="AH58" s="534"/>
      <c r="AI58" s="535" t="e">
        <f t="shared" si="38"/>
        <v>#DIV/0!</v>
      </c>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row>
    <row r="59" spans="1:189" ht="15" customHeight="1" thickBot="1" x14ac:dyDescent="0.25">
      <c r="A59" s="62"/>
      <c r="B59" s="338" t="s">
        <v>521</v>
      </c>
      <c r="C59" s="526">
        <f>'D1. Member Months'!J14</f>
        <v>248720.5</v>
      </c>
      <c r="D59" s="527">
        <f t="shared" si="22"/>
        <v>65401744.777900107</v>
      </c>
      <c r="E59" s="528">
        <f t="shared" si="23"/>
        <v>200604.79759353193</v>
      </c>
      <c r="F59" s="526">
        <f>'D1. Member Months'!K14</f>
        <v>248720.5</v>
      </c>
      <c r="G59" s="527">
        <f t="shared" si="24"/>
        <v>65401744.777900107</v>
      </c>
      <c r="H59" s="528">
        <f t="shared" si="25"/>
        <v>200604.79759353193</v>
      </c>
      <c r="I59" s="526">
        <f>'D1. Member Months'!L14</f>
        <v>248720.5</v>
      </c>
      <c r="J59" s="527">
        <f t="shared" si="26"/>
        <v>65401744.777900107</v>
      </c>
      <c r="K59" s="528">
        <f t="shared" si="27"/>
        <v>200604.79759353193</v>
      </c>
      <c r="L59" s="526">
        <f>'D1. Member Months'!M14</f>
        <v>248720.5</v>
      </c>
      <c r="M59" s="527">
        <f t="shared" si="28"/>
        <v>65401744.777900107</v>
      </c>
      <c r="N59" s="528">
        <f t="shared" si="29"/>
        <v>200604.79759353193</v>
      </c>
      <c r="O59" s="566">
        <f t="shared" si="30"/>
        <v>262409398.30197456</v>
      </c>
      <c r="P59" s="553"/>
      <c r="Q59" s="241" t="s">
        <v>521</v>
      </c>
      <c r="R59" s="531">
        <f t="shared" si="31"/>
        <v>65401744.777900107</v>
      </c>
      <c r="S59" s="531">
        <f t="shared" si="32"/>
        <v>65401744.777900107</v>
      </c>
      <c r="T59" s="531">
        <f t="shared" si="33"/>
        <v>65401744.777900107</v>
      </c>
      <c r="U59" s="531">
        <f t="shared" si="34"/>
        <v>65401744.777900107</v>
      </c>
      <c r="V59" s="553"/>
      <c r="W59" s="338" t="s">
        <v>521</v>
      </c>
      <c r="X59" s="533"/>
      <c r="Y59" s="534"/>
      <c r="Z59" s="535" t="e">
        <f t="shared" si="35"/>
        <v>#DIV/0!</v>
      </c>
      <c r="AA59" s="533"/>
      <c r="AB59" s="534"/>
      <c r="AC59" s="535" t="e">
        <f t="shared" si="36"/>
        <v>#DIV/0!</v>
      </c>
      <c r="AD59" s="533"/>
      <c r="AE59" s="534"/>
      <c r="AF59" s="535" t="e">
        <f t="shared" si="37"/>
        <v>#DIV/0!</v>
      </c>
      <c r="AG59" s="533"/>
      <c r="AH59" s="534"/>
      <c r="AI59" s="535" t="e">
        <f t="shared" si="38"/>
        <v>#DIV/0!</v>
      </c>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row>
    <row r="60" spans="1:189" ht="15" customHeight="1" thickBot="1" x14ac:dyDescent="0.25">
      <c r="A60" s="62"/>
      <c r="B60" s="338" t="s">
        <v>516</v>
      </c>
      <c r="C60" s="526">
        <f>'D1. Member Months'!J15</f>
        <v>3717435</v>
      </c>
      <c r="D60" s="527">
        <f t="shared" si="22"/>
        <v>650083691.57956362</v>
      </c>
      <c r="E60" s="528">
        <f t="shared" si="23"/>
        <v>2096514.3001699892</v>
      </c>
      <c r="F60" s="526">
        <f>'D1. Member Months'!K15</f>
        <v>3717435</v>
      </c>
      <c r="G60" s="527">
        <f t="shared" si="24"/>
        <v>650083691.57956362</v>
      </c>
      <c r="H60" s="528">
        <f t="shared" si="25"/>
        <v>2096514.3001699892</v>
      </c>
      <c r="I60" s="526">
        <f>'D1. Member Months'!L15</f>
        <v>3717435</v>
      </c>
      <c r="J60" s="527">
        <f t="shared" si="26"/>
        <v>650083691.57956362</v>
      </c>
      <c r="K60" s="528">
        <f t="shared" si="27"/>
        <v>2096514.3001699892</v>
      </c>
      <c r="L60" s="526">
        <f>'D1. Member Months'!M15</f>
        <v>3717435</v>
      </c>
      <c r="M60" s="527">
        <f t="shared" si="28"/>
        <v>650083691.57956362</v>
      </c>
      <c r="N60" s="528">
        <f t="shared" si="29"/>
        <v>2096514.3001699892</v>
      </c>
      <c r="O60" s="566">
        <f t="shared" si="30"/>
        <v>2608720823.5189342</v>
      </c>
      <c r="P60" s="553"/>
      <c r="Q60" s="241" t="s">
        <v>516</v>
      </c>
      <c r="R60" s="531">
        <f t="shared" si="31"/>
        <v>650083691.57956362</v>
      </c>
      <c r="S60" s="531">
        <f t="shared" si="32"/>
        <v>650083691.57956362</v>
      </c>
      <c r="T60" s="531">
        <f t="shared" si="33"/>
        <v>650083691.57956362</v>
      </c>
      <c r="U60" s="531">
        <f t="shared" si="34"/>
        <v>650083691.57956362</v>
      </c>
      <c r="V60" s="553"/>
      <c r="W60" s="338" t="s">
        <v>516</v>
      </c>
      <c r="X60" s="533"/>
      <c r="Y60" s="534"/>
      <c r="Z60" s="535" t="e">
        <f t="shared" si="35"/>
        <v>#DIV/0!</v>
      </c>
      <c r="AA60" s="533"/>
      <c r="AB60" s="534"/>
      <c r="AC60" s="535" t="e">
        <f t="shared" si="36"/>
        <v>#DIV/0!</v>
      </c>
      <c r="AD60" s="533"/>
      <c r="AE60" s="534"/>
      <c r="AF60" s="535" t="e">
        <f t="shared" si="37"/>
        <v>#DIV/0!</v>
      </c>
      <c r="AG60" s="533"/>
      <c r="AH60" s="534"/>
      <c r="AI60" s="535" t="e">
        <f t="shared" si="38"/>
        <v>#DIV/0!</v>
      </c>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row>
    <row r="61" spans="1:189" ht="15" customHeight="1" thickBot="1" x14ac:dyDescent="0.25">
      <c r="A61" s="62"/>
      <c r="B61" s="346" t="s">
        <v>517</v>
      </c>
      <c r="C61" s="526">
        <f>'D1. Member Months'!J16</f>
        <v>2328334</v>
      </c>
      <c r="D61" s="527">
        <f t="shared" si="22"/>
        <v>3321212258.4676685</v>
      </c>
      <c r="E61" s="528">
        <f t="shared" si="23"/>
        <v>10563431.49831431</v>
      </c>
      <c r="F61" s="526">
        <f>'D1. Member Months'!K16</f>
        <v>2328334</v>
      </c>
      <c r="G61" s="527">
        <f t="shared" si="24"/>
        <v>3321212258.4676685</v>
      </c>
      <c r="H61" s="528">
        <f t="shared" si="25"/>
        <v>10563431.49831431</v>
      </c>
      <c r="I61" s="526">
        <f>'D1. Member Months'!L16</f>
        <v>2328334</v>
      </c>
      <c r="J61" s="527">
        <f t="shared" si="26"/>
        <v>3321212258.4676685</v>
      </c>
      <c r="K61" s="528">
        <f t="shared" si="27"/>
        <v>10563431.49831431</v>
      </c>
      <c r="L61" s="526">
        <f>'D1. Member Months'!M16</f>
        <v>2328334</v>
      </c>
      <c r="M61" s="527">
        <f t="shared" si="28"/>
        <v>3321212258.4676685</v>
      </c>
      <c r="N61" s="528">
        <f t="shared" si="29"/>
        <v>10563431.49831431</v>
      </c>
      <c r="O61" s="566">
        <f t="shared" si="30"/>
        <v>13327102759.86393</v>
      </c>
      <c r="P61" s="553"/>
      <c r="Q61" s="241" t="s">
        <v>517</v>
      </c>
      <c r="R61" s="531">
        <f t="shared" si="31"/>
        <v>3321212258.4676685</v>
      </c>
      <c r="S61" s="531">
        <f t="shared" si="32"/>
        <v>3321212258.4676685</v>
      </c>
      <c r="T61" s="531">
        <f t="shared" si="33"/>
        <v>3321212258.4676685</v>
      </c>
      <c r="U61" s="531">
        <f t="shared" si="34"/>
        <v>3321212258.4676685</v>
      </c>
      <c r="V61" s="553"/>
      <c r="W61" s="338" t="s">
        <v>517</v>
      </c>
      <c r="X61" s="533"/>
      <c r="Y61" s="534"/>
      <c r="Z61" s="535"/>
      <c r="AA61" s="533"/>
      <c r="AB61" s="534"/>
      <c r="AC61" s="535"/>
      <c r="AD61" s="533"/>
      <c r="AE61" s="534"/>
      <c r="AF61" s="535"/>
      <c r="AG61" s="533"/>
      <c r="AH61" s="534"/>
      <c r="AI61" s="535"/>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row>
    <row r="62" spans="1:189" ht="15" customHeight="1" thickBot="1" x14ac:dyDescent="0.25">
      <c r="A62" s="62"/>
      <c r="B62" s="346" t="s">
        <v>522</v>
      </c>
      <c r="C62" s="526">
        <f>'D1. Member Months'!J17</f>
        <v>3814458.75</v>
      </c>
      <c r="D62" s="527">
        <f t="shared" si="22"/>
        <v>2651620674.9449568</v>
      </c>
      <c r="E62" s="528">
        <f t="shared" si="23"/>
        <v>6146483.7526969127</v>
      </c>
      <c r="F62" s="526">
        <f>'D1. Member Months'!K17</f>
        <v>3814458.75</v>
      </c>
      <c r="G62" s="527">
        <f t="shared" si="24"/>
        <v>2651620674.9449568</v>
      </c>
      <c r="H62" s="528">
        <f t="shared" si="25"/>
        <v>6146483.7526969127</v>
      </c>
      <c r="I62" s="526">
        <f>'D1. Member Months'!L17</f>
        <v>3814458.75</v>
      </c>
      <c r="J62" s="527">
        <f t="shared" si="26"/>
        <v>2651620674.9449568</v>
      </c>
      <c r="K62" s="528">
        <f t="shared" si="27"/>
        <v>6146483.7526969127</v>
      </c>
      <c r="L62" s="526">
        <f>'D1. Member Months'!M17</f>
        <v>3814458.75</v>
      </c>
      <c r="M62" s="527">
        <f t="shared" si="28"/>
        <v>2651620674.9449568</v>
      </c>
      <c r="N62" s="528">
        <f t="shared" si="29"/>
        <v>6146483.7526969127</v>
      </c>
      <c r="O62" s="566">
        <f t="shared" si="30"/>
        <v>10631068634.790615</v>
      </c>
      <c r="P62" s="553"/>
      <c r="Q62" s="241" t="s">
        <v>522</v>
      </c>
      <c r="R62" s="531">
        <f t="shared" si="31"/>
        <v>2651620674.9449568</v>
      </c>
      <c r="S62" s="531">
        <f t="shared" si="32"/>
        <v>2651620674.9449568</v>
      </c>
      <c r="T62" s="531">
        <f t="shared" si="33"/>
        <v>2651620674.9449568</v>
      </c>
      <c r="U62" s="531">
        <f t="shared" si="34"/>
        <v>2651620674.9449568</v>
      </c>
      <c r="V62" s="553"/>
      <c r="W62" s="346" t="s">
        <v>522</v>
      </c>
      <c r="X62" s="533"/>
      <c r="Y62" s="534"/>
      <c r="Z62" s="535" t="e">
        <f t="shared" si="35"/>
        <v>#DIV/0!</v>
      </c>
      <c r="AA62" s="533"/>
      <c r="AB62" s="534"/>
      <c r="AC62" s="535" t="e">
        <f t="shared" si="36"/>
        <v>#DIV/0!</v>
      </c>
      <c r="AD62" s="533"/>
      <c r="AE62" s="534"/>
      <c r="AF62" s="535" t="e">
        <f t="shared" si="37"/>
        <v>#DIV/0!</v>
      </c>
      <c r="AG62" s="533"/>
      <c r="AH62" s="534"/>
      <c r="AI62" s="535" t="e">
        <f t="shared" si="38"/>
        <v>#DIV/0!</v>
      </c>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row>
    <row r="63" spans="1:189" ht="15" customHeight="1" thickTop="1" thickBot="1" x14ac:dyDescent="0.25">
      <c r="A63" s="62"/>
      <c r="B63" s="536" t="s">
        <v>98</v>
      </c>
      <c r="C63" s="537">
        <f t="shared" ref="C63:O63" si="39">SUM(C55:C62)</f>
        <v>32838900.75</v>
      </c>
      <c r="D63" s="538">
        <f t="shared" si="39"/>
        <v>15247147869.369312</v>
      </c>
      <c r="E63" s="539">
        <f t="shared" si="39"/>
        <v>46653192.689194784</v>
      </c>
      <c r="F63" s="537">
        <f t="shared" si="39"/>
        <v>32838900.75</v>
      </c>
      <c r="G63" s="538">
        <f t="shared" si="39"/>
        <v>15247147869.369312</v>
      </c>
      <c r="H63" s="539">
        <f t="shared" si="39"/>
        <v>46653192.689194784</v>
      </c>
      <c r="I63" s="537">
        <f t="shared" si="39"/>
        <v>32838900.75</v>
      </c>
      <c r="J63" s="538">
        <f t="shared" si="39"/>
        <v>15247147869.369312</v>
      </c>
      <c r="K63" s="539">
        <f t="shared" si="39"/>
        <v>46653192.689194784</v>
      </c>
      <c r="L63" s="537">
        <f t="shared" si="39"/>
        <v>32838900.75</v>
      </c>
      <c r="M63" s="538">
        <f t="shared" si="39"/>
        <v>15247147869.369312</v>
      </c>
      <c r="N63" s="539">
        <f t="shared" si="39"/>
        <v>46653192.689194784</v>
      </c>
      <c r="O63" s="540">
        <f t="shared" si="39"/>
        <v>61175204248.234024</v>
      </c>
      <c r="P63" s="543"/>
      <c r="Q63" s="543"/>
      <c r="R63" s="542">
        <f>SUM(R55:R62)</f>
        <v>15247147869.369312</v>
      </c>
      <c r="S63" s="542">
        <f>SUM(S55:S62)</f>
        <v>15247147869.369312</v>
      </c>
      <c r="T63" s="542">
        <f>SUM(T55:T62)</f>
        <v>15247147869.369312</v>
      </c>
      <c r="U63" s="542">
        <f>SUM(U55:U62)</f>
        <v>15247147869.369312</v>
      </c>
      <c r="V63" s="543"/>
      <c r="W63" s="544" t="s">
        <v>24</v>
      </c>
      <c r="X63" s="533"/>
      <c r="Y63" s="534"/>
      <c r="Z63" s="535" t="e">
        <f t="shared" si="35"/>
        <v>#DIV/0!</v>
      </c>
      <c r="AA63" s="533"/>
      <c r="AB63" s="534"/>
      <c r="AC63" s="535" t="e">
        <f t="shared" si="36"/>
        <v>#DIV/0!</v>
      </c>
      <c r="AD63" s="533"/>
      <c r="AE63" s="534"/>
      <c r="AF63" s="535" t="e">
        <f t="shared" si="37"/>
        <v>#DIV/0!</v>
      </c>
      <c r="AG63" s="533"/>
      <c r="AH63" s="534"/>
      <c r="AI63" s="535" t="e">
        <f t="shared" si="38"/>
        <v>#DIV/0!</v>
      </c>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row>
    <row r="64" spans="1:189" ht="12.75" x14ac:dyDescent="0.2">
      <c r="A64" s="62"/>
      <c r="P64" s="132"/>
      <c r="Q64" s="132"/>
      <c r="R64" s="132"/>
      <c r="S64" s="132"/>
      <c r="T64" s="132"/>
      <c r="U64" s="132"/>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row>
    <row r="65" spans="1:189" ht="13.5" thickBot="1" x14ac:dyDescent="0.25">
      <c r="A65" s="62"/>
      <c r="B65" s="452" t="s">
        <v>406</v>
      </c>
      <c r="C65" s="91"/>
      <c r="D65" s="64"/>
      <c r="E65" s="64"/>
      <c r="F65" s="64"/>
      <c r="G65" s="64"/>
      <c r="H65" s="64"/>
      <c r="I65" s="64"/>
      <c r="J65" s="64"/>
      <c r="K65" s="64"/>
      <c r="L65" s="64"/>
      <c r="M65" s="64"/>
      <c r="N65" s="64"/>
      <c r="O65" s="65"/>
      <c r="P65" s="65"/>
      <c r="Q65" s="65"/>
      <c r="R65" s="64"/>
      <c r="S65" s="64"/>
      <c r="T65" s="64"/>
      <c r="U65" s="64"/>
      <c r="V65" s="65"/>
      <c r="W65" s="65"/>
      <c r="X65" s="65"/>
      <c r="Y65" s="65"/>
      <c r="Z65" s="64"/>
      <c r="AA65" s="64"/>
      <c r="AB65" s="64"/>
      <c r="AC65" s="64"/>
      <c r="AD65" s="64"/>
      <c r="AE65" s="64"/>
      <c r="AF65" s="64"/>
      <c r="AG65" s="66"/>
      <c r="AH65" s="66"/>
      <c r="AI65" s="66"/>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row>
    <row r="66" spans="1:189" ht="13.5" thickBot="1" x14ac:dyDescent="0.25">
      <c r="A66" s="62"/>
      <c r="B66" s="453"/>
      <c r="C66" s="454" t="s">
        <v>17</v>
      </c>
      <c r="D66" s="455" t="s">
        <v>310</v>
      </c>
      <c r="E66" s="456"/>
      <c r="F66" s="456"/>
      <c r="G66" s="456"/>
      <c r="H66" s="457"/>
      <c r="I66" s="458" t="s">
        <v>176</v>
      </c>
      <c r="P66" s="129"/>
      <c r="Q66" s="129"/>
      <c r="R66" s="129"/>
      <c r="S66" s="129"/>
      <c r="T66" s="129"/>
      <c r="U66" s="129"/>
      <c r="V66" s="556" t="str">
        <f>P80</f>
        <v>Projected Year 3</v>
      </c>
      <c r="W66" s="556"/>
      <c r="X66" s="567"/>
      <c r="Y66" s="20"/>
      <c r="Z66" s="20"/>
      <c r="AA66" s="129"/>
      <c r="AB66" s="129"/>
      <c r="AC66" s="129"/>
      <c r="AD66" s="129"/>
      <c r="AE66" s="129"/>
      <c r="AF66" s="129"/>
      <c r="AG66" s="129"/>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row>
    <row r="67" spans="1:189" ht="13.5" thickBot="1" x14ac:dyDescent="0.25">
      <c r="A67" s="62"/>
      <c r="B67" s="459" t="s">
        <v>174</v>
      </c>
      <c r="C67" s="460" t="s">
        <v>184</v>
      </c>
      <c r="D67" s="461" t="s">
        <v>176</v>
      </c>
      <c r="E67" s="462" t="s">
        <v>176</v>
      </c>
      <c r="F67" s="462" t="s">
        <v>176</v>
      </c>
      <c r="G67" s="462" t="s">
        <v>176</v>
      </c>
      <c r="H67" s="463" t="s">
        <v>176</v>
      </c>
      <c r="I67" s="464" t="s">
        <v>280</v>
      </c>
      <c r="P67" s="129"/>
      <c r="Q67" s="129"/>
      <c r="R67" s="129"/>
      <c r="S67" s="129"/>
      <c r="T67" s="129"/>
      <c r="U67" s="129"/>
      <c r="V67" s="499"/>
      <c r="W67" s="499"/>
      <c r="X67" s="548" t="s">
        <v>298</v>
      </c>
      <c r="Y67" s="130"/>
      <c r="Z67" s="131"/>
      <c r="AA67" s="129"/>
      <c r="AB67" s="129"/>
      <c r="AC67" s="129"/>
      <c r="AD67" s="129"/>
      <c r="AE67" s="129"/>
      <c r="AF67" s="129"/>
      <c r="AG67" s="129"/>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row>
    <row r="68" spans="1:189" ht="12.75" x14ac:dyDescent="0.2">
      <c r="A68" s="62"/>
      <c r="B68" s="459" t="s">
        <v>177</v>
      </c>
      <c r="C68" s="465" t="s">
        <v>140</v>
      </c>
      <c r="D68" s="466" t="s">
        <v>136</v>
      </c>
      <c r="E68" s="467" t="s">
        <v>81</v>
      </c>
      <c r="F68" s="467" t="s">
        <v>137</v>
      </c>
      <c r="G68" s="467" t="s">
        <v>82</v>
      </c>
      <c r="H68" s="468" t="s">
        <v>139</v>
      </c>
      <c r="I68" s="464" t="s">
        <v>87</v>
      </c>
      <c r="P68" s="129"/>
      <c r="Q68" s="129"/>
      <c r="R68" s="129"/>
      <c r="S68" s="129"/>
      <c r="T68" s="129"/>
      <c r="U68" s="129"/>
      <c r="V68" s="506"/>
      <c r="W68" s="506"/>
      <c r="X68" s="491" t="s">
        <v>297</v>
      </c>
      <c r="Y68" s="141"/>
      <c r="Z68" s="141"/>
      <c r="AA68" s="129"/>
      <c r="AB68" s="129"/>
      <c r="AC68" s="129"/>
      <c r="AD68" s="129"/>
      <c r="AE68" s="129"/>
      <c r="AF68" s="129"/>
      <c r="AG68" s="129"/>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row>
    <row r="69" spans="1:189" ht="13.5" thickBot="1" x14ac:dyDescent="0.25">
      <c r="A69" s="62"/>
      <c r="B69" s="469" t="s">
        <v>74</v>
      </c>
      <c r="C69" s="470" t="s">
        <v>19</v>
      </c>
      <c r="D69" s="471" t="s">
        <v>148</v>
      </c>
      <c r="E69" s="472" t="s">
        <v>148</v>
      </c>
      <c r="F69" s="472" t="s">
        <v>148</v>
      </c>
      <c r="G69" s="472" t="s">
        <v>148</v>
      </c>
      <c r="H69" s="473" t="s">
        <v>91</v>
      </c>
      <c r="I69" s="474" t="s">
        <v>300</v>
      </c>
      <c r="P69" s="129"/>
      <c r="Q69" s="129"/>
      <c r="R69" s="129"/>
      <c r="S69" s="129"/>
      <c r="T69" s="129"/>
      <c r="U69" s="129"/>
      <c r="V69" s="512" t="s">
        <v>274</v>
      </c>
      <c r="W69" s="512" t="s">
        <v>14</v>
      </c>
      <c r="X69" s="549" t="s">
        <v>301</v>
      </c>
      <c r="Y69" s="142"/>
      <c r="Z69" s="143"/>
      <c r="AA69" s="129"/>
      <c r="AB69" s="129"/>
      <c r="AC69" s="129"/>
      <c r="AD69" s="129"/>
      <c r="AE69" s="129"/>
      <c r="AF69" s="129"/>
      <c r="AG69" s="12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row>
    <row r="70" spans="1:189" ht="23.25" thickBot="1" x14ac:dyDescent="0.25">
      <c r="A70" s="62"/>
      <c r="B70" s="338" t="s">
        <v>519</v>
      </c>
      <c r="C70" s="475">
        <f>'D1. Member Months'!G40</f>
        <v>36779905</v>
      </c>
      <c r="D70" s="476">
        <f>'D5. Waiver Cost Projection'!O51</f>
        <v>572.05401873813696</v>
      </c>
      <c r="E70" s="477">
        <f>'D5. Waiver Cost Projection'!S51</f>
        <v>0</v>
      </c>
      <c r="F70" s="477">
        <f>'D5. Waiver Cost Projection'!W51</f>
        <v>0</v>
      </c>
      <c r="G70" s="477">
        <f>'D5. Waiver Cost Projection'!AA51</f>
        <v>1.8861253540312881</v>
      </c>
      <c r="H70" s="408">
        <f>'D5. Waiver Cost Projection'!AB51</f>
        <v>573.94014409216823</v>
      </c>
      <c r="I70" s="478">
        <f>H70-G70</f>
        <v>572.05401873813696</v>
      </c>
      <c r="P70" s="129"/>
      <c r="Q70" s="129"/>
      <c r="R70" s="129"/>
      <c r="S70" s="129"/>
      <c r="T70" s="129"/>
      <c r="U70" s="129"/>
      <c r="V70" s="525"/>
      <c r="W70" s="525"/>
      <c r="X70" s="474" t="s">
        <v>299</v>
      </c>
      <c r="Y70" s="142"/>
      <c r="Z70" s="143"/>
      <c r="AA70" s="129"/>
      <c r="AB70" s="129"/>
      <c r="AC70" s="129"/>
      <c r="AD70" s="129"/>
      <c r="AE70" s="129"/>
      <c r="AF70" s="129"/>
      <c r="AG70" s="129"/>
      <c r="AH70" s="94"/>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row>
    <row r="71" spans="1:189" ht="13.5" thickBot="1" x14ac:dyDescent="0.25">
      <c r="A71" s="62"/>
      <c r="B71" s="338" t="s">
        <v>525</v>
      </c>
      <c r="C71" s="475">
        <f>'D1. Member Months'!G41</f>
        <v>0</v>
      </c>
      <c r="D71" s="476">
        <f>'D5. Waiver Cost Projection'!O52</f>
        <v>0</v>
      </c>
      <c r="E71" s="477">
        <f>'D5. Waiver Cost Projection'!S52</f>
        <v>0</v>
      </c>
      <c r="F71" s="477">
        <f>'D5. Waiver Cost Projection'!W52</f>
        <v>0</v>
      </c>
      <c r="G71" s="477">
        <f>'D5. Waiver Cost Projection'!AA52</f>
        <v>0</v>
      </c>
      <c r="H71" s="408">
        <f>'D5. Waiver Cost Projection'!AB52</f>
        <v>0</v>
      </c>
      <c r="I71" s="478">
        <f t="shared" ref="I71:I77" si="40">H71-G71</f>
        <v>0</v>
      </c>
      <c r="P71" s="129"/>
      <c r="Q71" s="129"/>
      <c r="R71" s="129"/>
      <c r="S71" s="129"/>
      <c r="T71" s="129"/>
      <c r="U71" s="129"/>
      <c r="V71" s="553"/>
      <c r="W71" s="338" t="s">
        <v>519</v>
      </c>
      <c r="X71" s="554">
        <f>I70</f>
        <v>572.05401873813696</v>
      </c>
      <c r="Y71" s="142"/>
      <c r="Z71" s="143"/>
      <c r="AA71" s="129"/>
      <c r="AB71" s="129"/>
      <c r="AC71" s="129"/>
      <c r="AD71" s="129"/>
      <c r="AE71" s="129"/>
      <c r="AF71" s="129"/>
      <c r="AG71" s="129"/>
      <c r="AH71" s="94"/>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row>
    <row r="72" spans="1:189" ht="13.5" thickBot="1" x14ac:dyDescent="0.25">
      <c r="A72" s="62"/>
      <c r="B72" s="338" t="s">
        <v>520</v>
      </c>
      <c r="C72" s="475">
        <f>'D1. Member Months'!G42</f>
        <v>0</v>
      </c>
      <c r="D72" s="476">
        <f>'D5. Waiver Cost Projection'!O53</f>
        <v>0</v>
      </c>
      <c r="E72" s="477">
        <f>'D5. Waiver Cost Projection'!S53</f>
        <v>0</v>
      </c>
      <c r="F72" s="477">
        <f>'D5. Waiver Cost Projection'!W53</f>
        <v>0</v>
      </c>
      <c r="G72" s="477">
        <f>'D5. Waiver Cost Projection'!AA53</f>
        <v>0</v>
      </c>
      <c r="H72" s="408">
        <f>'D5. Waiver Cost Projection'!AB53</f>
        <v>0</v>
      </c>
      <c r="I72" s="478">
        <f t="shared" si="40"/>
        <v>0</v>
      </c>
      <c r="P72" s="129"/>
      <c r="Q72" s="129"/>
      <c r="R72" s="129"/>
      <c r="S72" s="129"/>
      <c r="T72" s="129"/>
      <c r="U72" s="129"/>
      <c r="V72" s="553"/>
      <c r="W72" s="241" t="s">
        <v>525</v>
      </c>
      <c r="X72" s="554">
        <f t="shared" ref="X72:X78" si="41">I71</f>
        <v>0</v>
      </c>
      <c r="Y72" s="142"/>
      <c r="Z72" s="143"/>
      <c r="AA72" s="129"/>
      <c r="AB72" s="129"/>
      <c r="AC72" s="129"/>
      <c r="AD72" s="129"/>
      <c r="AE72" s="129"/>
      <c r="AF72" s="129"/>
      <c r="AG72" s="129"/>
      <c r="AH72" s="94"/>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row>
    <row r="73" spans="1:189" ht="13.5" thickBot="1" x14ac:dyDescent="0.25">
      <c r="A73" s="62"/>
      <c r="B73" s="338" t="s">
        <v>518</v>
      </c>
      <c r="C73" s="475">
        <f>'D1. Member Months'!G43</f>
        <v>54139905</v>
      </c>
      <c r="D73" s="476">
        <f>'D5. Waiver Cost Projection'!O54</f>
        <v>266.5993792806936</v>
      </c>
      <c r="E73" s="477">
        <f>'D5. Waiver Cost Projection'!S54</f>
        <v>0</v>
      </c>
      <c r="F73" s="477">
        <f>'D5. Waiver Cost Projection'!W54</f>
        <v>0</v>
      </c>
      <c r="G73" s="477">
        <f>'D5. Waiver Cost Projection'!AA54</f>
        <v>0.87132834386230629</v>
      </c>
      <c r="H73" s="408">
        <f>'D5. Waiver Cost Projection'!AB54</f>
        <v>267.47070762455593</v>
      </c>
      <c r="I73" s="478">
        <f t="shared" si="40"/>
        <v>266.5993792806936</v>
      </c>
      <c r="P73" s="129"/>
      <c r="Q73" s="129"/>
      <c r="R73" s="129"/>
      <c r="S73" s="129"/>
      <c r="T73" s="129"/>
      <c r="U73" s="129"/>
      <c r="V73" s="553"/>
      <c r="W73" s="338" t="s">
        <v>520</v>
      </c>
      <c r="X73" s="554">
        <f t="shared" si="41"/>
        <v>0</v>
      </c>
      <c r="Y73" s="142"/>
      <c r="Z73" s="143"/>
      <c r="AA73" s="129"/>
      <c r="AB73" s="129"/>
      <c r="AC73" s="129"/>
      <c r="AD73" s="129"/>
      <c r="AE73" s="129"/>
      <c r="AF73" s="129"/>
      <c r="AG73" s="129"/>
      <c r="AH73" s="94"/>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row>
    <row r="74" spans="1:189" ht="13.5" thickBot="1" x14ac:dyDescent="0.25">
      <c r="A74" s="62"/>
      <c r="B74" s="338" t="s">
        <v>521</v>
      </c>
      <c r="C74" s="475">
        <f>'D1. Member Months'!G44</f>
        <v>994882</v>
      </c>
      <c r="D74" s="476">
        <f>'D5. Waiver Cost Projection'!O55</f>
        <v>272.68635119002727</v>
      </c>
      <c r="E74" s="477">
        <f>'D5. Waiver Cost Projection'!S55</f>
        <v>0</v>
      </c>
      <c r="F74" s="477">
        <f>'D5. Waiver Cost Projection'!W55</f>
        <v>0</v>
      </c>
      <c r="G74" s="477">
        <f>'D5. Waiver Cost Projection'!AA55</f>
        <v>0.85001998702890713</v>
      </c>
      <c r="H74" s="408">
        <f>'D5. Waiver Cost Projection'!AB55</f>
        <v>273.5363711770562</v>
      </c>
      <c r="I74" s="478">
        <f t="shared" si="40"/>
        <v>272.68635119002727</v>
      </c>
      <c r="P74" s="129"/>
      <c r="Q74" s="129"/>
      <c r="R74" s="129"/>
      <c r="S74" s="129"/>
      <c r="T74" s="129"/>
      <c r="U74" s="129"/>
      <c r="V74" s="553"/>
      <c r="W74" s="338" t="s">
        <v>518</v>
      </c>
      <c r="X74" s="554">
        <f t="shared" si="41"/>
        <v>266.5993792806936</v>
      </c>
      <c r="Y74" s="144"/>
      <c r="Z74" s="143"/>
      <c r="AA74" s="129"/>
      <c r="AB74" s="129"/>
      <c r="AC74" s="129"/>
      <c r="AD74" s="129"/>
      <c r="AE74" s="129"/>
      <c r="AF74" s="129"/>
      <c r="AG74" s="129"/>
      <c r="AH74" s="9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row>
    <row r="75" spans="1:189" ht="12" thickBot="1" x14ac:dyDescent="0.25">
      <c r="A75" s="62"/>
      <c r="B75" s="338" t="s">
        <v>516</v>
      </c>
      <c r="C75" s="475">
        <f>'D1. Member Months'!G45</f>
        <v>14869740</v>
      </c>
      <c r="D75" s="476">
        <f>'D5. Waiver Cost Projection'!O56</f>
        <v>181.22022597435202</v>
      </c>
      <c r="E75" s="477">
        <f>'D5. Waiver Cost Projection'!S56</f>
        <v>0</v>
      </c>
      <c r="F75" s="477">
        <f>'D5. Waiver Cost Projection'!W56</f>
        <v>0</v>
      </c>
      <c r="G75" s="477">
        <f>'D5. Waiver Cost Projection'!AA56</f>
        <v>0.59436585197835379</v>
      </c>
      <c r="H75" s="408">
        <f>'D5. Waiver Cost Projection'!AB56</f>
        <v>181.81459182633037</v>
      </c>
      <c r="I75" s="478">
        <f t="shared" si="40"/>
        <v>181.22022597435202</v>
      </c>
      <c r="P75" s="129"/>
      <c r="Q75" s="129"/>
      <c r="R75" s="129"/>
      <c r="S75" s="129"/>
      <c r="T75" s="129"/>
      <c r="U75" s="129"/>
      <c r="V75" s="553"/>
      <c r="W75" s="338" t="s">
        <v>521</v>
      </c>
      <c r="X75" s="554">
        <f t="shared" si="41"/>
        <v>272.68635119002727</v>
      </c>
      <c r="AA75" s="129"/>
      <c r="AB75" s="129"/>
      <c r="AC75" s="129"/>
      <c r="AD75" s="129"/>
      <c r="AE75" s="129"/>
      <c r="AF75" s="129"/>
      <c r="AG75" s="129"/>
      <c r="AH75" s="94"/>
    </row>
    <row r="76" spans="1:189" ht="12" thickBot="1" x14ac:dyDescent="0.25">
      <c r="A76" s="62"/>
      <c r="B76" s="346" t="s">
        <v>517</v>
      </c>
      <c r="C76" s="475">
        <f>'D1. Member Months'!G46</f>
        <v>9313336</v>
      </c>
      <c r="D76" s="476">
        <f>'D5. Waiver Cost Projection'!O57</f>
        <v>1478.3629375874275</v>
      </c>
      <c r="E76" s="477">
        <f>'D5. Waiver Cost Projection'!S57</f>
        <v>0</v>
      </c>
      <c r="F76" s="477">
        <f>'D5. Waiver Cost Projection'!W57</f>
        <v>0</v>
      </c>
      <c r="G76" s="477">
        <f>'D5. Waiver Cost Projection'!AA57</f>
        <v>4.7814447824381947</v>
      </c>
      <c r="H76" s="408">
        <f>'D5. Waiver Cost Projection'!AB57</f>
        <v>1483.1443823698658</v>
      </c>
      <c r="I76" s="478">
        <f t="shared" si="40"/>
        <v>1478.3629375874275</v>
      </c>
      <c r="P76" s="129"/>
      <c r="Q76" s="129"/>
      <c r="R76" s="129"/>
      <c r="S76" s="129"/>
      <c r="T76" s="129"/>
      <c r="U76" s="129"/>
      <c r="V76" s="553"/>
      <c r="W76" s="338" t="s">
        <v>516</v>
      </c>
      <c r="X76" s="554">
        <f t="shared" si="41"/>
        <v>181.22022597435202</v>
      </c>
      <c r="AA76" s="129"/>
      <c r="AB76" s="129"/>
      <c r="AC76" s="129"/>
      <c r="AD76" s="129"/>
      <c r="AE76" s="129"/>
      <c r="AF76" s="129"/>
      <c r="AG76" s="129"/>
      <c r="AH76" s="94"/>
    </row>
    <row r="77" spans="1:189" ht="12" thickBot="1" x14ac:dyDescent="0.25">
      <c r="A77" s="62"/>
      <c r="B77" s="346" t="s">
        <v>522</v>
      </c>
      <c r="C77" s="475">
        <f>'D1. Member Months'!G47</f>
        <v>15257835</v>
      </c>
      <c r="D77" s="476">
        <f>'D5. Waiver Cost Projection'!O58</f>
        <v>723.49181256294548</v>
      </c>
      <c r="E77" s="477">
        <f>'D5. Waiver Cost Projection'!S58</f>
        <v>0</v>
      </c>
      <c r="F77" s="477">
        <f>'D5. Waiver Cost Projection'!W58</f>
        <v>0</v>
      </c>
      <c r="G77" s="477">
        <f>'D5. Waiver Cost Projection'!AA58</f>
        <v>1.6982171394479693</v>
      </c>
      <c r="H77" s="408">
        <f>'D5. Waiver Cost Projection'!AB58</f>
        <v>725.19002970239342</v>
      </c>
      <c r="I77" s="478">
        <f t="shared" si="40"/>
        <v>723.49181256294548</v>
      </c>
      <c r="P77" s="129"/>
      <c r="Q77" s="129"/>
      <c r="R77" s="129"/>
      <c r="S77" s="129"/>
      <c r="T77" s="129"/>
      <c r="U77" s="129"/>
      <c r="V77" s="553"/>
      <c r="W77" s="338" t="s">
        <v>517</v>
      </c>
      <c r="X77" s="554">
        <f t="shared" si="41"/>
        <v>1478.3629375874275</v>
      </c>
      <c r="AA77" s="129"/>
      <c r="AB77" s="129"/>
      <c r="AC77" s="129"/>
      <c r="AD77" s="129"/>
      <c r="AE77" s="129"/>
      <c r="AF77" s="129"/>
      <c r="AG77" s="129"/>
      <c r="AH77" s="94"/>
    </row>
    <row r="78" spans="1:189" ht="12.75" thickTop="1" thickBot="1" x14ac:dyDescent="0.25">
      <c r="A78" s="62"/>
      <c r="B78" s="479" t="s">
        <v>98</v>
      </c>
      <c r="C78" s="480">
        <f>SUM(C70:C77)</f>
        <v>131355603</v>
      </c>
      <c r="D78" s="481"/>
      <c r="E78" s="482"/>
      <c r="F78" s="482"/>
      <c r="G78" s="482"/>
      <c r="H78" s="483"/>
      <c r="I78" s="483"/>
      <c r="P78" s="129"/>
      <c r="Q78" s="129"/>
      <c r="R78" s="129"/>
      <c r="S78" s="129"/>
      <c r="T78" s="129"/>
      <c r="U78" s="129"/>
      <c r="V78" s="553"/>
      <c r="W78" s="346" t="s">
        <v>522</v>
      </c>
      <c r="X78" s="554">
        <f t="shared" si="41"/>
        <v>723.49181256294548</v>
      </c>
      <c r="AA78" s="129"/>
      <c r="AB78" s="129"/>
      <c r="AC78" s="129"/>
      <c r="AD78" s="129"/>
      <c r="AE78" s="129"/>
      <c r="AF78" s="129"/>
      <c r="AG78" s="129"/>
      <c r="AH78" s="94"/>
    </row>
    <row r="79" spans="1:189" ht="12" thickBot="1" x14ac:dyDescent="0.25">
      <c r="A79" s="62"/>
      <c r="B79" s="484" t="s">
        <v>481</v>
      </c>
      <c r="C79" s="485"/>
      <c r="D79" s="486">
        <f>SUMPRODUCT(D70:D77,$C$40:$C$47)/$C$48</f>
        <v>481.49567997059251</v>
      </c>
      <c r="E79" s="487">
        <f>SUMPRODUCT(E70:E77,$C$40:$C$47)/$C$48</f>
        <v>0</v>
      </c>
      <c r="F79" s="487">
        <f>SUMPRODUCT(F70:F77,$C$40:$C$47)/$C$48</f>
        <v>0</v>
      </c>
      <c r="G79" s="488">
        <f>SUMPRODUCT(G70:G77,$C$40:$C$47)/$C$48</f>
        <v>1.4972425584355891</v>
      </c>
      <c r="H79" s="487">
        <f>SUMPRODUCT(H70:H77,$C$40:$C$47)/$C$48</f>
        <v>482.99292252902808</v>
      </c>
      <c r="I79" s="487"/>
      <c r="J79" s="79"/>
      <c r="K79" s="80"/>
      <c r="L79" s="80"/>
      <c r="M79" s="80"/>
      <c r="N79" s="80"/>
      <c r="O79" s="81"/>
      <c r="P79" s="81"/>
      <c r="Q79" s="81"/>
      <c r="R79" s="80"/>
      <c r="S79" s="80"/>
      <c r="T79" s="80"/>
      <c r="U79" s="80"/>
      <c r="V79" s="543"/>
      <c r="W79" s="544" t="s">
        <v>24</v>
      </c>
      <c r="X79" s="555">
        <f>G79</f>
        <v>1.4972425584355891</v>
      </c>
      <c r="Y79" s="81"/>
      <c r="Z79" s="81"/>
      <c r="AA79" s="80"/>
      <c r="AB79" s="80"/>
      <c r="AC79" s="80"/>
      <c r="AD79" s="80"/>
      <c r="AE79" s="80"/>
      <c r="AF79" s="80"/>
      <c r="AG79" s="129"/>
      <c r="AH79" s="94"/>
    </row>
    <row r="80" spans="1:189" ht="13.5" thickBot="1" x14ac:dyDescent="0.25">
      <c r="A80" s="62"/>
      <c r="B80" s="66"/>
      <c r="C80" s="66"/>
      <c r="D80" s="66"/>
      <c r="E80" s="66"/>
      <c r="F80" s="66"/>
      <c r="G80" s="66"/>
      <c r="H80" s="66"/>
      <c r="I80" s="66"/>
      <c r="J80" s="66"/>
      <c r="K80" s="66"/>
      <c r="L80" s="66"/>
      <c r="M80" s="66"/>
      <c r="N80" s="66"/>
      <c r="O80" s="66"/>
      <c r="P80" s="18" t="s">
        <v>406</v>
      </c>
      <c r="Q80" s="165">
        <f>'D1. Member Months'!D7</f>
        <v>45292</v>
      </c>
      <c r="R80" s="165" t="s">
        <v>386</v>
      </c>
      <c r="S80" s="165">
        <f>'D1. Member Months'!F7</f>
        <v>45657</v>
      </c>
      <c r="T80" s="66"/>
      <c r="U80" s="146"/>
      <c r="V80" s="129" t="str">
        <f>P80</f>
        <v>Projected Year 3</v>
      </c>
      <c r="W80" s="129"/>
      <c r="X80" s="145" t="s">
        <v>292</v>
      </c>
      <c r="Y80" s="136"/>
      <c r="Z80" s="137"/>
      <c r="AA80" s="145" t="s">
        <v>292</v>
      </c>
      <c r="AB80" s="136"/>
      <c r="AC80" s="137"/>
      <c r="AD80" s="145" t="s">
        <v>292</v>
      </c>
      <c r="AE80" s="136"/>
      <c r="AF80" s="137"/>
      <c r="AG80" s="145" t="s">
        <v>292</v>
      </c>
      <c r="AH80" s="136"/>
      <c r="AI80" s="137"/>
    </row>
    <row r="81" spans="1:35" x14ac:dyDescent="0.2">
      <c r="A81" s="568"/>
      <c r="B81" s="491"/>
      <c r="C81" s="492" t="s">
        <v>467</v>
      </c>
      <c r="D81" s="456"/>
      <c r="E81" s="457"/>
      <c r="F81" s="492" t="s">
        <v>468</v>
      </c>
      <c r="G81" s="456"/>
      <c r="H81" s="457"/>
      <c r="I81" s="492" t="s">
        <v>469</v>
      </c>
      <c r="J81" s="456"/>
      <c r="K81" s="457"/>
      <c r="L81" s="492" t="s">
        <v>470</v>
      </c>
      <c r="M81" s="456"/>
      <c r="N81" s="457"/>
      <c r="O81" s="561"/>
      <c r="P81" s="499"/>
      <c r="Q81" s="499"/>
      <c r="R81" s="562"/>
      <c r="S81" s="562"/>
      <c r="T81" s="562"/>
      <c r="U81" s="562"/>
      <c r="V81" s="499"/>
      <c r="W81" s="499"/>
      <c r="X81" s="492" t="s">
        <v>482</v>
      </c>
      <c r="Y81" s="456"/>
      <c r="Z81" s="457"/>
      <c r="AA81" s="492" t="s">
        <v>483</v>
      </c>
      <c r="AB81" s="456"/>
      <c r="AC81" s="457"/>
      <c r="AD81" s="492" t="s">
        <v>484</v>
      </c>
      <c r="AE81" s="456"/>
      <c r="AF81" s="457"/>
      <c r="AG81" s="492" t="s">
        <v>485</v>
      </c>
      <c r="AH81" s="456"/>
      <c r="AI81" s="457"/>
    </row>
    <row r="82" spans="1:35" ht="22.5" x14ac:dyDescent="0.2">
      <c r="A82" s="568"/>
      <c r="B82" s="500" t="s">
        <v>174</v>
      </c>
      <c r="C82" s="501" t="s">
        <v>140</v>
      </c>
      <c r="D82" s="502" t="s">
        <v>273</v>
      </c>
      <c r="E82" s="503" t="s">
        <v>272</v>
      </c>
      <c r="F82" s="459" t="s">
        <v>140</v>
      </c>
      <c r="G82" s="502" t="s">
        <v>273</v>
      </c>
      <c r="H82" s="503" t="s">
        <v>272</v>
      </c>
      <c r="I82" s="459" t="s">
        <v>140</v>
      </c>
      <c r="J82" s="502" t="s">
        <v>273</v>
      </c>
      <c r="K82" s="503" t="s">
        <v>272</v>
      </c>
      <c r="L82" s="459" t="s">
        <v>140</v>
      </c>
      <c r="M82" s="502" t="s">
        <v>273</v>
      </c>
      <c r="N82" s="503" t="s">
        <v>272</v>
      </c>
      <c r="O82" s="464"/>
      <c r="P82" s="506"/>
      <c r="Q82" s="506"/>
      <c r="R82" s="507"/>
      <c r="S82" s="507"/>
      <c r="T82" s="508"/>
      <c r="U82" s="563"/>
      <c r="V82" s="506"/>
      <c r="W82" s="506"/>
      <c r="X82" s="501" t="s">
        <v>140</v>
      </c>
      <c r="Y82" s="467" t="s">
        <v>283</v>
      </c>
      <c r="Z82" s="503" t="s">
        <v>283</v>
      </c>
      <c r="AA82" s="501" t="s">
        <v>140</v>
      </c>
      <c r="AB82" s="467" t="s">
        <v>283</v>
      </c>
      <c r="AC82" s="503" t="s">
        <v>283</v>
      </c>
      <c r="AD82" s="501" t="s">
        <v>140</v>
      </c>
      <c r="AE82" s="467" t="s">
        <v>283</v>
      </c>
      <c r="AF82" s="503" t="s">
        <v>283</v>
      </c>
      <c r="AG82" s="501" t="s">
        <v>140</v>
      </c>
      <c r="AH82" s="467" t="s">
        <v>283</v>
      </c>
      <c r="AI82" s="503" t="s">
        <v>283</v>
      </c>
    </row>
    <row r="83" spans="1:35" ht="22.5" x14ac:dyDescent="0.2">
      <c r="A83" s="568"/>
      <c r="B83" s="500" t="s">
        <v>177</v>
      </c>
      <c r="C83" s="501" t="s">
        <v>178</v>
      </c>
      <c r="D83" s="502" t="s">
        <v>87</v>
      </c>
      <c r="E83" s="468" t="s">
        <v>82</v>
      </c>
      <c r="F83" s="459" t="s">
        <v>178</v>
      </c>
      <c r="G83" s="502" t="s">
        <v>87</v>
      </c>
      <c r="H83" s="468" t="s">
        <v>82</v>
      </c>
      <c r="I83" s="459" t="s">
        <v>178</v>
      </c>
      <c r="J83" s="502" t="s">
        <v>87</v>
      </c>
      <c r="K83" s="468" t="s">
        <v>82</v>
      </c>
      <c r="L83" s="459" t="s">
        <v>178</v>
      </c>
      <c r="M83" s="502" t="s">
        <v>87</v>
      </c>
      <c r="N83" s="468" t="s">
        <v>82</v>
      </c>
      <c r="O83" s="464" t="s">
        <v>209</v>
      </c>
      <c r="P83" s="512" t="s">
        <v>274</v>
      </c>
      <c r="Q83" s="512" t="s">
        <v>14</v>
      </c>
      <c r="R83" s="513" t="s">
        <v>467</v>
      </c>
      <c r="S83" s="513" t="s">
        <v>468</v>
      </c>
      <c r="T83" s="513" t="s">
        <v>469</v>
      </c>
      <c r="U83" s="513" t="s">
        <v>470</v>
      </c>
      <c r="V83" s="512" t="s">
        <v>274</v>
      </c>
      <c r="W83" s="512" t="s">
        <v>14</v>
      </c>
      <c r="X83" s="501" t="s">
        <v>278</v>
      </c>
      <c r="Y83" s="502" t="s">
        <v>281</v>
      </c>
      <c r="Z83" s="468" t="s">
        <v>282</v>
      </c>
      <c r="AA83" s="501" t="s">
        <v>278</v>
      </c>
      <c r="AB83" s="502" t="s">
        <v>281</v>
      </c>
      <c r="AC83" s="468" t="s">
        <v>282</v>
      </c>
      <c r="AD83" s="501" t="s">
        <v>278</v>
      </c>
      <c r="AE83" s="502" t="s">
        <v>281</v>
      </c>
      <c r="AF83" s="468" t="s">
        <v>282</v>
      </c>
      <c r="AG83" s="501" t="s">
        <v>278</v>
      </c>
      <c r="AH83" s="502" t="s">
        <v>281</v>
      </c>
      <c r="AI83" s="468" t="s">
        <v>282</v>
      </c>
    </row>
    <row r="84" spans="1:35" ht="23.25" thickBot="1" x14ac:dyDescent="0.25">
      <c r="A84" s="568"/>
      <c r="B84" s="516" t="s">
        <v>74</v>
      </c>
      <c r="C84" s="469"/>
      <c r="D84" s="517" t="s">
        <v>179</v>
      </c>
      <c r="E84" s="473" t="s">
        <v>86</v>
      </c>
      <c r="F84" s="469"/>
      <c r="G84" s="517" t="s">
        <v>179</v>
      </c>
      <c r="H84" s="473" t="s">
        <v>86</v>
      </c>
      <c r="I84" s="469"/>
      <c r="J84" s="517" t="s">
        <v>179</v>
      </c>
      <c r="K84" s="473" t="s">
        <v>86</v>
      </c>
      <c r="L84" s="469"/>
      <c r="M84" s="517" t="s">
        <v>179</v>
      </c>
      <c r="N84" s="473" t="s">
        <v>86</v>
      </c>
      <c r="O84" s="474" t="s">
        <v>91</v>
      </c>
      <c r="P84" s="525"/>
      <c r="Q84" s="525"/>
      <c r="R84" s="564">
        <f>'D1. Member Months'!D39-1</f>
        <v>45382</v>
      </c>
      <c r="S84" s="564">
        <f>'D1. Member Months'!E39-1</f>
        <v>45473</v>
      </c>
      <c r="T84" s="564">
        <f>'D1. Member Months'!F39-1</f>
        <v>45565</v>
      </c>
      <c r="U84" s="565">
        <f>'D1. Member Months'!F7</f>
        <v>45657</v>
      </c>
      <c r="V84" s="525"/>
      <c r="W84" s="525"/>
      <c r="X84" s="469">
        <f>R84</f>
        <v>45382</v>
      </c>
      <c r="Y84" s="517" t="s">
        <v>279</v>
      </c>
      <c r="Z84" s="473"/>
      <c r="AA84" s="469">
        <f>S84</f>
        <v>45473</v>
      </c>
      <c r="AB84" s="517" t="s">
        <v>279</v>
      </c>
      <c r="AC84" s="473"/>
      <c r="AD84" s="469">
        <f>T84</f>
        <v>45565</v>
      </c>
      <c r="AE84" s="517" t="s">
        <v>279</v>
      </c>
      <c r="AF84" s="473"/>
      <c r="AG84" s="469">
        <f>U84</f>
        <v>45657</v>
      </c>
      <c r="AH84" s="517" t="s">
        <v>279</v>
      </c>
      <c r="AI84" s="473"/>
    </row>
    <row r="85" spans="1:35" ht="12" thickBot="1" x14ac:dyDescent="0.25">
      <c r="A85" s="568"/>
      <c r="B85" s="338" t="s">
        <v>519</v>
      </c>
      <c r="C85" s="526">
        <f>'D1. Member Months'!C40</f>
        <v>9194976.25</v>
      </c>
      <c r="D85" s="527">
        <f>C85*($D70+$E70+$F70)</f>
        <v>5260023116.0142241</v>
      </c>
      <c r="E85" s="528">
        <f>C85*$G70</f>
        <v>17342877.834840536</v>
      </c>
      <c r="F85" s="526">
        <f>'D1. Member Months'!D40</f>
        <v>9194976.25</v>
      </c>
      <c r="G85" s="527">
        <f>F85*($D70+$E70+$F70)</f>
        <v>5260023116.0142241</v>
      </c>
      <c r="H85" s="528">
        <f>F85*$G70</f>
        <v>17342877.834840536</v>
      </c>
      <c r="I85" s="526">
        <f>'D1. Member Months'!E40</f>
        <v>9194976.25</v>
      </c>
      <c r="J85" s="527">
        <f>I85*($D70+$E70+$F70)</f>
        <v>5260023116.0142241</v>
      </c>
      <c r="K85" s="528">
        <f>I85*$G70</f>
        <v>17342877.834840536</v>
      </c>
      <c r="L85" s="526">
        <f>'D1. Member Months'!F40</f>
        <v>9194976.25</v>
      </c>
      <c r="M85" s="527">
        <f>L85*($D70+$E70+$F70)</f>
        <v>5260023116.0142241</v>
      </c>
      <c r="N85" s="528">
        <f>L85*$G70</f>
        <v>17342877.834840536</v>
      </c>
      <c r="O85" s="566">
        <f>D85+E85+G85+H85+J85+K85+M85+N85</f>
        <v>21109463975.396255</v>
      </c>
      <c r="P85" s="553"/>
      <c r="Q85" s="241" t="s">
        <v>519</v>
      </c>
      <c r="R85" s="531">
        <f>D85</f>
        <v>5260023116.0142241</v>
      </c>
      <c r="S85" s="531">
        <f>G85</f>
        <v>5260023116.0142241</v>
      </c>
      <c r="T85" s="531">
        <f>J85</f>
        <v>5260023116.0142241</v>
      </c>
      <c r="U85" s="531">
        <f>M85</f>
        <v>5260023116.0142241</v>
      </c>
      <c r="V85" s="553"/>
      <c r="W85" s="338" t="s">
        <v>519</v>
      </c>
      <c r="X85" s="533"/>
      <c r="Y85" s="534"/>
      <c r="Z85" s="535" t="e">
        <f>Y85/X85</f>
        <v>#DIV/0!</v>
      </c>
      <c r="AA85" s="533"/>
      <c r="AB85" s="534"/>
      <c r="AC85" s="535" t="e">
        <f>AB85/AA85</f>
        <v>#DIV/0!</v>
      </c>
      <c r="AD85" s="533"/>
      <c r="AE85" s="534"/>
      <c r="AF85" s="535" t="e">
        <f>AE85/AD85</f>
        <v>#DIV/0!</v>
      </c>
      <c r="AG85" s="533"/>
      <c r="AH85" s="534"/>
      <c r="AI85" s="535" t="e">
        <f>AH85/AG85</f>
        <v>#DIV/0!</v>
      </c>
    </row>
    <row r="86" spans="1:35" ht="12" thickBot="1" x14ac:dyDescent="0.25">
      <c r="A86" s="568"/>
      <c r="B86" s="338" t="s">
        <v>525</v>
      </c>
      <c r="C86" s="526">
        <f>'D1. Member Months'!C41</f>
        <v>0</v>
      </c>
      <c r="D86" s="527">
        <f t="shared" ref="D86:D92" si="42">C86*($D71+$E71+$F71)</f>
        <v>0</v>
      </c>
      <c r="E86" s="528">
        <f t="shared" ref="E86:E92" si="43">C86*$G71</f>
        <v>0</v>
      </c>
      <c r="F86" s="526">
        <f>'D1. Member Months'!D41</f>
        <v>0</v>
      </c>
      <c r="G86" s="527">
        <f t="shared" ref="G86:G92" si="44">F86*($D71+$E71+$F71)</f>
        <v>0</v>
      </c>
      <c r="H86" s="528">
        <f t="shared" ref="H86:H92" si="45">F86*$G71</f>
        <v>0</v>
      </c>
      <c r="I86" s="526">
        <f>'D1. Member Months'!E41</f>
        <v>0</v>
      </c>
      <c r="J86" s="527">
        <f t="shared" ref="J86:J92" si="46">I86*($D71+$E71+$F71)</f>
        <v>0</v>
      </c>
      <c r="K86" s="528">
        <f t="shared" ref="K86:K92" si="47">I86*$G71</f>
        <v>0</v>
      </c>
      <c r="L86" s="526">
        <f>'D1. Member Months'!F41</f>
        <v>0</v>
      </c>
      <c r="M86" s="527">
        <f t="shared" ref="M86:M92" si="48">L86*($D71+$E71+$F71)</f>
        <v>0</v>
      </c>
      <c r="N86" s="528">
        <f t="shared" ref="N86:N92" si="49">L86*$G71</f>
        <v>0</v>
      </c>
      <c r="O86" s="566">
        <f t="shared" ref="O86:O92" si="50">D86+E86+G86+H86+J86+K86+M86+N86</f>
        <v>0</v>
      </c>
      <c r="P86" s="553"/>
      <c r="Q86" s="241" t="s">
        <v>525</v>
      </c>
      <c r="R86" s="531">
        <f t="shared" ref="R86:R92" si="51">D86</f>
        <v>0</v>
      </c>
      <c r="S86" s="531">
        <f t="shared" ref="S86:S92" si="52">G86</f>
        <v>0</v>
      </c>
      <c r="T86" s="531">
        <f t="shared" ref="T86:T92" si="53">J86</f>
        <v>0</v>
      </c>
      <c r="U86" s="531">
        <f t="shared" ref="U86:U92" si="54">M86</f>
        <v>0</v>
      </c>
      <c r="V86" s="553"/>
      <c r="W86" s="241" t="s">
        <v>525</v>
      </c>
      <c r="X86" s="533"/>
      <c r="Y86" s="534"/>
      <c r="Z86" s="535" t="e">
        <f t="shared" ref="Z86:Z93" si="55">Y86/X86</f>
        <v>#DIV/0!</v>
      </c>
      <c r="AA86" s="533"/>
      <c r="AB86" s="534"/>
      <c r="AC86" s="535" t="e">
        <f t="shared" ref="AC86:AC93" si="56">AB86/AA86</f>
        <v>#DIV/0!</v>
      </c>
      <c r="AD86" s="533"/>
      <c r="AE86" s="534"/>
      <c r="AF86" s="535" t="e">
        <f t="shared" ref="AF86:AF93" si="57">AE86/AD86</f>
        <v>#DIV/0!</v>
      </c>
      <c r="AG86" s="533"/>
      <c r="AH86" s="534"/>
      <c r="AI86" s="535" t="e">
        <f t="shared" ref="AI86:AI93" si="58">AH86/AG86</f>
        <v>#DIV/0!</v>
      </c>
    </row>
    <row r="87" spans="1:35" ht="12" thickBot="1" x14ac:dyDescent="0.25">
      <c r="A87" s="568"/>
      <c r="B87" s="338" t="s">
        <v>520</v>
      </c>
      <c r="C87" s="526">
        <f>'D1. Member Months'!C42</f>
        <v>0</v>
      </c>
      <c r="D87" s="527">
        <f t="shared" si="42"/>
        <v>0</v>
      </c>
      <c r="E87" s="528">
        <f t="shared" si="43"/>
        <v>0</v>
      </c>
      <c r="F87" s="526">
        <f>'D1. Member Months'!D42</f>
        <v>0</v>
      </c>
      <c r="G87" s="527">
        <f t="shared" si="44"/>
        <v>0</v>
      </c>
      <c r="H87" s="528">
        <f t="shared" si="45"/>
        <v>0</v>
      </c>
      <c r="I87" s="526">
        <f>'D1. Member Months'!E42</f>
        <v>0</v>
      </c>
      <c r="J87" s="527">
        <f t="shared" si="46"/>
        <v>0</v>
      </c>
      <c r="K87" s="528">
        <f t="shared" si="47"/>
        <v>0</v>
      </c>
      <c r="L87" s="526">
        <f>'D1. Member Months'!F42</f>
        <v>0</v>
      </c>
      <c r="M87" s="527">
        <f t="shared" si="48"/>
        <v>0</v>
      </c>
      <c r="N87" s="528">
        <f t="shared" si="49"/>
        <v>0</v>
      </c>
      <c r="O87" s="566">
        <f t="shared" si="50"/>
        <v>0</v>
      </c>
      <c r="P87" s="553"/>
      <c r="Q87" s="241" t="s">
        <v>520</v>
      </c>
      <c r="R87" s="531">
        <f t="shared" si="51"/>
        <v>0</v>
      </c>
      <c r="S87" s="531">
        <f t="shared" si="52"/>
        <v>0</v>
      </c>
      <c r="T87" s="531">
        <f t="shared" si="53"/>
        <v>0</v>
      </c>
      <c r="U87" s="531">
        <f t="shared" si="54"/>
        <v>0</v>
      </c>
      <c r="V87" s="553"/>
      <c r="W87" s="338" t="s">
        <v>520</v>
      </c>
      <c r="X87" s="533"/>
      <c r="Y87" s="534"/>
      <c r="Z87" s="535" t="e">
        <f t="shared" si="55"/>
        <v>#DIV/0!</v>
      </c>
      <c r="AA87" s="533"/>
      <c r="AB87" s="534"/>
      <c r="AC87" s="535" t="e">
        <f t="shared" si="56"/>
        <v>#DIV/0!</v>
      </c>
      <c r="AD87" s="533"/>
      <c r="AE87" s="534"/>
      <c r="AF87" s="535" t="e">
        <f t="shared" si="57"/>
        <v>#DIV/0!</v>
      </c>
      <c r="AG87" s="533"/>
      <c r="AH87" s="534"/>
      <c r="AI87" s="535" t="e">
        <f t="shared" si="58"/>
        <v>#DIV/0!</v>
      </c>
    </row>
    <row r="88" spans="1:35" ht="12" thickBot="1" x14ac:dyDescent="0.25">
      <c r="A88" s="568"/>
      <c r="B88" s="338" t="s">
        <v>518</v>
      </c>
      <c r="C88" s="526">
        <f>'D1. Member Months'!C43</f>
        <v>13534976.25</v>
      </c>
      <c r="D88" s="527">
        <f t="shared" si="42"/>
        <v>3608416266.8289299</v>
      </c>
      <c r="E88" s="528">
        <f t="shared" si="43"/>
        <v>11793408.440128149</v>
      </c>
      <c r="F88" s="526">
        <f>'D1. Member Months'!D43</f>
        <v>13534976.25</v>
      </c>
      <c r="G88" s="527">
        <f t="shared" si="44"/>
        <v>3608416266.8289299</v>
      </c>
      <c r="H88" s="528">
        <f t="shared" si="45"/>
        <v>11793408.440128149</v>
      </c>
      <c r="I88" s="526">
        <f>'D1. Member Months'!E43</f>
        <v>13534976.25</v>
      </c>
      <c r="J88" s="527">
        <f t="shared" si="46"/>
        <v>3608416266.8289299</v>
      </c>
      <c r="K88" s="528">
        <f t="shared" si="47"/>
        <v>11793408.440128149</v>
      </c>
      <c r="L88" s="526">
        <f>'D1. Member Months'!F43</f>
        <v>13534976.25</v>
      </c>
      <c r="M88" s="527">
        <f t="shared" si="48"/>
        <v>3608416266.8289299</v>
      </c>
      <c r="N88" s="528">
        <f t="shared" si="49"/>
        <v>11793408.440128149</v>
      </c>
      <c r="O88" s="566">
        <f t="shared" si="50"/>
        <v>14480838701.076233</v>
      </c>
      <c r="P88" s="553"/>
      <c r="Q88" s="241" t="s">
        <v>518</v>
      </c>
      <c r="R88" s="531">
        <f t="shared" si="51"/>
        <v>3608416266.8289299</v>
      </c>
      <c r="S88" s="531">
        <f t="shared" si="52"/>
        <v>3608416266.8289299</v>
      </c>
      <c r="T88" s="531">
        <f t="shared" si="53"/>
        <v>3608416266.8289299</v>
      </c>
      <c r="U88" s="531">
        <f t="shared" si="54"/>
        <v>3608416266.8289299</v>
      </c>
      <c r="V88" s="553"/>
      <c r="W88" s="338" t="s">
        <v>518</v>
      </c>
      <c r="X88" s="533"/>
      <c r="Y88" s="534"/>
      <c r="Z88" s="535" t="e">
        <f t="shared" si="55"/>
        <v>#DIV/0!</v>
      </c>
      <c r="AA88" s="533"/>
      <c r="AB88" s="534"/>
      <c r="AC88" s="535" t="e">
        <f t="shared" si="56"/>
        <v>#DIV/0!</v>
      </c>
      <c r="AD88" s="533"/>
      <c r="AE88" s="534"/>
      <c r="AF88" s="535" t="e">
        <f t="shared" si="57"/>
        <v>#DIV/0!</v>
      </c>
      <c r="AG88" s="533"/>
      <c r="AH88" s="534"/>
      <c r="AI88" s="535" t="e">
        <f t="shared" si="58"/>
        <v>#DIV/0!</v>
      </c>
    </row>
    <row r="89" spans="1:35" ht="12" thickBot="1" x14ac:dyDescent="0.25">
      <c r="A89" s="568"/>
      <c r="B89" s="338" t="s">
        <v>521</v>
      </c>
      <c r="C89" s="526">
        <f>'D1. Member Months'!C44</f>
        <v>248720.5</v>
      </c>
      <c r="D89" s="527">
        <f t="shared" si="42"/>
        <v>67822685.611159176</v>
      </c>
      <c r="E89" s="528">
        <f t="shared" si="43"/>
        <v>211417.39618382329</v>
      </c>
      <c r="F89" s="526">
        <f>'D1. Member Months'!D44</f>
        <v>248720.5</v>
      </c>
      <c r="G89" s="527">
        <f t="shared" si="44"/>
        <v>67822685.611159176</v>
      </c>
      <c r="H89" s="528">
        <f t="shared" si="45"/>
        <v>211417.39618382329</v>
      </c>
      <c r="I89" s="526">
        <f>'D1. Member Months'!E44</f>
        <v>248720.5</v>
      </c>
      <c r="J89" s="527">
        <f t="shared" si="46"/>
        <v>67822685.611159176</v>
      </c>
      <c r="K89" s="528">
        <f t="shared" si="47"/>
        <v>211417.39618382329</v>
      </c>
      <c r="L89" s="526">
        <f>'D1. Member Months'!F44</f>
        <v>248720.5</v>
      </c>
      <c r="M89" s="527">
        <f t="shared" si="48"/>
        <v>67822685.611159176</v>
      </c>
      <c r="N89" s="528">
        <f t="shared" si="49"/>
        <v>211417.39618382329</v>
      </c>
      <c r="O89" s="566">
        <f t="shared" si="50"/>
        <v>272136412.02937198</v>
      </c>
      <c r="P89" s="553"/>
      <c r="Q89" s="241" t="s">
        <v>521</v>
      </c>
      <c r="R89" s="531">
        <f t="shared" si="51"/>
        <v>67822685.611159176</v>
      </c>
      <c r="S89" s="531">
        <f t="shared" si="52"/>
        <v>67822685.611159176</v>
      </c>
      <c r="T89" s="531">
        <f t="shared" si="53"/>
        <v>67822685.611159176</v>
      </c>
      <c r="U89" s="531">
        <f t="shared" si="54"/>
        <v>67822685.611159176</v>
      </c>
      <c r="V89" s="553"/>
      <c r="W89" s="338" t="s">
        <v>521</v>
      </c>
      <c r="X89" s="533"/>
      <c r="Y89" s="534"/>
      <c r="Z89" s="535" t="e">
        <f t="shared" si="55"/>
        <v>#DIV/0!</v>
      </c>
      <c r="AA89" s="533"/>
      <c r="AB89" s="534"/>
      <c r="AC89" s="535" t="e">
        <f t="shared" si="56"/>
        <v>#DIV/0!</v>
      </c>
      <c r="AD89" s="533"/>
      <c r="AE89" s="534"/>
      <c r="AF89" s="535" t="e">
        <f t="shared" si="57"/>
        <v>#DIV/0!</v>
      </c>
      <c r="AG89" s="533"/>
      <c r="AH89" s="534"/>
      <c r="AI89" s="535" t="e">
        <f t="shared" si="58"/>
        <v>#DIV/0!</v>
      </c>
    </row>
    <row r="90" spans="1:35" ht="12" thickBot="1" x14ac:dyDescent="0.25">
      <c r="A90" s="568"/>
      <c r="B90" s="338" t="s">
        <v>516</v>
      </c>
      <c r="C90" s="526">
        <f>'D1. Member Months'!C45</f>
        <v>3717435</v>
      </c>
      <c r="D90" s="527">
        <f t="shared" si="42"/>
        <v>673674410.74496531</v>
      </c>
      <c r="E90" s="528">
        <f t="shared" si="43"/>
        <v>2209516.4209491517</v>
      </c>
      <c r="F90" s="526">
        <f>'D1. Member Months'!D45</f>
        <v>3717435</v>
      </c>
      <c r="G90" s="527">
        <f t="shared" si="44"/>
        <v>673674410.74496531</v>
      </c>
      <c r="H90" s="528">
        <f t="shared" si="45"/>
        <v>2209516.4209491517</v>
      </c>
      <c r="I90" s="526">
        <f>'D1. Member Months'!E45</f>
        <v>3717435</v>
      </c>
      <c r="J90" s="527">
        <f t="shared" si="46"/>
        <v>673674410.74496531</v>
      </c>
      <c r="K90" s="528">
        <f t="shared" si="47"/>
        <v>2209516.4209491517</v>
      </c>
      <c r="L90" s="526">
        <f>'D1. Member Months'!F45</f>
        <v>3717435</v>
      </c>
      <c r="M90" s="527">
        <f t="shared" si="48"/>
        <v>673674410.74496531</v>
      </c>
      <c r="N90" s="528">
        <f t="shared" si="49"/>
        <v>2209516.4209491517</v>
      </c>
      <c r="O90" s="566">
        <f t="shared" si="50"/>
        <v>2703535708.6636577</v>
      </c>
      <c r="P90" s="553"/>
      <c r="Q90" s="241" t="s">
        <v>516</v>
      </c>
      <c r="R90" s="531">
        <f t="shared" si="51"/>
        <v>673674410.74496531</v>
      </c>
      <c r="S90" s="531">
        <f t="shared" si="52"/>
        <v>673674410.74496531</v>
      </c>
      <c r="T90" s="531">
        <f t="shared" si="53"/>
        <v>673674410.74496531</v>
      </c>
      <c r="U90" s="531">
        <f t="shared" si="54"/>
        <v>673674410.74496531</v>
      </c>
      <c r="V90" s="553"/>
      <c r="W90" s="338" t="s">
        <v>516</v>
      </c>
      <c r="X90" s="533"/>
      <c r="Y90" s="534"/>
      <c r="Z90" s="535" t="e">
        <f t="shared" si="55"/>
        <v>#DIV/0!</v>
      </c>
      <c r="AA90" s="533"/>
      <c r="AB90" s="534"/>
      <c r="AC90" s="535" t="e">
        <f t="shared" si="56"/>
        <v>#DIV/0!</v>
      </c>
      <c r="AD90" s="533"/>
      <c r="AE90" s="534"/>
      <c r="AF90" s="535" t="e">
        <f t="shared" si="57"/>
        <v>#DIV/0!</v>
      </c>
      <c r="AG90" s="533"/>
      <c r="AH90" s="534"/>
      <c r="AI90" s="535" t="e">
        <f t="shared" si="58"/>
        <v>#DIV/0!</v>
      </c>
    </row>
    <row r="91" spans="1:35" ht="12" thickBot="1" x14ac:dyDescent="0.25">
      <c r="A91" s="568"/>
      <c r="B91" s="346" t="s">
        <v>517</v>
      </c>
      <c r="C91" s="526">
        <f>'D1. Member Months'!C46</f>
        <v>2328334</v>
      </c>
      <c r="D91" s="527">
        <f t="shared" si="42"/>
        <v>3442122691.9246855</v>
      </c>
      <c r="E91" s="528">
        <f t="shared" si="43"/>
        <v>11132800.456073452</v>
      </c>
      <c r="F91" s="526">
        <f>'D1. Member Months'!D46</f>
        <v>2328334</v>
      </c>
      <c r="G91" s="527">
        <f t="shared" si="44"/>
        <v>3442122691.9246855</v>
      </c>
      <c r="H91" s="528">
        <f t="shared" si="45"/>
        <v>11132800.456073452</v>
      </c>
      <c r="I91" s="526">
        <f>'D1. Member Months'!E46</f>
        <v>2328334</v>
      </c>
      <c r="J91" s="527">
        <f t="shared" si="46"/>
        <v>3442122691.9246855</v>
      </c>
      <c r="K91" s="528">
        <f t="shared" si="47"/>
        <v>11132800.456073452</v>
      </c>
      <c r="L91" s="526">
        <f>'D1. Member Months'!F46</f>
        <v>2328334</v>
      </c>
      <c r="M91" s="527">
        <f t="shared" si="48"/>
        <v>3442122691.9246855</v>
      </c>
      <c r="N91" s="528">
        <f t="shared" si="49"/>
        <v>11132800.456073452</v>
      </c>
      <c r="O91" s="566">
        <f t="shared" si="50"/>
        <v>13813021969.523037</v>
      </c>
      <c r="P91" s="553"/>
      <c r="Q91" s="241" t="s">
        <v>517</v>
      </c>
      <c r="R91" s="531">
        <f t="shared" si="51"/>
        <v>3442122691.9246855</v>
      </c>
      <c r="S91" s="531">
        <f t="shared" si="52"/>
        <v>3442122691.9246855</v>
      </c>
      <c r="T91" s="531">
        <f t="shared" si="53"/>
        <v>3442122691.9246855</v>
      </c>
      <c r="U91" s="531">
        <f t="shared" si="54"/>
        <v>3442122691.9246855</v>
      </c>
      <c r="V91" s="553"/>
      <c r="W91" s="338" t="s">
        <v>517</v>
      </c>
      <c r="X91" s="533"/>
      <c r="Y91" s="534"/>
      <c r="Z91" s="535"/>
      <c r="AA91" s="533"/>
      <c r="AB91" s="534"/>
      <c r="AC91" s="535"/>
      <c r="AD91" s="533"/>
      <c r="AE91" s="534"/>
      <c r="AF91" s="535"/>
      <c r="AG91" s="533"/>
      <c r="AH91" s="534"/>
      <c r="AI91" s="535"/>
    </row>
    <row r="92" spans="1:35" ht="12" thickBot="1" x14ac:dyDescent="0.25">
      <c r="A92" s="568"/>
      <c r="B92" s="346" t="s">
        <v>522</v>
      </c>
      <c r="C92" s="526">
        <f>'D1. Member Months'!C47</f>
        <v>3814458.75</v>
      </c>
      <c r="D92" s="527">
        <f t="shared" si="42"/>
        <v>2759729674.9840875</v>
      </c>
      <c r="E92" s="528">
        <f t="shared" si="43"/>
        <v>6477779.2269672761</v>
      </c>
      <c r="F92" s="526">
        <f>'D1. Member Months'!D47</f>
        <v>3814458.75</v>
      </c>
      <c r="G92" s="527">
        <f t="shared" si="44"/>
        <v>2759729674.9840875</v>
      </c>
      <c r="H92" s="528">
        <f t="shared" si="45"/>
        <v>6477779.2269672761</v>
      </c>
      <c r="I92" s="526">
        <f>'D1. Member Months'!E47</f>
        <v>3814458.75</v>
      </c>
      <c r="J92" s="527">
        <f t="shared" si="46"/>
        <v>2759729674.9840875</v>
      </c>
      <c r="K92" s="528">
        <f t="shared" si="47"/>
        <v>6477779.2269672761</v>
      </c>
      <c r="L92" s="526">
        <f>'D1. Member Months'!F47</f>
        <v>3814458.75</v>
      </c>
      <c r="M92" s="527">
        <f t="shared" si="48"/>
        <v>2759729674.9840875</v>
      </c>
      <c r="N92" s="528">
        <f t="shared" si="49"/>
        <v>6477779.2269672761</v>
      </c>
      <c r="O92" s="566">
        <f t="shared" si="50"/>
        <v>11064829816.844217</v>
      </c>
      <c r="P92" s="553"/>
      <c r="Q92" s="241" t="s">
        <v>522</v>
      </c>
      <c r="R92" s="531">
        <f t="shared" si="51"/>
        <v>2759729674.9840875</v>
      </c>
      <c r="S92" s="531">
        <f t="shared" si="52"/>
        <v>2759729674.9840875</v>
      </c>
      <c r="T92" s="531">
        <f t="shared" si="53"/>
        <v>2759729674.9840875</v>
      </c>
      <c r="U92" s="531">
        <f t="shared" si="54"/>
        <v>2759729674.9840875</v>
      </c>
      <c r="V92" s="553"/>
      <c r="W92" s="346" t="s">
        <v>522</v>
      </c>
      <c r="X92" s="533"/>
      <c r="Y92" s="534"/>
      <c r="Z92" s="535" t="e">
        <f t="shared" si="55"/>
        <v>#DIV/0!</v>
      </c>
      <c r="AA92" s="533"/>
      <c r="AB92" s="534"/>
      <c r="AC92" s="535" t="e">
        <f t="shared" si="56"/>
        <v>#DIV/0!</v>
      </c>
      <c r="AD92" s="533"/>
      <c r="AE92" s="534"/>
      <c r="AF92" s="535" t="e">
        <f t="shared" si="57"/>
        <v>#DIV/0!</v>
      </c>
      <c r="AG92" s="533"/>
      <c r="AH92" s="534"/>
      <c r="AI92" s="535" t="e">
        <f t="shared" si="58"/>
        <v>#DIV/0!</v>
      </c>
    </row>
    <row r="93" spans="1:35" ht="12.75" thickTop="1" thickBot="1" x14ac:dyDescent="0.25">
      <c r="A93" s="568"/>
      <c r="B93" s="536" t="s">
        <v>98</v>
      </c>
      <c r="C93" s="537">
        <f t="shared" ref="C93:O93" si="59">SUM(C85:C92)</f>
        <v>32838900.75</v>
      </c>
      <c r="D93" s="538">
        <f t="shared" si="59"/>
        <v>15811788846.108049</v>
      </c>
      <c r="E93" s="539">
        <f t="shared" si="59"/>
        <v>49167799.775142387</v>
      </c>
      <c r="F93" s="537">
        <f t="shared" si="59"/>
        <v>32838900.75</v>
      </c>
      <c r="G93" s="538">
        <f t="shared" si="59"/>
        <v>15811788846.108049</v>
      </c>
      <c r="H93" s="539">
        <f t="shared" si="59"/>
        <v>49167799.775142387</v>
      </c>
      <c r="I93" s="537">
        <f t="shared" si="59"/>
        <v>32838900.75</v>
      </c>
      <c r="J93" s="538">
        <f t="shared" si="59"/>
        <v>15811788846.108049</v>
      </c>
      <c r="K93" s="539">
        <f t="shared" si="59"/>
        <v>49167799.775142387</v>
      </c>
      <c r="L93" s="537">
        <f t="shared" si="59"/>
        <v>32838900.75</v>
      </c>
      <c r="M93" s="538">
        <f t="shared" si="59"/>
        <v>15811788846.108049</v>
      </c>
      <c r="N93" s="539">
        <f t="shared" si="59"/>
        <v>49167799.775142387</v>
      </c>
      <c r="O93" s="540">
        <f t="shared" si="59"/>
        <v>63443826583.532768</v>
      </c>
      <c r="P93" s="543"/>
      <c r="Q93" s="543"/>
      <c r="R93" s="542">
        <f>SUM(R85:R92)</f>
        <v>15811788846.108049</v>
      </c>
      <c r="S93" s="542">
        <f>SUM(S85:S92)</f>
        <v>15811788846.108049</v>
      </c>
      <c r="T93" s="542">
        <f>SUM(T85:T92)</f>
        <v>15811788846.108049</v>
      </c>
      <c r="U93" s="542">
        <f>SUM(U85:U92)</f>
        <v>15811788846.108049</v>
      </c>
      <c r="V93" s="543"/>
      <c r="W93" s="544" t="s">
        <v>24</v>
      </c>
      <c r="X93" s="533"/>
      <c r="Y93" s="534"/>
      <c r="Z93" s="535" t="e">
        <f t="shared" si="55"/>
        <v>#DIV/0!</v>
      </c>
      <c r="AA93" s="533"/>
      <c r="AB93" s="534"/>
      <c r="AC93" s="535" t="e">
        <f t="shared" si="56"/>
        <v>#DIV/0!</v>
      </c>
      <c r="AD93" s="533"/>
      <c r="AE93" s="534"/>
      <c r="AF93" s="535" t="e">
        <f t="shared" si="57"/>
        <v>#DIV/0!</v>
      </c>
      <c r="AG93" s="533"/>
      <c r="AH93" s="534"/>
      <c r="AI93" s="535" t="e">
        <f t="shared" si="58"/>
        <v>#DIV/0!</v>
      </c>
    </row>
    <row r="94" spans="1:35" x14ac:dyDescent="0.2">
      <c r="A94" s="62"/>
    </row>
    <row r="95" spans="1:35" ht="13.5" thickBot="1" x14ac:dyDescent="0.25">
      <c r="A95" s="62"/>
      <c r="B95" s="452" t="s">
        <v>411</v>
      </c>
      <c r="C95" s="91"/>
      <c r="D95" s="64"/>
      <c r="E95" s="64"/>
      <c r="F95" s="64"/>
      <c r="G95" s="64"/>
      <c r="H95" s="64"/>
      <c r="I95" s="64"/>
      <c r="J95" s="64"/>
      <c r="K95" s="64"/>
      <c r="L95" s="64"/>
      <c r="M95" s="64"/>
      <c r="N95" s="64"/>
      <c r="O95" s="65"/>
      <c r="P95" s="65"/>
      <c r="Q95" s="65"/>
      <c r="R95" s="64"/>
      <c r="S95" s="64"/>
      <c r="T95" s="64"/>
      <c r="U95" s="64"/>
      <c r="V95" s="65"/>
      <c r="W95" s="65"/>
      <c r="X95" s="65"/>
      <c r="Y95" s="65"/>
      <c r="Z95" s="64"/>
      <c r="AA95" s="64"/>
      <c r="AB95" s="64"/>
      <c r="AC95" s="64"/>
      <c r="AD95" s="64"/>
      <c r="AE95" s="64"/>
      <c r="AF95" s="64"/>
      <c r="AG95" s="66"/>
      <c r="AH95" s="66"/>
      <c r="AI95" s="66"/>
    </row>
    <row r="96" spans="1:35" ht="12" thickBot="1" x14ac:dyDescent="0.25">
      <c r="A96" s="62"/>
      <c r="B96" s="453"/>
      <c r="C96" s="454" t="s">
        <v>17</v>
      </c>
      <c r="D96" s="455" t="s">
        <v>310</v>
      </c>
      <c r="E96" s="456"/>
      <c r="F96" s="456"/>
      <c r="G96" s="456"/>
      <c r="H96" s="457"/>
      <c r="I96" s="458" t="s">
        <v>176</v>
      </c>
      <c r="P96" s="129"/>
      <c r="Q96" s="129"/>
      <c r="R96" s="129"/>
      <c r="S96" s="129"/>
      <c r="T96" s="129"/>
      <c r="U96" s="129"/>
      <c r="V96" s="556" t="str">
        <f>P110</f>
        <v>Projected Year 4</v>
      </c>
      <c r="W96" s="129"/>
      <c r="X96" s="20"/>
      <c r="Y96" s="20"/>
      <c r="Z96" s="20"/>
      <c r="AA96" s="129"/>
      <c r="AB96" s="129"/>
      <c r="AC96" s="129"/>
      <c r="AD96" s="129"/>
      <c r="AE96" s="129"/>
      <c r="AF96" s="129"/>
      <c r="AG96" s="129"/>
    </row>
    <row r="97" spans="1:35" ht="12" thickBot="1" x14ac:dyDescent="0.25">
      <c r="A97" s="62"/>
      <c r="B97" s="459" t="s">
        <v>174</v>
      </c>
      <c r="C97" s="460" t="s">
        <v>184</v>
      </c>
      <c r="D97" s="461" t="s">
        <v>176</v>
      </c>
      <c r="E97" s="462" t="s">
        <v>176</v>
      </c>
      <c r="F97" s="462" t="s">
        <v>176</v>
      </c>
      <c r="G97" s="462" t="s">
        <v>176</v>
      </c>
      <c r="H97" s="463" t="s">
        <v>176</v>
      </c>
      <c r="I97" s="464" t="s">
        <v>280</v>
      </c>
      <c r="P97" s="129"/>
      <c r="Q97" s="129"/>
      <c r="R97" s="129"/>
      <c r="S97" s="129"/>
      <c r="T97" s="129"/>
      <c r="U97" s="129"/>
      <c r="V97" s="499"/>
      <c r="W97" s="499"/>
      <c r="X97" s="548" t="s">
        <v>298</v>
      </c>
      <c r="Y97" s="130"/>
      <c r="Z97" s="131"/>
      <c r="AA97" s="129"/>
      <c r="AB97" s="129"/>
      <c r="AC97" s="129"/>
      <c r="AD97" s="129"/>
      <c r="AE97" s="129"/>
      <c r="AF97" s="129"/>
      <c r="AG97" s="129"/>
    </row>
    <row r="98" spans="1:35" x14ac:dyDescent="0.2">
      <c r="A98" s="62"/>
      <c r="B98" s="459" t="s">
        <v>177</v>
      </c>
      <c r="C98" s="465" t="s">
        <v>140</v>
      </c>
      <c r="D98" s="466" t="s">
        <v>136</v>
      </c>
      <c r="E98" s="467" t="s">
        <v>81</v>
      </c>
      <c r="F98" s="467" t="s">
        <v>137</v>
      </c>
      <c r="G98" s="467" t="s">
        <v>82</v>
      </c>
      <c r="H98" s="468" t="s">
        <v>139</v>
      </c>
      <c r="I98" s="464" t="s">
        <v>87</v>
      </c>
      <c r="P98" s="129"/>
      <c r="Q98" s="129"/>
      <c r="R98" s="129"/>
      <c r="S98" s="129"/>
      <c r="T98" s="129"/>
      <c r="U98" s="129"/>
      <c r="V98" s="506"/>
      <c r="W98" s="506"/>
      <c r="X98" s="491" t="s">
        <v>297</v>
      </c>
      <c r="Y98" s="141"/>
      <c r="Z98" s="141"/>
      <c r="AA98" s="129"/>
      <c r="AB98" s="129"/>
      <c r="AC98" s="129"/>
      <c r="AD98" s="129"/>
      <c r="AE98" s="129"/>
      <c r="AF98" s="129"/>
      <c r="AG98" s="129"/>
    </row>
    <row r="99" spans="1:35" ht="12" thickBot="1" x14ac:dyDescent="0.25">
      <c r="A99" s="62"/>
      <c r="B99" s="469" t="s">
        <v>74</v>
      </c>
      <c r="C99" s="470" t="s">
        <v>19</v>
      </c>
      <c r="D99" s="471" t="s">
        <v>148</v>
      </c>
      <c r="E99" s="472" t="s">
        <v>148</v>
      </c>
      <c r="F99" s="472" t="s">
        <v>148</v>
      </c>
      <c r="G99" s="472" t="s">
        <v>148</v>
      </c>
      <c r="H99" s="473" t="s">
        <v>91</v>
      </c>
      <c r="I99" s="474" t="s">
        <v>300</v>
      </c>
      <c r="P99" s="129"/>
      <c r="Q99" s="129"/>
      <c r="R99" s="129"/>
      <c r="S99" s="129"/>
      <c r="T99" s="129"/>
      <c r="U99" s="129"/>
      <c r="V99" s="512" t="s">
        <v>274</v>
      </c>
      <c r="W99" s="512" t="s">
        <v>14</v>
      </c>
      <c r="X99" s="549" t="s">
        <v>301</v>
      </c>
      <c r="Y99" s="142"/>
      <c r="Z99" s="143"/>
      <c r="AA99" s="129"/>
      <c r="AB99" s="129"/>
      <c r="AC99" s="129"/>
      <c r="AD99" s="129"/>
      <c r="AE99" s="129"/>
      <c r="AF99" s="129"/>
      <c r="AG99" s="129"/>
    </row>
    <row r="100" spans="1:35" ht="23.25" thickBot="1" x14ac:dyDescent="0.25">
      <c r="A100" s="62"/>
      <c r="B100" s="338" t="s">
        <v>519</v>
      </c>
      <c r="C100" s="475">
        <f>'D1. Member Months'!L40</f>
        <v>36779905</v>
      </c>
      <c r="D100" s="476">
        <f>'D5. Waiver Cost Projection'!O70</f>
        <v>594.89749301639085</v>
      </c>
      <c r="E100" s="477">
        <f>'D5. Waiver Cost Projection'!S70</f>
        <v>0</v>
      </c>
      <c r="F100" s="477">
        <f>'D5. Waiver Cost Projection'!W70</f>
        <v>0</v>
      </c>
      <c r="G100" s="477">
        <f>'D5. Waiver Cost Projection'!AA70</f>
        <v>1.9877875106135745</v>
      </c>
      <c r="H100" s="408">
        <f>'D5. Waiver Cost Projection'!AB70</f>
        <v>596.8852805270044</v>
      </c>
      <c r="I100" s="478">
        <f>H100-G100</f>
        <v>594.89749301639085</v>
      </c>
      <c r="P100" s="129"/>
      <c r="Q100" s="129"/>
      <c r="R100" s="129"/>
      <c r="S100" s="129"/>
      <c r="T100" s="129"/>
      <c r="U100" s="129"/>
      <c r="V100" s="525"/>
      <c r="W100" s="525"/>
      <c r="X100" s="474" t="s">
        <v>299</v>
      </c>
      <c r="Y100" s="142"/>
      <c r="Z100" s="143"/>
      <c r="AA100" s="129"/>
      <c r="AB100" s="129"/>
      <c r="AC100" s="129"/>
      <c r="AD100" s="129"/>
      <c r="AE100" s="129"/>
      <c r="AF100" s="129"/>
      <c r="AG100" s="129"/>
      <c r="AH100" s="94"/>
    </row>
    <row r="101" spans="1:35" ht="12" thickBot="1" x14ac:dyDescent="0.25">
      <c r="A101" s="62"/>
      <c r="B101" s="338" t="s">
        <v>525</v>
      </c>
      <c r="C101" s="475">
        <f>'D1. Member Months'!L41</f>
        <v>0</v>
      </c>
      <c r="D101" s="476">
        <f>'D5. Waiver Cost Projection'!O71</f>
        <v>0</v>
      </c>
      <c r="E101" s="477">
        <f>'D5. Waiver Cost Projection'!S71</f>
        <v>0</v>
      </c>
      <c r="F101" s="477">
        <f>'D5. Waiver Cost Projection'!W71</f>
        <v>0</v>
      </c>
      <c r="G101" s="477">
        <f>'D5. Waiver Cost Projection'!AA71</f>
        <v>0</v>
      </c>
      <c r="H101" s="408">
        <f>'D5. Waiver Cost Projection'!AB71</f>
        <v>0</v>
      </c>
      <c r="I101" s="478">
        <f t="shared" ref="I101:I107" si="60">H101-G101</f>
        <v>0</v>
      </c>
      <c r="P101" s="129"/>
      <c r="Q101" s="129"/>
      <c r="R101" s="129"/>
      <c r="S101" s="129"/>
      <c r="T101" s="129"/>
      <c r="U101" s="129"/>
      <c r="V101" s="553"/>
      <c r="W101" s="338" t="s">
        <v>519</v>
      </c>
      <c r="X101" s="554">
        <f>I100</f>
        <v>594.89749301639085</v>
      </c>
      <c r="Y101" s="142"/>
      <c r="Z101" s="143"/>
      <c r="AA101" s="129"/>
      <c r="AB101" s="129"/>
      <c r="AC101" s="129"/>
      <c r="AD101" s="129"/>
      <c r="AE101" s="129"/>
      <c r="AF101" s="129"/>
      <c r="AG101" s="129"/>
      <c r="AH101" s="94"/>
    </row>
    <row r="102" spans="1:35" ht="12" thickBot="1" x14ac:dyDescent="0.25">
      <c r="A102" s="62"/>
      <c r="B102" s="338" t="s">
        <v>520</v>
      </c>
      <c r="C102" s="475">
        <f>'D1. Member Months'!L42</f>
        <v>0</v>
      </c>
      <c r="D102" s="476">
        <f>'D5. Waiver Cost Projection'!O72</f>
        <v>0</v>
      </c>
      <c r="E102" s="477">
        <f>'D5. Waiver Cost Projection'!S72</f>
        <v>0</v>
      </c>
      <c r="F102" s="477">
        <f>'D5. Waiver Cost Projection'!W72</f>
        <v>0</v>
      </c>
      <c r="G102" s="477">
        <f>'D5. Waiver Cost Projection'!AA72</f>
        <v>0</v>
      </c>
      <c r="H102" s="408">
        <f>'D5. Waiver Cost Projection'!AB72</f>
        <v>0</v>
      </c>
      <c r="I102" s="478">
        <f t="shared" si="60"/>
        <v>0</v>
      </c>
      <c r="P102" s="129"/>
      <c r="Q102" s="129"/>
      <c r="R102" s="129"/>
      <c r="S102" s="129"/>
      <c r="T102" s="129"/>
      <c r="U102" s="129"/>
      <c r="V102" s="553"/>
      <c r="W102" s="241" t="s">
        <v>525</v>
      </c>
      <c r="X102" s="554">
        <f t="shared" ref="X102:X108" si="61">I101</f>
        <v>0</v>
      </c>
      <c r="Y102" s="142"/>
      <c r="Z102" s="143"/>
      <c r="AA102" s="129"/>
      <c r="AB102" s="129"/>
      <c r="AC102" s="129"/>
      <c r="AD102" s="129"/>
      <c r="AE102" s="129"/>
      <c r="AF102" s="129"/>
      <c r="AG102" s="129"/>
      <c r="AH102" s="94"/>
    </row>
    <row r="103" spans="1:35" ht="12" thickBot="1" x14ac:dyDescent="0.25">
      <c r="A103" s="62"/>
      <c r="B103" s="338" t="s">
        <v>518</v>
      </c>
      <c r="C103" s="475">
        <f>'D1. Member Months'!L43</f>
        <v>54139905</v>
      </c>
      <c r="D103" s="476">
        <f>'D5. Waiver Cost Projection'!O73</f>
        <v>275.36688352631211</v>
      </c>
      <c r="E103" s="477">
        <f>'D5. Waiver Cost Projection'!S73</f>
        <v>0</v>
      </c>
      <c r="F103" s="477">
        <f>'D5. Waiver Cost Projection'!W73</f>
        <v>0</v>
      </c>
      <c r="G103" s="477">
        <f>'D5. Waiver Cost Projection'!AA73</f>
        <v>0.91829294159648456</v>
      </c>
      <c r="H103" s="408">
        <f>'D5. Waiver Cost Projection'!AB73</f>
        <v>276.28517646790857</v>
      </c>
      <c r="I103" s="478">
        <f t="shared" si="60"/>
        <v>275.36688352631211</v>
      </c>
      <c r="P103" s="129"/>
      <c r="Q103" s="129"/>
      <c r="R103" s="129"/>
      <c r="S103" s="129"/>
      <c r="T103" s="129"/>
      <c r="U103" s="129"/>
      <c r="V103" s="553"/>
      <c r="W103" s="338" t="s">
        <v>520</v>
      </c>
      <c r="X103" s="554">
        <f t="shared" si="61"/>
        <v>0</v>
      </c>
      <c r="Y103" s="142"/>
      <c r="Z103" s="143"/>
      <c r="AA103" s="129"/>
      <c r="AB103" s="129"/>
      <c r="AC103" s="129"/>
      <c r="AD103" s="129"/>
      <c r="AE103" s="129"/>
      <c r="AF103" s="129"/>
      <c r="AG103" s="129"/>
      <c r="AH103" s="94"/>
    </row>
    <row r="104" spans="1:35" ht="12" thickBot="1" x14ac:dyDescent="0.25">
      <c r="A104" s="62"/>
      <c r="B104" s="338" t="s">
        <v>521</v>
      </c>
      <c r="C104" s="475">
        <f>'D1. Member Months'!L44</f>
        <v>994882</v>
      </c>
      <c r="D104" s="476">
        <f>'D5. Waiver Cost Projection'!O74</f>
        <v>281.85069847499562</v>
      </c>
      <c r="E104" s="477">
        <f>'D5. Waiver Cost Projection'!S74</f>
        <v>0</v>
      </c>
      <c r="F104" s="477">
        <f>'D5. Waiver Cost Projection'!W74</f>
        <v>0</v>
      </c>
      <c r="G104" s="477">
        <f>'D5. Waiver Cost Projection'!AA74</f>
        <v>0.89583606432976526</v>
      </c>
      <c r="H104" s="408">
        <f>'D5. Waiver Cost Projection'!AB74</f>
        <v>282.74653453932541</v>
      </c>
      <c r="I104" s="478">
        <f t="shared" si="60"/>
        <v>281.85069847499562</v>
      </c>
      <c r="P104" s="129"/>
      <c r="Q104" s="129"/>
      <c r="R104" s="129"/>
      <c r="S104" s="129"/>
      <c r="T104" s="129"/>
      <c r="U104" s="129"/>
      <c r="V104" s="553"/>
      <c r="W104" s="338" t="s">
        <v>518</v>
      </c>
      <c r="X104" s="554">
        <f t="shared" si="61"/>
        <v>275.36688352631211</v>
      </c>
      <c r="Y104" s="144"/>
      <c r="Z104" s="143"/>
      <c r="AA104" s="129"/>
      <c r="AB104" s="129"/>
      <c r="AC104" s="129"/>
      <c r="AD104" s="129"/>
      <c r="AE104" s="129"/>
      <c r="AF104" s="129"/>
      <c r="AG104" s="129"/>
      <c r="AH104" s="94"/>
    </row>
    <row r="105" spans="1:35" ht="12" thickBot="1" x14ac:dyDescent="0.25">
      <c r="A105" s="62"/>
      <c r="B105" s="338" t="s">
        <v>516</v>
      </c>
      <c r="C105" s="475">
        <f>'D1. Member Months'!L45</f>
        <v>14869740</v>
      </c>
      <c r="D105" s="476">
        <f>'D5. Waiver Cost Projection'!O75</f>
        <v>186.57785640390313</v>
      </c>
      <c r="E105" s="477">
        <f>'D5. Waiver Cost Projection'!S75</f>
        <v>0</v>
      </c>
      <c r="F105" s="477">
        <f>'D5. Waiver Cost Projection'!W75</f>
        <v>0</v>
      </c>
      <c r="G105" s="477">
        <f>'D5. Waiver Cost Projection'!AA75</f>
        <v>0.62640217139998711</v>
      </c>
      <c r="H105" s="408">
        <f>'D5. Waiver Cost Projection'!AB75</f>
        <v>187.2042585753031</v>
      </c>
      <c r="I105" s="478">
        <f t="shared" si="60"/>
        <v>186.57785640390313</v>
      </c>
      <c r="P105" s="129"/>
      <c r="Q105" s="129"/>
      <c r="R105" s="129"/>
      <c r="S105" s="129"/>
      <c r="T105" s="129"/>
      <c r="U105" s="129"/>
      <c r="V105" s="553"/>
      <c r="W105" s="338" t="s">
        <v>521</v>
      </c>
      <c r="X105" s="554">
        <f t="shared" si="61"/>
        <v>281.85069847499562</v>
      </c>
      <c r="AA105" s="129"/>
      <c r="AB105" s="129"/>
      <c r="AC105" s="129"/>
      <c r="AD105" s="129"/>
      <c r="AE105" s="129"/>
      <c r="AF105" s="129"/>
      <c r="AG105" s="129"/>
      <c r="AH105" s="94"/>
    </row>
    <row r="106" spans="1:35" ht="12" thickBot="1" x14ac:dyDescent="0.25">
      <c r="A106" s="62"/>
      <c r="B106" s="346" t="s">
        <v>517</v>
      </c>
      <c r="C106" s="475">
        <f>'D1. Member Months'!L46</f>
        <v>9313336</v>
      </c>
      <c r="D106" s="476">
        <f>'D5. Waiver Cost Projection'!O76</f>
        <v>1537.6934840017307</v>
      </c>
      <c r="E106" s="477">
        <f>'D5. Waiver Cost Projection'!S76</f>
        <v>0</v>
      </c>
      <c r="F106" s="477">
        <f>'D5. Waiver Cost Projection'!W76</f>
        <v>0</v>
      </c>
      <c r="G106" s="477">
        <f>'D5. Waiver Cost Projection'!AA76</f>
        <v>5.0391646562116135</v>
      </c>
      <c r="H106" s="408">
        <f>'D5. Waiver Cost Projection'!AB76</f>
        <v>1542.7326486579423</v>
      </c>
      <c r="I106" s="478">
        <f t="shared" si="60"/>
        <v>1537.6934840017307</v>
      </c>
      <c r="P106" s="129"/>
      <c r="Q106" s="129"/>
      <c r="R106" s="129"/>
      <c r="S106" s="129"/>
      <c r="T106" s="129"/>
      <c r="U106" s="129"/>
      <c r="V106" s="553"/>
      <c r="W106" s="338" t="s">
        <v>516</v>
      </c>
      <c r="X106" s="554">
        <f t="shared" si="61"/>
        <v>186.57785640390313</v>
      </c>
      <c r="AA106" s="129"/>
      <c r="AB106" s="129"/>
      <c r="AC106" s="129"/>
      <c r="AD106" s="129"/>
      <c r="AE106" s="129"/>
      <c r="AF106" s="129"/>
      <c r="AG106" s="129"/>
      <c r="AH106" s="94"/>
    </row>
    <row r="107" spans="1:35" ht="12" thickBot="1" x14ac:dyDescent="0.25">
      <c r="A107" s="62"/>
      <c r="B107" s="346" t="s">
        <v>522</v>
      </c>
      <c r="C107" s="475">
        <f>'D1. Member Months'!L47</f>
        <v>15257835</v>
      </c>
      <c r="D107" s="476">
        <f>'D5. Waiver Cost Projection'!O77</f>
        <v>754.80574479776351</v>
      </c>
      <c r="E107" s="477">
        <f>'D5. Waiver Cost Projection'!S77</f>
        <v>0</v>
      </c>
      <c r="F107" s="477">
        <f>'D5. Waiver Cost Projection'!W77</f>
        <v>0</v>
      </c>
      <c r="G107" s="477">
        <f>'D5. Waiver Cost Projection'!AA77</f>
        <v>1.7897510432642147</v>
      </c>
      <c r="H107" s="408">
        <f>'D5. Waiver Cost Projection'!AB77</f>
        <v>756.59549584102774</v>
      </c>
      <c r="I107" s="478">
        <f t="shared" si="60"/>
        <v>754.80574479776351</v>
      </c>
      <c r="P107" s="129"/>
      <c r="Q107" s="129"/>
      <c r="R107" s="129"/>
      <c r="S107" s="129"/>
      <c r="T107" s="129"/>
      <c r="U107" s="129"/>
      <c r="V107" s="553"/>
      <c r="W107" s="338" t="s">
        <v>517</v>
      </c>
      <c r="X107" s="554">
        <f t="shared" si="61"/>
        <v>1537.6934840017307</v>
      </c>
      <c r="AA107" s="129"/>
      <c r="AB107" s="129"/>
      <c r="AC107" s="129"/>
      <c r="AD107" s="129"/>
      <c r="AE107" s="129"/>
      <c r="AF107" s="129"/>
      <c r="AG107" s="129"/>
      <c r="AH107" s="94"/>
    </row>
    <row r="108" spans="1:35" ht="12.75" thickTop="1" thickBot="1" x14ac:dyDescent="0.25">
      <c r="A108" s="62"/>
      <c r="B108" s="479" t="s">
        <v>98</v>
      </c>
      <c r="C108" s="480">
        <f>SUM(C100:C107)</f>
        <v>131355603</v>
      </c>
      <c r="D108" s="481"/>
      <c r="E108" s="482"/>
      <c r="F108" s="482"/>
      <c r="G108" s="482"/>
      <c r="H108" s="483"/>
      <c r="I108" s="483"/>
      <c r="P108" s="129"/>
      <c r="Q108" s="129"/>
      <c r="R108" s="129"/>
      <c r="S108" s="129"/>
      <c r="T108" s="129"/>
      <c r="U108" s="129"/>
      <c r="V108" s="553"/>
      <c r="W108" s="346" t="s">
        <v>522</v>
      </c>
      <c r="X108" s="554">
        <f t="shared" si="61"/>
        <v>754.80574479776351</v>
      </c>
      <c r="AA108" s="129"/>
      <c r="AB108" s="129"/>
      <c r="AC108" s="129"/>
      <c r="AD108" s="129"/>
      <c r="AE108" s="129"/>
      <c r="AF108" s="129"/>
      <c r="AG108" s="129"/>
      <c r="AH108" s="94"/>
    </row>
    <row r="109" spans="1:35" ht="12" thickBot="1" x14ac:dyDescent="0.25">
      <c r="A109" s="62"/>
      <c r="B109" s="484" t="s">
        <v>480</v>
      </c>
      <c r="C109" s="485"/>
      <c r="D109" s="486">
        <f>SUMPRODUCT(D100:D107,$C$40:$C$47)/$C$48</f>
        <v>500.02541715651313</v>
      </c>
      <c r="E109" s="487">
        <f>SUMPRODUCT(E100:E107,$C$40:$C$47)/$C$48</f>
        <v>0</v>
      </c>
      <c r="F109" s="487">
        <f>SUMPRODUCT(F100:F107,$C$40:$C$47)/$C$48</f>
        <v>0</v>
      </c>
      <c r="G109" s="488">
        <f>SUMPRODUCT(G100:G107,$C$40:$C$47)/$C$48</f>
        <v>1.5779439323352675</v>
      </c>
      <c r="H109" s="487">
        <f>SUMPRODUCT(H100:H107,$C$40:$C$47)/$C$48</f>
        <v>501.60336108884832</v>
      </c>
      <c r="I109" s="487"/>
      <c r="J109" s="79"/>
      <c r="K109" s="80"/>
      <c r="L109" s="80"/>
      <c r="M109" s="80"/>
      <c r="N109" s="80"/>
      <c r="O109" s="81"/>
      <c r="P109" s="81"/>
      <c r="Q109" s="81"/>
      <c r="R109" s="80"/>
      <c r="S109" s="80"/>
      <c r="T109" s="80"/>
      <c r="U109" s="80"/>
      <c r="V109" s="543"/>
      <c r="W109" s="544" t="s">
        <v>24</v>
      </c>
      <c r="X109" s="555">
        <f>G109</f>
        <v>1.5779439323352675</v>
      </c>
      <c r="Y109" s="81"/>
      <c r="Z109" s="81"/>
      <c r="AA109" s="80"/>
      <c r="AB109" s="80"/>
      <c r="AC109" s="80"/>
      <c r="AD109" s="80"/>
      <c r="AE109" s="80"/>
      <c r="AF109" s="80"/>
      <c r="AG109" s="129"/>
      <c r="AH109" s="94"/>
    </row>
    <row r="110" spans="1:35" ht="13.5" thickBot="1" x14ac:dyDescent="0.25">
      <c r="A110" s="62"/>
      <c r="B110" s="66"/>
      <c r="C110" s="66"/>
      <c r="D110" s="66"/>
      <c r="E110" s="66"/>
      <c r="F110" s="66"/>
      <c r="G110" s="66"/>
      <c r="H110" s="66"/>
      <c r="I110" s="66"/>
      <c r="J110" s="66"/>
      <c r="K110" s="66"/>
      <c r="L110" s="66"/>
      <c r="M110" s="66"/>
      <c r="N110" s="66"/>
      <c r="O110" s="66"/>
      <c r="P110" s="18" t="s">
        <v>411</v>
      </c>
      <c r="Q110" s="165">
        <f>'D1. Member Months'!H7</f>
        <v>45658</v>
      </c>
      <c r="R110" s="165" t="s">
        <v>386</v>
      </c>
      <c r="S110" s="165">
        <f>'D1. Member Months'!J7</f>
        <v>46022</v>
      </c>
      <c r="T110" s="66"/>
      <c r="U110" s="146"/>
      <c r="V110" s="129" t="str">
        <f>P110</f>
        <v>Projected Year 4</v>
      </c>
      <c r="W110" s="129"/>
      <c r="X110" s="545" t="s">
        <v>292</v>
      </c>
      <c r="Y110" s="546"/>
      <c r="Z110" s="547"/>
      <c r="AA110" s="545" t="s">
        <v>292</v>
      </c>
      <c r="AB110" s="546"/>
      <c r="AC110" s="547"/>
      <c r="AD110" s="545" t="s">
        <v>292</v>
      </c>
      <c r="AE110" s="546"/>
      <c r="AF110" s="137"/>
      <c r="AG110" s="145" t="s">
        <v>292</v>
      </c>
      <c r="AH110" s="136"/>
      <c r="AI110" s="137"/>
    </row>
    <row r="111" spans="1:35" x14ac:dyDescent="0.2">
      <c r="A111" s="62"/>
      <c r="B111" s="491"/>
      <c r="C111" s="492" t="s">
        <v>471</v>
      </c>
      <c r="D111" s="456"/>
      <c r="E111" s="457"/>
      <c r="F111" s="492" t="s">
        <v>472</v>
      </c>
      <c r="G111" s="456"/>
      <c r="H111" s="457"/>
      <c r="I111" s="492" t="s">
        <v>473</v>
      </c>
      <c r="J111" s="456"/>
      <c r="K111" s="457"/>
      <c r="L111" s="492" t="s">
        <v>474</v>
      </c>
      <c r="M111" s="456"/>
      <c r="N111" s="457"/>
      <c r="O111" s="561"/>
      <c r="P111" s="499"/>
      <c r="Q111" s="499"/>
      <c r="R111" s="562"/>
      <c r="S111" s="562"/>
      <c r="T111" s="562"/>
      <c r="U111" s="562"/>
      <c r="V111" s="499"/>
      <c r="W111" s="499"/>
      <c r="X111" s="492" t="s">
        <v>486</v>
      </c>
      <c r="Y111" s="456"/>
      <c r="Z111" s="457"/>
      <c r="AA111" s="492" t="s">
        <v>487</v>
      </c>
      <c r="AB111" s="456"/>
      <c r="AC111" s="457"/>
      <c r="AD111" s="492" t="s">
        <v>488</v>
      </c>
      <c r="AE111" s="456"/>
      <c r="AF111" s="457"/>
      <c r="AG111" s="492" t="s">
        <v>489</v>
      </c>
      <c r="AH111" s="456"/>
      <c r="AI111" s="457"/>
    </row>
    <row r="112" spans="1:35" ht="22.5" x14ac:dyDescent="0.2">
      <c r="A112" s="62"/>
      <c r="B112" s="500" t="s">
        <v>174</v>
      </c>
      <c r="C112" s="501" t="s">
        <v>140</v>
      </c>
      <c r="D112" s="502" t="s">
        <v>273</v>
      </c>
      <c r="E112" s="503" t="s">
        <v>272</v>
      </c>
      <c r="F112" s="459" t="s">
        <v>140</v>
      </c>
      <c r="G112" s="502" t="s">
        <v>273</v>
      </c>
      <c r="H112" s="503" t="s">
        <v>272</v>
      </c>
      <c r="I112" s="459" t="s">
        <v>140</v>
      </c>
      <c r="J112" s="502" t="s">
        <v>273</v>
      </c>
      <c r="K112" s="503" t="s">
        <v>272</v>
      </c>
      <c r="L112" s="459" t="s">
        <v>140</v>
      </c>
      <c r="M112" s="502" t="s">
        <v>273</v>
      </c>
      <c r="N112" s="503" t="s">
        <v>272</v>
      </c>
      <c r="O112" s="464"/>
      <c r="P112" s="506"/>
      <c r="Q112" s="506"/>
      <c r="R112" s="507"/>
      <c r="S112" s="507"/>
      <c r="T112" s="508"/>
      <c r="U112" s="563"/>
      <c r="V112" s="506"/>
      <c r="W112" s="506"/>
      <c r="X112" s="501" t="s">
        <v>140</v>
      </c>
      <c r="Y112" s="467" t="s">
        <v>283</v>
      </c>
      <c r="Z112" s="503" t="s">
        <v>283</v>
      </c>
      <c r="AA112" s="501" t="s">
        <v>140</v>
      </c>
      <c r="AB112" s="467" t="s">
        <v>283</v>
      </c>
      <c r="AC112" s="503" t="s">
        <v>283</v>
      </c>
      <c r="AD112" s="501" t="s">
        <v>140</v>
      </c>
      <c r="AE112" s="467" t="s">
        <v>283</v>
      </c>
      <c r="AF112" s="503" t="s">
        <v>283</v>
      </c>
      <c r="AG112" s="501" t="s">
        <v>140</v>
      </c>
      <c r="AH112" s="467" t="s">
        <v>283</v>
      </c>
      <c r="AI112" s="503" t="s">
        <v>283</v>
      </c>
    </row>
    <row r="113" spans="1:35" ht="22.5" x14ac:dyDescent="0.2">
      <c r="A113" s="62"/>
      <c r="B113" s="500" t="s">
        <v>177</v>
      </c>
      <c r="C113" s="501" t="s">
        <v>178</v>
      </c>
      <c r="D113" s="502" t="s">
        <v>87</v>
      </c>
      <c r="E113" s="468" t="s">
        <v>82</v>
      </c>
      <c r="F113" s="459" t="s">
        <v>178</v>
      </c>
      <c r="G113" s="502" t="s">
        <v>87</v>
      </c>
      <c r="H113" s="468" t="s">
        <v>82</v>
      </c>
      <c r="I113" s="459" t="s">
        <v>178</v>
      </c>
      <c r="J113" s="502" t="s">
        <v>87</v>
      </c>
      <c r="K113" s="468" t="s">
        <v>82</v>
      </c>
      <c r="L113" s="459" t="s">
        <v>178</v>
      </c>
      <c r="M113" s="502" t="s">
        <v>87</v>
      </c>
      <c r="N113" s="468" t="s">
        <v>82</v>
      </c>
      <c r="O113" s="464" t="s">
        <v>209</v>
      </c>
      <c r="P113" s="512" t="s">
        <v>274</v>
      </c>
      <c r="Q113" s="512" t="s">
        <v>14</v>
      </c>
      <c r="R113" s="513" t="s">
        <v>471</v>
      </c>
      <c r="S113" s="513" t="s">
        <v>472</v>
      </c>
      <c r="T113" s="513" t="s">
        <v>473</v>
      </c>
      <c r="U113" s="513" t="s">
        <v>474</v>
      </c>
      <c r="V113" s="512" t="s">
        <v>274</v>
      </c>
      <c r="W113" s="512" t="s">
        <v>14</v>
      </c>
      <c r="X113" s="501" t="s">
        <v>278</v>
      </c>
      <c r="Y113" s="502" t="s">
        <v>281</v>
      </c>
      <c r="Z113" s="468" t="s">
        <v>282</v>
      </c>
      <c r="AA113" s="501" t="s">
        <v>278</v>
      </c>
      <c r="AB113" s="502" t="s">
        <v>281</v>
      </c>
      <c r="AC113" s="468" t="s">
        <v>282</v>
      </c>
      <c r="AD113" s="501" t="s">
        <v>278</v>
      </c>
      <c r="AE113" s="502" t="s">
        <v>281</v>
      </c>
      <c r="AF113" s="468" t="s">
        <v>282</v>
      </c>
      <c r="AG113" s="501" t="s">
        <v>278</v>
      </c>
      <c r="AH113" s="502" t="s">
        <v>281</v>
      </c>
      <c r="AI113" s="468" t="s">
        <v>282</v>
      </c>
    </row>
    <row r="114" spans="1:35" ht="23.25" thickBot="1" x14ac:dyDescent="0.25">
      <c r="A114" s="62"/>
      <c r="B114" s="516" t="s">
        <v>74</v>
      </c>
      <c r="C114" s="469"/>
      <c r="D114" s="517" t="s">
        <v>179</v>
      </c>
      <c r="E114" s="473" t="s">
        <v>86</v>
      </c>
      <c r="F114" s="469"/>
      <c r="G114" s="517" t="s">
        <v>179</v>
      </c>
      <c r="H114" s="473" t="s">
        <v>86</v>
      </c>
      <c r="I114" s="469"/>
      <c r="J114" s="517" t="s">
        <v>179</v>
      </c>
      <c r="K114" s="473" t="s">
        <v>86</v>
      </c>
      <c r="L114" s="469"/>
      <c r="M114" s="517" t="s">
        <v>179</v>
      </c>
      <c r="N114" s="473" t="s">
        <v>86</v>
      </c>
      <c r="O114" s="474" t="s">
        <v>91</v>
      </c>
      <c r="P114" s="525"/>
      <c r="Q114" s="525"/>
      <c r="R114" s="564">
        <f>'D1. Member Months'!I39-1</f>
        <v>45747</v>
      </c>
      <c r="S114" s="564">
        <f>'D1. Member Months'!J39-1</f>
        <v>45838</v>
      </c>
      <c r="T114" s="564">
        <f>'D1. Member Months'!K39-1</f>
        <v>45930</v>
      </c>
      <c r="U114" s="565">
        <f>'D1. Member Months'!J7</f>
        <v>46022</v>
      </c>
      <c r="V114" s="525"/>
      <c r="W114" s="525"/>
      <c r="X114" s="469">
        <f>R114</f>
        <v>45747</v>
      </c>
      <c r="Y114" s="517" t="s">
        <v>279</v>
      </c>
      <c r="Z114" s="473"/>
      <c r="AA114" s="469">
        <f>S114</f>
        <v>45838</v>
      </c>
      <c r="AB114" s="517" t="s">
        <v>279</v>
      </c>
      <c r="AC114" s="473"/>
      <c r="AD114" s="469">
        <f>T114</f>
        <v>45930</v>
      </c>
      <c r="AE114" s="517" t="s">
        <v>279</v>
      </c>
      <c r="AF114" s="473"/>
      <c r="AG114" s="469">
        <f>U114</f>
        <v>46022</v>
      </c>
      <c r="AH114" s="517" t="s">
        <v>279</v>
      </c>
      <c r="AI114" s="473"/>
    </row>
    <row r="115" spans="1:35" ht="12" thickBot="1" x14ac:dyDescent="0.25">
      <c r="A115" s="62"/>
      <c r="B115" s="338" t="s">
        <v>519</v>
      </c>
      <c r="C115" s="526">
        <f>'D1. Member Months'!H40</f>
        <v>9194976.25</v>
      </c>
      <c r="D115" s="527">
        <f>C115*($D100+$E100+$F100)</f>
        <v>5470068319.4702549</v>
      </c>
      <c r="E115" s="528">
        <f>C115*$G100</f>
        <v>18277658.950138442</v>
      </c>
      <c r="F115" s="526">
        <f>'D1. Member Months'!I40</f>
        <v>9194976.25</v>
      </c>
      <c r="G115" s="527">
        <f>F115*($D100+$E100+$F100)</f>
        <v>5470068319.4702549</v>
      </c>
      <c r="H115" s="528">
        <f>F115*$G100</f>
        <v>18277658.950138442</v>
      </c>
      <c r="I115" s="526">
        <f>'D1. Member Months'!J40</f>
        <v>9194976.25</v>
      </c>
      <c r="J115" s="527">
        <f>I115*($D100+$E100+$F100)</f>
        <v>5470068319.4702549</v>
      </c>
      <c r="K115" s="528">
        <f>I115*$G100</f>
        <v>18277658.950138442</v>
      </c>
      <c r="L115" s="526">
        <f>'D1. Member Months'!K40</f>
        <v>9194976.25</v>
      </c>
      <c r="M115" s="527">
        <f>L115*($D100+$E100+$F100)</f>
        <v>5470068319.4702549</v>
      </c>
      <c r="N115" s="528">
        <f>L115*$G100</f>
        <v>18277658.950138442</v>
      </c>
      <c r="O115" s="566">
        <f>D115+E115+G115+H115+J115+K115+M115+N115</f>
        <v>21953383913.681572</v>
      </c>
      <c r="P115" s="553"/>
      <c r="Q115" s="241" t="s">
        <v>519</v>
      </c>
      <c r="R115" s="531">
        <f>D115</f>
        <v>5470068319.4702549</v>
      </c>
      <c r="S115" s="531">
        <f>G115</f>
        <v>5470068319.4702549</v>
      </c>
      <c r="T115" s="531">
        <f>J115</f>
        <v>5470068319.4702549</v>
      </c>
      <c r="U115" s="531">
        <f>M115</f>
        <v>5470068319.4702549</v>
      </c>
      <c r="V115" s="553"/>
      <c r="W115" s="338" t="s">
        <v>519</v>
      </c>
      <c r="X115" s="533"/>
      <c r="Y115" s="534"/>
      <c r="Z115" s="535" t="e">
        <f>Y115/X115</f>
        <v>#DIV/0!</v>
      </c>
      <c r="AA115" s="533"/>
      <c r="AB115" s="534"/>
      <c r="AC115" s="535" t="e">
        <f>AB115/AA115</f>
        <v>#DIV/0!</v>
      </c>
      <c r="AD115" s="533"/>
      <c r="AE115" s="534"/>
      <c r="AF115" s="535" t="e">
        <f>AE115/AD115</f>
        <v>#DIV/0!</v>
      </c>
      <c r="AG115" s="533"/>
      <c r="AH115" s="534"/>
      <c r="AI115" s="535" t="e">
        <f>AH115/AG115</f>
        <v>#DIV/0!</v>
      </c>
    </row>
    <row r="116" spans="1:35" ht="12" thickBot="1" x14ac:dyDescent="0.25">
      <c r="A116" s="62"/>
      <c r="B116" s="338" t="s">
        <v>525</v>
      </c>
      <c r="C116" s="526">
        <f>'D1. Member Months'!H41</f>
        <v>0</v>
      </c>
      <c r="D116" s="527">
        <f t="shared" ref="D116:D122" si="62">C116*($D101+$E101+$F101)</f>
        <v>0</v>
      </c>
      <c r="E116" s="528">
        <f t="shared" ref="E116:E122" si="63">C116*$G101</f>
        <v>0</v>
      </c>
      <c r="F116" s="526">
        <f>'D1. Member Months'!I41</f>
        <v>0</v>
      </c>
      <c r="G116" s="527">
        <f t="shared" ref="G116:G122" si="64">F116*($D101+$E101+$F101)</f>
        <v>0</v>
      </c>
      <c r="H116" s="528">
        <f t="shared" ref="H116:H122" si="65">F116*$G101</f>
        <v>0</v>
      </c>
      <c r="I116" s="526">
        <f>'D1. Member Months'!J41</f>
        <v>0</v>
      </c>
      <c r="J116" s="527">
        <f t="shared" ref="J116:J122" si="66">I116*($D101+$E101+$F101)</f>
        <v>0</v>
      </c>
      <c r="K116" s="528">
        <f t="shared" ref="K116:K122" si="67">I116*$G101</f>
        <v>0</v>
      </c>
      <c r="L116" s="526">
        <f>'D1. Member Months'!K41</f>
        <v>0</v>
      </c>
      <c r="M116" s="527">
        <f t="shared" ref="M116:M122" si="68">L116*($D101+$E101+$F101)</f>
        <v>0</v>
      </c>
      <c r="N116" s="528">
        <f t="shared" ref="N116:N122" si="69">L116*$G101</f>
        <v>0</v>
      </c>
      <c r="O116" s="566">
        <f t="shared" ref="O116:O122" si="70">D116+E116+G116+H116+J116+K116+M116+N116</f>
        <v>0</v>
      </c>
      <c r="P116" s="553"/>
      <c r="Q116" s="241" t="s">
        <v>525</v>
      </c>
      <c r="R116" s="531">
        <f t="shared" ref="R116:R122" si="71">D116</f>
        <v>0</v>
      </c>
      <c r="S116" s="531">
        <f t="shared" ref="S116:S122" si="72">G116</f>
        <v>0</v>
      </c>
      <c r="T116" s="531">
        <f t="shared" ref="T116:T122" si="73">J116</f>
        <v>0</v>
      </c>
      <c r="U116" s="531">
        <f t="shared" ref="U116:U122" si="74">M116</f>
        <v>0</v>
      </c>
      <c r="V116" s="553"/>
      <c r="W116" s="241" t="s">
        <v>525</v>
      </c>
      <c r="X116" s="533"/>
      <c r="Y116" s="534"/>
      <c r="Z116" s="535" t="e">
        <f t="shared" ref="Z116:Z122" si="75">Y116/X116</f>
        <v>#DIV/0!</v>
      </c>
      <c r="AA116" s="533"/>
      <c r="AB116" s="534"/>
      <c r="AC116" s="535" t="e">
        <f t="shared" ref="AC116:AC122" si="76">AB116/AA116</f>
        <v>#DIV/0!</v>
      </c>
      <c r="AD116" s="533"/>
      <c r="AE116" s="534"/>
      <c r="AF116" s="535" t="e">
        <f t="shared" ref="AF116:AF122" si="77">AE116/AD116</f>
        <v>#DIV/0!</v>
      </c>
      <c r="AG116" s="533"/>
      <c r="AH116" s="534"/>
      <c r="AI116" s="535" t="e">
        <f t="shared" ref="AI116:AI122" si="78">AH116/AG116</f>
        <v>#DIV/0!</v>
      </c>
    </row>
    <row r="117" spans="1:35" ht="12" thickBot="1" x14ac:dyDescent="0.25">
      <c r="A117" s="62"/>
      <c r="B117" s="338" t="s">
        <v>520</v>
      </c>
      <c r="C117" s="526">
        <f>'D1. Member Months'!H42</f>
        <v>0</v>
      </c>
      <c r="D117" s="527">
        <f t="shared" si="62"/>
        <v>0</v>
      </c>
      <c r="E117" s="528">
        <f t="shared" si="63"/>
        <v>0</v>
      </c>
      <c r="F117" s="526">
        <f>'D1. Member Months'!I42</f>
        <v>0</v>
      </c>
      <c r="G117" s="527">
        <f t="shared" si="64"/>
        <v>0</v>
      </c>
      <c r="H117" s="528">
        <f t="shared" si="65"/>
        <v>0</v>
      </c>
      <c r="I117" s="526">
        <f>'D1. Member Months'!J42</f>
        <v>0</v>
      </c>
      <c r="J117" s="527">
        <f t="shared" si="66"/>
        <v>0</v>
      </c>
      <c r="K117" s="528">
        <f t="shared" si="67"/>
        <v>0</v>
      </c>
      <c r="L117" s="526">
        <f>'D1. Member Months'!K42</f>
        <v>0</v>
      </c>
      <c r="M117" s="527">
        <f t="shared" si="68"/>
        <v>0</v>
      </c>
      <c r="N117" s="528">
        <f t="shared" si="69"/>
        <v>0</v>
      </c>
      <c r="O117" s="566">
        <f t="shared" si="70"/>
        <v>0</v>
      </c>
      <c r="P117" s="553"/>
      <c r="Q117" s="241" t="s">
        <v>520</v>
      </c>
      <c r="R117" s="531">
        <f t="shared" si="71"/>
        <v>0</v>
      </c>
      <c r="S117" s="531">
        <f t="shared" si="72"/>
        <v>0</v>
      </c>
      <c r="T117" s="531">
        <f t="shared" si="73"/>
        <v>0</v>
      </c>
      <c r="U117" s="531">
        <f t="shared" si="74"/>
        <v>0</v>
      </c>
      <c r="V117" s="553"/>
      <c r="W117" s="338" t="s">
        <v>520</v>
      </c>
      <c r="X117" s="533"/>
      <c r="Y117" s="534"/>
      <c r="Z117" s="535" t="e">
        <f t="shared" si="75"/>
        <v>#DIV/0!</v>
      </c>
      <c r="AA117" s="533"/>
      <c r="AB117" s="534"/>
      <c r="AC117" s="535" t="e">
        <f t="shared" si="76"/>
        <v>#DIV/0!</v>
      </c>
      <c r="AD117" s="533"/>
      <c r="AE117" s="534"/>
      <c r="AF117" s="535" t="e">
        <f t="shared" si="77"/>
        <v>#DIV/0!</v>
      </c>
      <c r="AG117" s="533"/>
      <c r="AH117" s="534"/>
      <c r="AI117" s="535" t="e">
        <f t="shared" si="78"/>
        <v>#DIV/0!</v>
      </c>
    </row>
    <row r="118" spans="1:35" ht="12" thickBot="1" x14ac:dyDescent="0.25">
      <c r="A118" s="62"/>
      <c r="B118" s="338" t="s">
        <v>518</v>
      </c>
      <c r="C118" s="526">
        <f>'D1. Member Months'!H43</f>
        <v>13534976.25</v>
      </c>
      <c r="D118" s="527">
        <f t="shared" si="62"/>
        <v>3727084228.5651507</v>
      </c>
      <c r="E118" s="528">
        <f t="shared" si="63"/>
        <v>12429073.155051056</v>
      </c>
      <c r="F118" s="526">
        <f>'D1. Member Months'!I43</f>
        <v>13534976.25</v>
      </c>
      <c r="G118" s="527">
        <f t="shared" si="64"/>
        <v>3727084228.5651507</v>
      </c>
      <c r="H118" s="528">
        <f t="shared" si="65"/>
        <v>12429073.155051056</v>
      </c>
      <c r="I118" s="526">
        <f>'D1. Member Months'!J43</f>
        <v>13534976.25</v>
      </c>
      <c r="J118" s="527">
        <f t="shared" si="66"/>
        <v>3727084228.5651507</v>
      </c>
      <c r="K118" s="528">
        <f t="shared" si="67"/>
        <v>12429073.155051056</v>
      </c>
      <c r="L118" s="526">
        <f>'D1. Member Months'!K43</f>
        <v>13534976.25</v>
      </c>
      <c r="M118" s="527">
        <f t="shared" si="68"/>
        <v>3727084228.5651507</v>
      </c>
      <c r="N118" s="528">
        <f t="shared" si="69"/>
        <v>12429073.155051056</v>
      </c>
      <c r="O118" s="566">
        <f t="shared" si="70"/>
        <v>14958053206.880806</v>
      </c>
      <c r="P118" s="553"/>
      <c r="Q118" s="241" t="s">
        <v>518</v>
      </c>
      <c r="R118" s="531">
        <f t="shared" si="71"/>
        <v>3727084228.5651507</v>
      </c>
      <c r="S118" s="531">
        <f t="shared" si="72"/>
        <v>3727084228.5651507</v>
      </c>
      <c r="T118" s="531">
        <f t="shared" si="73"/>
        <v>3727084228.5651507</v>
      </c>
      <c r="U118" s="531">
        <f t="shared" si="74"/>
        <v>3727084228.5651507</v>
      </c>
      <c r="V118" s="553"/>
      <c r="W118" s="338" t="s">
        <v>518</v>
      </c>
      <c r="X118" s="533"/>
      <c r="Y118" s="534"/>
      <c r="Z118" s="535" t="e">
        <f t="shared" si="75"/>
        <v>#DIV/0!</v>
      </c>
      <c r="AA118" s="533"/>
      <c r="AB118" s="534"/>
      <c r="AC118" s="535" t="e">
        <f t="shared" si="76"/>
        <v>#DIV/0!</v>
      </c>
      <c r="AD118" s="533"/>
      <c r="AE118" s="534"/>
      <c r="AF118" s="535" t="e">
        <f t="shared" si="77"/>
        <v>#DIV/0!</v>
      </c>
      <c r="AG118" s="533"/>
      <c r="AH118" s="534"/>
      <c r="AI118" s="535" t="e">
        <f t="shared" si="78"/>
        <v>#DIV/0!</v>
      </c>
    </row>
    <row r="119" spans="1:35" ht="12" thickBot="1" x14ac:dyDescent="0.25">
      <c r="A119" s="62"/>
      <c r="B119" s="338" t="s">
        <v>521</v>
      </c>
      <c r="C119" s="526">
        <f>'D1. Member Months'!H44</f>
        <v>248720.5</v>
      </c>
      <c r="D119" s="527">
        <f t="shared" si="62"/>
        <v>70102046.650050148</v>
      </c>
      <c r="E119" s="528">
        <f t="shared" si="63"/>
        <v>222812.79383813139</v>
      </c>
      <c r="F119" s="526">
        <f>'D1. Member Months'!I44</f>
        <v>248720.5</v>
      </c>
      <c r="G119" s="527">
        <f t="shared" si="64"/>
        <v>70102046.650050148</v>
      </c>
      <c r="H119" s="528">
        <f t="shared" si="65"/>
        <v>222812.79383813139</v>
      </c>
      <c r="I119" s="526">
        <f>'D1. Member Months'!J44</f>
        <v>248720.5</v>
      </c>
      <c r="J119" s="527">
        <f t="shared" si="66"/>
        <v>70102046.650050148</v>
      </c>
      <c r="K119" s="528">
        <f t="shared" si="67"/>
        <v>222812.79383813139</v>
      </c>
      <c r="L119" s="526">
        <f>'D1. Member Months'!K44</f>
        <v>248720.5</v>
      </c>
      <c r="M119" s="527">
        <f t="shared" si="68"/>
        <v>70102046.650050148</v>
      </c>
      <c r="N119" s="528">
        <f t="shared" si="69"/>
        <v>222812.79383813139</v>
      </c>
      <c r="O119" s="566">
        <f t="shared" si="70"/>
        <v>281299437.77555317</v>
      </c>
      <c r="P119" s="553"/>
      <c r="Q119" s="241" t="s">
        <v>521</v>
      </c>
      <c r="R119" s="531">
        <f t="shared" si="71"/>
        <v>70102046.650050148</v>
      </c>
      <c r="S119" s="531">
        <f t="shared" si="72"/>
        <v>70102046.650050148</v>
      </c>
      <c r="T119" s="531">
        <f t="shared" si="73"/>
        <v>70102046.650050148</v>
      </c>
      <c r="U119" s="531">
        <f t="shared" si="74"/>
        <v>70102046.650050148</v>
      </c>
      <c r="V119" s="553"/>
      <c r="W119" s="338" t="s">
        <v>521</v>
      </c>
      <c r="X119" s="533"/>
      <c r="Y119" s="534"/>
      <c r="Z119" s="535" t="e">
        <f t="shared" si="75"/>
        <v>#DIV/0!</v>
      </c>
      <c r="AA119" s="533"/>
      <c r="AB119" s="534"/>
      <c r="AC119" s="535" t="e">
        <f t="shared" si="76"/>
        <v>#DIV/0!</v>
      </c>
      <c r="AD119" s="533"/>
      <c r="AE119" s="534"/>
      <c r="AF119" s="535" t="e">
        <f t="shared" si="77"/>
        <v>#DIV/0!</v>
      </c>
      <c r="AG119" s="533"/>
      <c r="AH119" s="534"/>
      <c r="AI119" s="535" t="e">
        <f t="shared" si="78"/>
        <v>#DIV/0!</v>
      </c>
    </row>
    <row r="120" spans="1:35" ht="12" thickBot="1" x14ac:dyDescent="0.25">
      <c r="A120" s="62"/>
      <c r="B120" s="338" t="s">
        <v>516</v>
      </c>
      <c r="C120" s="526">
        <f>'D1. Member Months'!H45</f>
        <v>3717435</v>
      </c>
      <c r="D120" s="527">
        <f t="shared" si="62"/>
        <v>693591053.62084365</v>
      </c>
      <c r="E120" s="528">
        <f t="shared" si="63"/>
        <v>2328609.356038311</v>
      </c>
      <c r="F120" s="526">
        <f>'D1. Member Months'!I45</f>
        <v>3717435</v>
      </c>
      <c r="G120" s="527">
        <f t="shared" si="64"/>
        <v>693591053.62084365</v>
      </c>
      <c r="H120" s="528">
        <f t="shared" si="65"/>
        <v>2328609.356038311</v>
      </c>
      <c r="I120" s="526">
        <f>'D1. Member Months'!J45</f>
        <v>3717435</v>
      </c>
      <c r="J120" s="527">
        <f t="shared" si="66"/>
        <v>693591053.62084365</v>
      </c>
      <c r="K120" s="528">
        <f t="shared" si="67"/>
        <v>2328609.356038311</v>
      </c>
      <c r="L120" s="526">
        <f>'D1. Member Months'!K45</f>
        <v>3717435</v>
      </c>
      <c r="M120" s="527">
        <f t="shared" si="68"/>
        <v>693591053.62084365</v>
      </c>
      <c r="N120" s="528">
        <f t="shared" si="69"/>
        <v>2328609.356038311</v>
      </c>
      <c r="O120" s="566">
        <f t="shared" si="70"/>
        <v>2783678651.9075279</v>
      </c>
      <c r="P120" s="553"/>
      <c r="Q120" s="241" t="s">
        <v>516</v>
      </c>
      <c r="R120" s="531">
        <f t="shared" si="71"/>
        <v>693591053.62084365</v>
      </c>
      <c r="S120" s="531">
        <f t="shared" si="72"/>
        <v>693591053.62084365</v>
      </c>
      <c r="T120" s="531">
        <f t="shared" si="73"/>
        <v>693591053.62084365</v>
      </c>
      <c r="U120" s="531">
        <f t="shared" si="74"/>
        <v>693591053.62084365</v>
      </c>
      <c r="V120" s="553"/>
      <c r="W120" s="338" t="s">
        <v>516</v>
      </c>
      <c r="X120" s="533"/>
      <c r="Y120" s="534"/>
      <c r="Z120" s="535" t="e">
        <f t="shared" si="75"/>
        <v>#DIV/0!</v>
      </c>
      <c r="AA120" s="533"/>
      <c r="AB120" s="534"/>
      <c r="AC120" s="535" t="e">
        <f t="shared" si="76"/>
        <v>#DIV/0!</v>
      </c>
      <c r="AD120" s="533"/>
      <c r="AE120" s="534"/>
      <c r="AF120" s="535" t="e">
        <f t="shared" si="77"/>
        <v>#DIV/0!</v>
      </c>
      <c r="AG120" s="533"/>
      <c r="AH120" s="534"/>
      <c r="AI120" s="535" t="e">
        <f t="shared" si="78"/>
        <v>#DIV/0!</v>
      </c>
    </row>
    <row r="121" spans="1:35" ht="12" thickBot="1" x14ac:dyDescent="0.25">
      <c r="A121" s="62"/>
      <c r="B121" s="346" t="s">
        <v>517</v>
      </c>
      <c r="C121" s="526">
        <f>'D1. Member Months'!H46</f>
        <v>2328334</v>
      </c>
      <c r="D121" s="527">
        <f t="shared" si="62"/>
        <v>3580264020.3796854</v>
      </c>
      <c r="E121" s="528">
        <f t="shared" si="63"/>
        <v>11732858.400655812</v>
      </c>
      <c r="F121" s="526">
        <f>'D1. Member Months'!I46</f>
        <v>2328334</v>
      </c>
      <c r="G121" s="527">
        <f t="shared" si="64"/>
        <v>3580264020.3796854</v>
      </c>
      <c r="H121" s="528">
        <f t="shared" si="65"/>
        <v>11732858.400655812</v>
      </c>
      <c r="I121" s="526">
        <f>'D1. Member Months'!J46</f>
        <v>2328334</v>
      </c>
      <c r="J121" s="527">
        <f t="shared" si="66"/>
        <v>3580264020.3796854</v>
      </c>
      <c r="K121" s="528">
        <f t="shared" si="67"/>
        <v>11732858.400655812</v>
      </c>
      <c r="L121" s="526">
        <f>'D1. Member Months'!K46</f>
        <v>2328334</v>
      </c>
      <c r="M121" s="527">
        <f t="shared" si="68"/>
        <v>3580264020.3796854</v>
      </c>
      <c r="N121" s="528">
        <f t="shared" si="69"/>
        <v>11732858.400655812</v>
      </c>
      <c r="O121" s="566">
        <f t="shared" si="70"/>
        <v>14367987515.121367</v>
      </c>
      <c r="P121" s="553"/>
      <c r="Q121" s="241" t="s">
        <v>517</v>
      </c>
      <c r="R121" s="531">
        <f t="shared" si="71"/>
        <v>3580264020.3796854</v>
      </c>
      <c r="S121" s="531">
        <f t="shared" si="72"/>
        <v>3580264020.3796854</v>
      </c>
      <c r="T121" s="531">
        <f t="shared" si="73"/>
        <v>3580264020.3796854</v>
      </c>
      <c r="U121" s="531">
        <f t="shared" si="74"/>
        <v>3580264020.3796854</v>
      </c>
      <c r="V121" s="553"/>
      <c r="W121" s="338" t="s">
        <v>517</v>
      </c>
      <c r="X121" s="533"/>
      <c r="Y121" s="534"/>
      <c r="Z121" s="535"/>
      <c r="AA121" s="533"/>
      <c r="AB121" s="534"/>
      <c r="AC121" s="535"/>
      <c r="AD121" s="533"/>
      <c r="AE121" s="534"/>
      <c r="AF121" s="535"/>
      <c r="AG121" s="533"/>
      <c r="AH121" s="534"/>
      <c r="AI121" s="535"/>
    </row>
    <row r="122" spans="1:35" ht="12" thickBot="1" x14ac:dyDescent="0.25">
      <c r="A122" s="62"/>
      <c r="B122" s="346" t="s">
        <v>522</v>
      </c>
      <c r="C122" s="526">
        <f>'D1. Member Months'!H47</f>
        <v>3814458.75</v>
      </c>
      <c r="D122" s="527">
        <f t="shared" si="62"/>
        <v>2879175377.794096</v>
      </c>
      <c r="E122" s="528">
        <f t="shared" si="63"/>
        <v>6826931.5273008123</v>
      </c>
      <c r="F122" s="526">
        <f>'D1. Member Months'!I47</f>
        <v>3814458.75</v>
      </c>
      <c r="G122" s="527">
        <f t="shared" si="64"/>
        <v>2879175377.794096</v>
      </c>
      <c r="H122" s="528">
        <f t="shared" si="65"/>
        <v>6826931.5273008123</v>
      </c>
      <c r="I122" s="526">
        <f>'D1. Member Months'!J47</f>
        <v>3814458.75</v>
      </c>
      <c r="J122" s="527">
        <f t="shared" si="66"/>
        <v>2879175377.794096</v>
      </c>
      <c r="K122" s="528">
        <f t="shared" si="67"/>
        <v>6826931.5273008123</v>
      </c>
      <c r="L122" s="526">
        <f>'D1. Member Months'!K47</f>
        <v>3814458.75</v>
      </c>
      <c r="M122" s="527">
        <f t="shared" si="68"/>
        <v>2879175377.794096</v>
      </c>
      <c r="N122" s="528">
        <f t="shared" si="69"/>
        <v>6826931.5273008123</v>
      </c>
      <c r="O122" s="566">
        <f t="shared" si="70"/>
        <v>11544009237.285585</v>
      </c>
      <c r="P122" s="553"/>
      <c r="Q122" s="241" t="s">
        <v>522</v>
      </c>
      <c r="R122" s="531">
        <f t="shared" si="71"/>
        <v>2879175377.794096</v>
      </c>
      <c r="S122" s="531">
        <f t="shared" si="72"/>
        <v>2879175377.794096</v>
      </c>
      <c r="T122" s="531">
        <f t="shared" si="73"/>
        <v>2879175377.794096</v>
      </c>
      <c r="U122" s="531">
        <f t="shared" si="74"/>
        <v>2879175377.794096</v>
      </c>
      <c r="V122" s="553"/>
      <c r="W122" s="346" t="s">
        <v>522</v>
      </c>
      <c r="X122" s="533"/>
      <c r="Y122" s="534"/>
      <c r="Z122" s="535" t="e">
        <f t="shared" si="75"/>
        <v>#DIV/0!</v>
      </c>
      <c r="AA122" s="533"/>
      <c r="AB122" s="534"/>
      <c r="AC122" s="535" t="e">
        <f t="shared" si="76"/>
        <v>#DIV/0!</v>
      </c>
      <c r="AD122" s="533"/>
      <c r="AE122" s="534"/>
      <c r="AF122" s="535" t="e">
        <f t="shared" si="77"/>
        <v>#DIV/0!</v>
      </c>
      <c r="AG122" s="533"/>
      <c r="AH122" s="534"/>
      <c r="AI122" s="535" t="e">
        <f t="shared" si="78"/>
        <v>#DIV/0!</v>
      </c>
    </row>
    <row r="123" spans="1:35" ht="12.75" thickTop="1" thickBot="1" x14ac:dyDescent="0.25">
      <c r="A123" s="62"/>
      <c r="B123" s="536" t="s">
        <v>98</v>
      </c>
      <c r="C123" s="537">
        <f t="shared" ref="C123:O123" si="79">SUM(C115:C122)</f>
        <v>32838900.75</v>
      </c>
      <c r="D123" s="538">
        <f t="shared" si="79"/>
        <v>16420285046.480082</v>
      </c>
      <c r="E123" s="539">
        <f t="shared" si="79"/>
        <v>51817944.183022566</v>
      </c>
      <c r="F123" s="537">
        <f t="shared" si="79"/>
        <v>32838900.75</v>
      </c>
      <c r="G123" s="538">
        <f t="shared" si="79"/>
        <v>16420285046.480082</v>
      </c>
      <c r="H123" s="539">
        <f t="shared" si="79"/>
        <v>51817944.183022566</v>
      </c>
      <c r="I123" s="537">
        <f t="shared" si="79"/>
        <v>32838900.75</v>
      </c>
      <c r="J123" s="538">
        <f t="shared" si="79"/>
        <v>16420285046.480082</v>
      </c>
      <c r="K123" s="539">
        <f t="shared" si="79"/>
        <v>51817944.183022566</v>
      </c>
      <c r="L123" s="537">
        <f t="shared" si="79"/>
        <v>32838900.75</v>
      </c>
      <c r="M123" s="538">
        <f t="shared" si="79"/>
        <v>16420285046.480082</v>
      </c>
      <c r="N123" s="539">
        <f t="shared" si="79"/>
        <v>51817944.183022566</v>
      </c>
      <c r="O123" s="540">
        <f t="shared" si="79"/>
        <v>65888411962.652405</v>
      </c>
      <c r="P123" s="543"/>
      <c r="Q123" s="543"/>
      <c r="R123" s="542">
        <f>SUM(R115:R122)</f>
        <v>16420285046.480082</v>
      </c>
      <c r="S123" s="542">
        <f>SUM(S115:S122)</f>
        <v>16420285046.480082</v>
      </c>
      <c r="T123" s="542">
        <f>SUM(T115:T122)</f>
        <v>16420285046.480082</v>
      </c>
      <c r="U123" s="542">
        <f>SUM(U115:U122)</f>
        <v>16420285046.480082</v>
      </c>
      <c r="V123" s="543"/>
      <c r="W123" s="544" t="s">
        <v>24</v>
      </c>
      <c r="X123" s="569"/>
      <c r="Y123" s="570"/>
      <c r="Z123" s="571" t="e">
        <f>Y123/X123</f>
        <v>#DIV/0!</v>
      </c>
      <c r="AA123" s="569"/>
      <c r="AB123" s="570"/>
      <c r="AC123" s="571" t="e">
        <f>AB123/AA123</f>
        <v>#DIV/0!</v>
      </c>
      <c r="AD123" s="569"/>
      <c r="AE123" s="570"/>
      <c r="AF123" s="571" t="e">
        <f>AE123/AD123</f>
        <v>#DIV/0!</v>
      </c>
      <c r="AG123" s="569"/>
      <c r="AH123" s="570"/>
      <c r="AI123" s="571" t="e">
        <f>AH123/AG123</f>
        <v>#DIV/0!</v>
      </c>
    </row>
    <row r="124" spans="1:35" x14ac:dyDescent="0.2">
      <c r="A124" s="62"/>
    </row>
    <row r="125" spans="1:35" ht="13.5" thickBot="1" x14ac:dyDescent="0.25">
      <c r="A125" s="62"/>
      <c r="B125" s="116" t="s">
        <v>418</v>
      </c>
      <c r="C125" s="91"/>
      <c r="D125" s="64"/>
      <c r="E125" s="64"/>
      <c r="F125" s="64"/>
      <c r="G125" s="64"/>
      <c r="H125" s="64"/>
      <c r="I125" s="64"/>
      <c r="J125" s="64"/>
      <c r="K125" s="64"/>
      <c r="L125" s="64"/>
      <c r="M125" s="64"/>
      <c r="N125" s="64"/>
      <c r="O125" s="65"/>
      <c r="P125" s="65"/>
      <c r="Q125" s="65"/>
      <c r="R125" s="64"/>
      <c r="S125" s="64"/>
      <c r="T125" s="64"/>
      <c r="U125" s="64"/>
      <c r="V125" s="65"/>
      <c r="W125" s="65"/>
      <c r="X125" s="65"/>
      <c r="Y125" s="65"/>
      <c r="Z125" s="64"/>
      <c r="AA125" s="64"/>
      <c r="AB125" s="64"/>
      <c r="AC125" s="64"/>
      <c r="AD125" s="64"/>
      <c r="AE125" s="64"/>
      <c r="AF125" s="64"/>
      <c r="AG125" s="66"/>
      <c r="AH125" s="66"/>
      <c r="AI125" s="66"/>
    </row>
    <row r="126" spans="1:35" ht="12" thickBot="1" x14ac:dyDescent="0.25">
      <c r="A126" s="62"/>
      <c r="B126" s="67"/>
      <c r="C126" s="99" t="s">
        <v>17</v>
      </c>
      <c r="D126" s="83" t="s">
        <v>310</v>
      </c>
      <c r="E126" s="68"/>
      <c r="F126" s="68"/>
      <c r="G126" s="68"/>
      <c r="H126" s="69"/>
      <c r="I126" s="140" t="s">
        <v>176</v>
      </c>
      <c r="P126" s="129"/>
      <c r="Q126" s="129"/>
      <c r="R126" s="129"/>
      <c r="S126" s="129"/>
      <c r="T126" s="129"/>
      <c r="U126" s="129"/>
      <c r="V126" s="556" t="str">
        <f>P140</f>
        <v>Projected Year 5</v>
      </c>
      <c r="W126" s="129"/>
      <c r="X126" s="20"/>
      <c r="Y126" s="20"/>
      <c r="Z126" s="20"/>
      <c r="AA126" s="129"/>
      <c r="AB126" s="129"/>
      <c r="AC126" s="129"/>
      <c r="AD126" s="129"/>
      <c r="AE126" s="129"/>
      <c r="AF126" s="129"/>
      <c r="AG126" s="129"/>
    </row>
    <row r="127" spans="1:35" ht="12" thickBot="1" x14ac:dyDescent="0.25">
      <c r="A127" s="62"/>
      <c r="B127" s="70" t="s">
        <v>174</v>
      </c>
      <c r="C127" s="100" t="s">
        <v>184</v>
      </c>
      <c r="D127" s="84" t="s">
        <v>176</v>
      </c>
      <c r="E127" s="71" t="s">
        <v>176</v>
      </c>
      <c r="F127" s="71" t="s">
        <v>176</v>
      </c>
      <c r="G127" s="71" t="s">
        <v>176</v>
      </c>
      <c r="H127" s="72" t="s">
        <v>176</v>
      </c>
      <c r="I127" s="134" t="s">
        <v>280</v>
      </c>
      <c r="P127" s="129"/>
      <c r="Q127" s="129"/>
      <c r="R127" s="129"/>
      <c r="S127" s="129"/>
      <c r="T127" s="129"/>
      <c r="U127" s="129"/>
      <c r="V127" s="499"/>
      <c r="W127" s="499"/>
      <c r="X127" s="548" t="s">
        <v>298</v>
      </c>
      <c r="Y127" s="130"/>
      <c r="Z127" s="131"/>
      <c r="AA127" s="129"/>
      <c r="AB127" s="129"/>
      <c r="AC127" s="129"/>
      <c r="AD127" s="129"/>
      <c r="AE127" s="129"/>
      <c r="AF127" s="129"/>
      <c r="AG127" s="129"/>
    </row>
    <row r="128" spans="1:35" x14ac:dyDescent="0.2">
      <c r="A128" s="62"/>
      <c r="B128" s="70" t="s">
        <v>177</v>
      </c>
      <c r="C128" s="101" t="s">
        <v>140</v>
      </c>
      <c r="D128" s="85" t="s">
        <v>136</v>
      </c>
      <c r="E128" s="73" t="s">
        <v>81</v>
      </c>
      <c r="F128" s="73" t="s">
        <v>137</v>
      </c>
      <c r="G128" s="73" t="s">
        <v>82</v>
      </c>
      <c r="H128" s="74" t="s">
        <v>139</v>
      </c>
      <c r="I128" s="134" t="s">
        <v>87</v>
      </c>
      <c r="P128" s="129"/>
      <c r="Q128" s="129"/>
      <c r="R128" s="129"/>
      <c r="S128" s="129"/>
      <c r="T128" s="129"/>
      <c r="U128" s="129"/>
      <c r="V128" s="506"/>
      <c r="W128" s="506"/>
      <c r="X128" s="491" t="s">
        <v>297</v>
      </c>
      <c r="Y128" s="141"/>
      <c r="Z128" s="141"/>
      <c r="AA128" s="129"/>
      <c r="AB128" s="129"/>
      <c r="AC128" s="129"/>
      <c r="AD128" s="129"/>
      <c r="AE128" s="129"/>
      <c r="AF128" s="129"/>
      <c r="AG128" s="129"/>
    </row>
    <row r="129" spans="1:35" ht="12" thickBot="1" x14ac:dyDescent="0.25">
      <c r="A129" s="62"/>
      <c r="B129" s="75" t="s">
        <v>74</v>
      </c>
      <c r="C129" s="102" t="s">
        <v>19</v>
      </c>
      <c r="D129" s="86" t="s">
        <v>148</v>
      </c>
      <c r="E129" s="76" t="s">
        <v>148</v>
      </c>
      <c r="F129" s="76" t="s">
        <v>148</v>
      </c>
      <c r="G129" s="76" t="s">
        <v>148</v>
      </c>
      <c r="H129" s="77" t="s">
        <v>91</v>
      </c>
      <c r="I129" s="135" t="s">
        <v>300</v>
      </c>
      <c r="P129" s="129"/>
      <c r="Q129" s="129"/>
      <c r="R129" s="129"/>
      <c r="S129" s="129"/>
      <c r="T129" s="129"/>
      <c r="U129" s="129"/>
      <c r="V129" s="512" t="s">
        <v>274</v>
      </c>
      <c r="W129" s="512" t="s">
        <v>14</v>
      </c>
      <c r="X129" s="549" t="s">
        <v>301</v>
      </c>
      <c r="Y129" s="142"/>
      <c r="Z129" s="143"/>
      <c r="AA129" s="129"/>
      <c r="AB129" s="129"/>
      <c r="AC129" s="129"/>
      <c r="AD129" s="129"/>
      <c r="AE129" s="129"/>
      <c r="AF129" s="129"/>
      <c r="AG129" s="129"/>
    </row>
    <row r="130" spans="1:35" ht="23.25" thickBot="1" x14ac:dyDescent="0.25">
      <c r="A130" s="62"/>
      <c r="B130" s="155" t="s">
        <v>519</v>
      </c>
      <c r="C130" s="103">
        <f>'D1. Member Months'!Q40</f>
        <v>36779905</v>
      </c>
      <c r="D130" s="97">
        <f>'D5. Waiver Cost Projection'!O89</f>
        <v>624.34491892070218</v>
      </c>
      <c r="E130" s="38">
        <f>'D5. Waiver Cost Projection'!S89</f>
        <v>0</v>
      </c>
      <c r="F130" s="38">
        <f>'D5. Waiver Cost Projection'!W89</f>
        <v>0</v>
      </c>
      <c r="G130" s="38">
        <f>'D5. Waiver Cost Projection'!AA89</f>
        <v>2.0949292574356462</v>
      </c>
      <c r="H130" s="89">
        <f>'D5. Waiver Cost Projection'!AB89</f>
        <v>626.43984817813782</v>
      </c>
      <c r="I130" s="139">
        <f>H130-G130</f>
        <v>624.34491892070218</v>
      </c>
      <c r="P130" s="129"/>
      <c r="Q130" s="129"/>
      <c r="R130" s="129"/>
      <c r="S130" s="129"/>
      <c r="T130" s="129"/>
      <c r="U130" s="129"/>
      <c r="V130" s="525"/>
      <c r="W130" s="525"/>
      <c r="X130" s="474" t="s">
        <v>299</v>
      </c>
      <c r="Y130" s="142"/>
      <c r="Z130" s="143"/>
      <c r="AA130" s="129"/>
      <c r="AB130" s="129"/>
      <c r="AC130" s="129"/>
      <c r="AD130" s="129"/>
      <c r="AE130" s="129"/>
      <c r="AF130" s="129"/>
      <c r="AG130" s="129"/>
      <c r="AH130" s="94"/>
    </row>
    <row r="131" spans="1:35" ht="12" thickBot="1" x14ac:dyDescent="0.25">
      <c r="A131" s="62"/>
      <c r="B131" s="155" t="s">
        <v>525</v>
      </c>
      <c r="C131" s="103">
        <f>'D1. Member Months'!Q41</f>
        <v>0</v>
      </c>
      <c r="D131" s="97">
        <f>'D5. Waiver Cost Projection'!O90</f>
        <v>0</v>
      </c>
      <c r="E131" s="38">
        <f>'D5. Waiver Cost Projection'!S90</f>
        <v>0</v>
      </c>
      <c r="F131" s="38">
        <f>'D5. Waiver Cost Projection'!W90</f>
        <v>0</v>
      </c>
      <c r="G131" s="38">
        <f>'D5. Waiver Cost Projection'!AA90</f>
        <v>0</v>
      </c>
      <c r="H131" s="89">
        <f>'D5. Waiver Cost Projection'!AB90</f>
        <v>0</v>
      </c>
      <c r="I131" s="139">
        <f t="shared" ref="I131:I137" si="80">H131-G131</f>
        <v>0</v>
      </c>
      <c r="P131" s="129"/>
      <c r="Q131" s="129"/>
      <c r="R131" s="129"/>
      <c r="S131" s="129"/>
      <c r="T131" s="129"/>
      <c r="U131" s="129"/>
      <c r="V131" s="553"/>
      <c r="W131" s="338" t="s">
        <v>519</v>
      </c>
      <c r="X131" s="554">
        <f>I130</f>
        <v>624.34491892070218</v>
      </c>
      <c r="Y131" s="142"/>
      <c r="Z131" s="143"/>
      <c r="AA131" s="129"/>
      <c r="AB131" s="129"/>
      <c r="AC131" s="129"/>
      <c r="AD131" s="129"/>
      <c r="AE131" s="129"/>
      <c r="AF131" s="129"/>
      <c r="AG131" s="129"/>
      <c r="AH131" s="94"/>
    </row>
    <row r="132" spans="1:35" ht="12" thickBot="1" x14ac:dyDescent="0.25">
      <c r="A132" s="62"/>
      <c r="B132" s="155" t="s">
        <v>520</v>
      </c>
      <c r="C132" s="103">
        <f>'D1. Member Months'!Q42</f>
        <v>0</v>
      </c>
      <c r="D132" s="97">
        <f>'D5. Waiver Cost Projection'!O91</f>
        <v>0</v>
      </c>
      <c r="E132" s="38">
        <f>'D5. Waiver Cost Projection'!S91</f>
        <v>0</v>
      </c>
      <c r="F132" s="38">
        <f>'D5. Waiver Cost Projection'!W91</f>
        <v>0</v>
      </c>
      <c r="G132" s="38">
        <f>'D5. Waiver Cost Projection'!AA91</f>
        <v>0</v>
      </c>
      <c r="H132" s="89">
        <f>'D5. Waiver Cost Projection'!AB91</f>
        <v>0</v>
      </c>
      <c r="I132" s="139">
        <f t="shared" si="80"/>
        <v>0</v>
      </c>
      <c r="P132" s="129"/>
      <c r="Q132" s="129"/>
      <c r="R132" s="129"/>
      <c r="S132" s="129"/>
      <c r="T132" s="129"/>
      <c r="U132" s="129"/>
      <c r="V132" s="553"/>
      <c r="W132" s="241" t="s">
        <v>525</v>
      </c>
      <c r="X132" s="554">
        <f t="shared" ref="X132:X138" si="81">I131</f>
        <v>0</v>
      </c>
      <c r="Y132" s="142"/>
      <c r="Z132" s="143"/>
      <c r="AA132" s="129"/>
      <c r="AB132" s="129"/>
      <c r="AC132" s="129"/>
      <c r="AD132" s="129"/>
      <c r="AE132" s="129"/>
      <c r="AF132" s="129"/>
      <c r="AG132" s="129"/>
      <c r="AH132" s="94"/>
    </row>
    <row r="133" spans="1:35" ht="12" thickBot="1" x14ac:dyDescent="0.25">
      <c r="A133" s="62"/>
      <c r="B133" s="155" t="s">
        <v>518</v>
      </c>
      <c r="C133" s="103">
        <f>'D1. Member Months'!Q43</f>
        <v>54139905</v>
      </c>
      <c r="D133" s="97">
        <f>'D5. Waiver Cost Projection'!O92</f>
        <v>288.99754426086457</v>
      </c>
      <c r="E133" s="38">
        <f>'D5. Waiver Cost Projection'!S92</f>
        <v>0</v>
      </c>
      <c r="F133" s="38">
        <f>'D5. Waiver Cost Projection'!W92</f>
        <v>0</v>
      </c>
      <c r="G133" s="38">
        <f>'D5. Waiver Cost Projection'!AA92</f>
        <v>0.96778893114853504</v>
      </c>
      <c r="H133" s="89">
        <f>'D5. Waiver Cost Projection'!AB92</f>
        <v>289.96533319201313</v>
      </c>
      <c r="I133" s="139">
        <f t="shared" si="80"/>
        <v>288.99754426086457</v>
      </c>
      <c r="P133" s="129"/>
      <c r="Q133" s="129"/>
      <c r="R133" s="129"/>
      <c r="S133" s="129"/>
      <c r="T133" s="129"/>
      <c r="U133" s="129"/>
      <c r="V133" s="553"/>
      <c r="W133" s="338" t="s">
        <v>520</v>
      </c>
      <c r="X133" s="554">
        <f t="shared" si="81"/>
        <v>0</v>
      </c>
      <c r="Y133" s="142"/>
      <c r="Z133" s="143"/>
      <c r="AA133" s="129"/>
      <c r="AB133" s="129"/>
      <c r="AC133" s="129"/>
      <c r="AD133" s="129"/>
      <c r="AE133" s="129"/>
      <c r="AF133" s="129"/>
      <c r="AG133" s="129"/>
      <c r="AH133" s="94"/>
    </row>
    <row r="134" spans="1:35" ht="12" thickBot="1" x14ac:dyDescent="0.25">
      <c r="A134" s="62"/>
      <c r="B134" s="155" t="s">
        <v>521</v>
      </c>
      <c r="C134" s="103">
        <f>'D1. Member Months'!Q44</f>
        <v>994882</v>
      </c>
      <c r="D134" s="97">
        <f>'D5. Waiver Cost Projection'!O93</f>
        <v>295.80230804950793</v>
      </c>
      <c r="E134" s="38">
        <f>'D5. Waiver Cost Projection'!S93</f>
        <v>0</v>
      </c>
      <c r="F134" s="38">
        <f>'D5. Waiver Cost Projection'!W93</f>
        <v>0</v>
      </c>
      <c r="G134" s="38">
        <f>'D5. Waiver Cost Projection'!AA93</f>
        <v>0.94412162819713963</v>
      </c>
      <c r="H134" s="89">
        <f>'D5. Waiver Cost Projection'!AB93</f>
        <v>296.74642967770507</v>
      </c>
      <c r="I134" s="139">
        <f t="shared" si="80"/>
        <v>295.80230804950793</v>
      </c>
      <c r="P134" s="129"/>
      <c r="Q134" s="129"/>
      <c r="R134" s="129"/>
      <c r="S134" s="129"/>
      <c r="T134" s="129"/>
      <c r="U134" s="129"/>
      <c r="V134" s="553"/>
      <c r="W134" s="338" t="s">
        <v>518</v>
      </c>
      <c r="X134" s="554">
        <f t="shared" si="81"/>
        <v>288.99754426086457</v>
      </c>
      <c r="Y134" s="144"/>
      <c r="Z134" s="143"/>
      <c r="AA134" s="129"/>
      <c r="AB134" s="129"/>
      <c r="AC134" s="129"/>
      <c r="AD134" s="129"/>
      <c r="AE134" s="129"/>
      <c r="AF134" s="129"/>
      <c r="AG134" s="129"/>
      <c r="AH134" s="94"/>
    </row>
    <row r="135" spans="1:35" ht="12" thickBot="1" x14ac:dyDescent="0.25">
      <c r="A135" s="62"/>
      <c r="B135" s="155" t="s">
        <v>516</v>
      </c>
      <c r="C135" s="103">
        <f>'D1. Member Months'!Q45</f>
        <v>14869740</v>
      </c>
      <c r="D135" s="97">
        <f>'D5. Waiver Cost Projection'!O94</f>
        <v>195.81346029589633</v>
      </c>
      <c r="E135" s="38">
        <f>'D5. Waiver Cost Projection'!S94</f>
        <v>0</v>
      </c>
      <c r="F135" s="38">
        <f>'D5. Waiver Cost Projection'!W94</f>
        <v>0</v>
      </c>
      <c r="G135" s="38">
        <f>'D5. Waiver Cost Projection'!AA94</f>
        <v>0.66016524843844637</v>
      </c>
      <c r="H135" s="89">
        <f>'D5. Waiver Cost Projection'!AB94</f>
        <v>196.47362554433479</v>
      </c>
      <c r="I135" s="139">
        <f t="shared" si="80"/>
        <v>195.81346029589633</v>
      </c>
      <c r="P135" s="129"/>
      <c r="Q135" s="129"/>
      <c r="R135" s="129"/>
      <c r="S135" s="129"/>
      <c r="T135" s="129"/>
      <c r="U135" s="129"/>
      <c r="V135" s="553"/>
      <c r="W135" s="338" t="s">
        <v>521</v>
      </c>
      <c r="X135" s="554">
        <f t="shared" si="81"/>
        <v>295.80230804950793</v>
      </c>
      <c r="AA135" s="129"/>
      <c r="AB135" s="129"/>
      <c r="AC135" s="129"/>
      <c r="AD135" s="129"/>
      <c r="AE135" s="129"/>
      <c r="AF135" s="129"/>
      <c r="AG135" s="129"/>
      <c r="AH135" s="94"/>
    </row>
    <row r="136" spans="1:35" ht="12" thickBot="1" x14ac:dyDescent="0.25">
      <c r="A136" s="62"/>
      <c r="B136" s="156" t="s">
        <v>517</v>
      </c>
      <c r="C136" s="103">
        <f>'D1. Member Months'!Q46</f>
        <v>9313336</v>
      </c>
      <c r="D136" s="97">
        <f>'D5. Waiver Cost Projection'!O95</f>
        <v>1613.8093114598164</v>
      </c>
      <c r="E136" s="38">
        <f>'D5. Waiver Cost Projection'!S95</f>
        <v>0</v>
      </c>
      <c r="F136" s="38">
        <f>'D5. Waiver Cost Projection'!W95</f>
        <v>0</v>
      </c>
      <c r="G136" s="38">
        <f>'D5. Waiver Cost Projection'!AA95</f>
        <v>5.3107756311814196</v>
      </c>
      <c r="H136" s="89">
        <f>'D5. Waiver Cost Projection'!AB95</f>
        <v>1619.1200870909979</v>
      </c>
      <c r="I136" s="139">
        <f t="shared" si="80"/>
        <v>1613.8093114598164</v>
      </c>
      <c r="P136" s="129"/>
      <c r="Q136" s="129"/>
      <c r="R136" s="129"/>
      <c r="S136" s="129"/>
      <c r="T136" s="129"/>
      <c r="U136" s="129"/>
      <c r="V136" s="553"/>
      <c r="W136" s="338" t="s">
        <v>516</v>
      </c>
      <c r="X136" s="554">
        <f t="shared" si="81"/>
        <v>195.81346029589633</v>
      </c>
      <c r="AA136" s="129"/>
      <c r="AB136" s="129"/>
      <c r="AC136" s="129"/>
      <c r="AD136" s="129"/>
      <c r="AE136" s="129"/>
      <c r="AF136" s="129"/>
      <c r="AG136" s="129"/>
      <c r="AH136" s="94"/>
    </row>
    <row r="137" spans="1:35" ht="12" thickBot="1" x14ac:dyDescent="0.25">
      <c r="A137" s="62"/>
      <c r="B137" s="156" t="s">
        <v>522</v>
      </c>
      <c r="C137" s="103">
        <f>'D1. Member Months'!Q47</f>
        <v>15257835</v>
      </c>
      <c r="D137" s="97">
        <f>'D5. Waiver Cost Projection'!O96</f>
        <v>792.16862916525281</v>
      </c>
      <c r="E137" s="38">
        <f>'D5. Waiver Cost Projection'!S96</f>
        <v>0</v>
      </c>
      <c r="F137" s="38">
        <f>'D5. Waiver Cost Projection'!W96</f>
        <v>0</v>
      </c>
      <c r="G137" s="38">
        <f>'D5. Waiver Cost Projection'!AA96</f>
        <v>1.8862186244961558</v>
      </c>
      <c r="H137" s="89">
        <f>'D5. Waiver Cost Projection'!AB96</f>
        <v>794.05484778974892</v>
      </c>
      <c r="I137" s="139">
        <f t="shared" si="80"/>
        <v>792.16862916525281</v>
      </c>
      <c r="P137" s="129"/>
      <c r="Q137" s="129"/>
      <c r="R137" s="129"/>
      <c r="S137" s="129"/>
      <c r="T137" s="129"/>
      <c r="U137" s="129"/>
      <c r="V137" s="553"/>
      <c r="W137" s="338" t="s">
        <v>517</v>
      </c>
      <c r="X137" s="554">
        <f t="shared" si="81"/>
        <v>1613.8093114598164</v>
      </c>
      <c r="AA137" s="129"/>
      <c r="AB137" s="129"/>
      <c r="AC137" s="129"/>
      <c r="AD137" s="129"/>
      <c r="AE137" s="129"/>
      <c r="AF137" s="129"/>
      <c r="AG137" s="129"/>
      <c r="AH137" s="94"/>
    </row>
    <row r="138" spans="1:35" ht="12.75" thickTop="1" thickBot="1" x14ac:dyDescent="0.25">
      <c r="A138" s="62"/>
      <c r="B138" s="78" t="s">
        <v>98</v>
      </c>
      <c r="C138" s="104">
        <f>SUM(C130:C137)</f>
        <v>131355603</v>
      </c>
      <c r="D138" s="98"/>
      <c r="E138" s="95"/>
      <c r="F138" s="95"/>
      <c r="G138" s="95"/>
      <c r="H138" s="96"/>
      <c r="I138" s="96"/>
      <c r="P138" s="129"/>
      <c r="Q138" s="129"/>
      <c r="R138" s="129"/>
      <c r="S138" s="129"/>
      <c r="T138" s="129"/>
      <c r="U138" s="129"/>
      <c r="V138" s="553"/>
      <c r="W138" s="346" t="s">
        <v>522</v>
      </c>
      <c r="X138" s="554">
        <f t="shared" si="81"/>
        <v>792.16862916525281</v>
      </c>
      <c r="AA138" s="129"/>
      <c r="AB138" s="129"/>
      <c r="AC138" s="129"/>
      <c r="AD138" s="129"/>
      <c r="AE138" s="129"/>
      <c r="AF138" s="129"/>
      <c r="AG138" s="129"/>
      <c r="AH138" s="94"/>
    </row>
    <row r="139" spans="1:35" ht="12" thickBot="1" x14ac:dyDescent="0.25">
      <c r="A139" s="62"/>
      <c r="B139" s="117" t="s">
        <v>479</v>
      </c>
      <c r="C139" s="105"/>
      <c r="D139" s="92">
        <f>SUMPRODUCT(D130:D137,$C$40:$C$47)/$C$48</f>
        <v>524.77667530576048</v>
      </c>
      <c r="E139" s="93">
        <f>SUMPRODUCT(E130:E137,$C$40:$C$47)/$C$48</f>
        <v>0</v>
      </c>
      <c r="F139" s="93">
        <f>SUMPRODUCT(F130:F137,$C$40:$C$47)/$C$48</f>
        <v>0</v>
      </c>
      <c r="G139" s="138">
        <f>SUMPRODUCT(G130:G137,$C$40:$C$47)/$C$48</f>
        <v>1.6629951102881382</v>
      </c>
      <c r="H139" s="93">
        <f>SUMPRODUCT(H130:H137,$C$40:$C$47)/$C$48</f>
        <v>526.43967041604867</v>
      </c>
      <c r="I139" s="93"/>
      <c r="J139" s="79"/>
      <c r="K139" s="80"/>
      <c r="L139" s="80"/>
      <c r="M139" s="80"/>
      <c r="N139" s="80"/>
      <c r="O139" s="81"/>
      <c r="P139" s="81"/>
      <c r="Q139" s="81"/>
      <c r="R139" s="80"/>
      <c r="S139" s="80"/>
      <c r="T139" s="80"/>
      <c r="U139" s="80"/>
      <c r="V139" s="127"/>
      <c r="W139" s="133" t="s">
        <v>24</v>
      </c>
      <c r="X139" s="150">
        <f>G139</f>
        <v>1.6629951102881382</v>
      </c>
      <c r="Y139" s="81"/>
      <c r="Z139" s="81"/>
      <c r="AA139" s="80"/>
      <c r="AB139" s="80"/>
      <c r="AC139" s="80"/>
      <c r="AD139" s="80"/>
      <c r="AE139" s="80"/>
      <c r="AF139" s="80"/>
      <c r="AG139" s="129"/>
      <c r="AH139" s="94"/>
    </row>
    <row r="140" spans="1:35" ht="13.5" thickBot="1" x14ac:dyDescent="0.25">
      <c r="A140" s="62"/>
      <c r="B140" s="66"/>
      <c r="C140" s="66"/>
      <c r="D140" s="66"/>
      <c r="E140" s="66"/>
      <c r="F140" s="66"/>
      <c r="G140" s="66"/>
      <c r="H140" s="66"/>
      <c r="I140" s="66"/>
      <c r="J140" s="66"/>
      <c r="K140" s="66"/>
      <c r="L140" s="66"/>
      <c r="M140" s="66"/>
      <c r="N140" s="66"/>
      <c r="O140" s="66"/>
      <c r="P140" s="18" t="s">
        <v>418</v>
      </c>
      <c r="Q140" s="165">
        <f>'D1. Member Months'!L7</f>
        <v>46023</v>
      </c>
      <c r="R140" s="165" t="s">
        <v>386</v>
      </c>
      <c r="S140" s="165">
        <f>'D1. Member Months'!N7</f>
        <v>46387</v>
      </c>
      <c r="T140" s="66"/>
      <c r="U140" s="146"/>
      <c r="V140" s="556" t="str">
        <f>P140</f>
        <v>Projected Year 5</v>
      </c>
      <c r="W140" s="129"/>
      <c r="X140" s="545" t="s">
        <v>292</v>
      </c>
      <c r="Y140" s="546"/>
      <c r="Z140" s="547"/>
      <c r="AA140" s="545" t="s">
        <v>292</v>
      </c>
      <c r="AB140" s="546"/>
      <c r="AC140" s="547"/>
      <c r="AD140" s="545" t="s">
        <v>292</v>
      </c>
      <c r="AE140" s="546"/>
      <c r="AF140" s="547"/>
      <c r="AG140" s="545" t="s">
        <v>292</v>
      </c>
      <c r="AH140" s="546"/>
      <c r="AI140" s="547"/>
    </row>
    <row r="141" spans="1:35" x14ac:dyDescent="0.2">
      <c r="A141" s="62"/>
      <c r="B141" s="491"/>
      <c r="C141" s="492" t="s">
        <v>475</v>
      </c>
      <c r="D141" s="456"/>
      <c r="E141" s="457"/>
      <c r="F141" s="492" t="s">
        <v>476</v>
      </c>
      <c r="G141" s="456"/>
      <c r="H141" s="457"/>
      <c r="I141" s="492" t="s">
        <v>477</v>
      </c>
      <c r="J141" s="456"/>
      <c r="K141" s="457"/>
      <c r="L141" s="492" t="s">
        <v>478</v>
      </c>
      <c r="M141" s="456"/>
      <c r="N141" s="457"/>
      <c r="O141" s="561"/>
      <c r="P141" s="499"/>
      <c r="Q141" s="499"/>
      <c r="R141" s="562"/>
      <c r="S141" s="562"/>
      <c r="T141" s="562"/>
      <c r="U141" s="562"/>
      <c r="V141" s="499"/>
      <c r="W141" s="499"/>
      <c r="X141" s="492" t="s">
        <v>490</v>
      </c>
      <c r="Y141" s="456"/>
      <c r="Z141" s="457"/>
      <c r="AA141" s="492" t="s">
        <v>491</v>
      </c>
      <c r="AB141" s="456"/>
      <c r="AC141" s="457"/>
      <c r="AD141" s="492" t="s">
        <v>492</v>
      </c>
      <c r="AE141" s="456"/>
      <c r="AF141" s="457"/>
      <c r="AG141" s="492" t="s">
        <v>493</v>
      </c>
      <c r="AH141" s="456"/>
      <c r="AI141" s="457"/>
    </row>
    <row r="142" spans="1:35" ht="22.5" x14ac:dyDescent="0.2">
      <c r="A142" s="62"/>
      <c r="B142" s="500" t="s">
        <v>174</v>
      </c>
      <c r="C142" s="501" t="s">
        <v>140</v>
      </c>
      <c r="D142" s="502" t="s">
        <v>273</v>
      </c>
      <c r="E142" s="503" t="s">
        <v>272</v>
      </c>
      <c r="F142" s="459" t="s">
        <v>140</v>
      </c>
      <c r="G142" s="502" t="s">
        <v>273</v>
      </c>
      <c r="H142" s="503" t="s">
        <v>272</v>
      </c>
      <c r="I142" s="459" t="s">
        <v>140</v>
      </c>
      <c r="J142" s="502" t="s">
        <v>273</v>
      </c>
      <c r="K142" s="503" t="s">
        <v>272</v>
      </c>
      <c r="L142" s="459" t="s">
        <v>140</v>
      </c>
      <c r="M142" s="502" t="s">
        <v>273</v>
      </c>
      <c r="N142" s="503" t="s">
        <v>272</v>
      </c>
      <c r="O142" s="464"/>
      <c r="P142" s="506"/>
      <c r="Q142" s="506"/>
      <c r="R142" s="507"/>
      <c r="S142" s="507"/>
      <c r="T142" s="508"/>
      <c r="U142" s="563"/>
      <c r="V142" s="506"/>
      <c r="W142" s="506"/>
      <c r="X142" s="501" t="s">
        <v>140</v>
      </c>
      <c r="Y142" s="467" t="s">
        <v>283</v>
      </c>
      <c r="Z142" s="503" t="s">
        <v>283</v>
      </c>
      <c r="AA142" s="501" t="s">
        <v>140</v>
      </c>
      <c r="AB142" s="467" t="s">
        <v>283</v>
      </c>
      <c r="AC142" s="503" t="s">
        <v>283</v>
      </c>
      <c r="AD142" s="501" t="s">
        <v>140</v>
      </c>
      <c r="AE142" s="467" t="s">
        <v>283</v>
      </c>
      <c r="AF142" s="503" t="s">
        <v>283</v>
      </c>
      <c r="AG142" s="501" t="s">
        <v>140</v>
      </c>
      <c r="AH142" s="467" t="s">
        <v>283</v>
      </c>
      <c r="AI142" s="503" t="s">
        <v>283</v>
      </c>
    </row>
    <row r="143" spans="1:35" ht="22.5" x14ac:dyDescent="0.2">
      <c r="A143" s="62"/>
      <c r="B143" s="500" t="s">
        <v>177</v>
      </c>
      <c r="C143" s="501" t="s">
        <v>178</v>
      </c>
      <c r="D143" s="502" t="s">
        <v>87</v>
      </c>
      <c r="E143" s="468" t="s">
        <v>82</v>
      </c>
      <c r="F143" s="459" t="s">
        <v>178</v>
      </c>
      <c r="G143" s="502" t="s">
        <v>87</v>
      </c>
      <c r="H143" s="468" t="s">
        <v>82</v>
      </c>
      <c r="I143" s="459" t="s">
        <v>178</v>
      </c>
      <c r="J143" s="502" t="s">
        <v>87</v>
      </c>
      <c r="K143" s="468" t="s">
        <v>82</v>
      </c>
      <c r="L143" s="459" t="s">
        <v>178</v>
      </c>
      <c r="M143" s="502" t="s">
        <v>87</v>
      </c>
      <c r="N143" s="468" t="s">
        <v>82</v>
      </c>
      <c r="O143" s="464" t="s">
        <v>209</v>
      </c>
      <c r="P143" s="512" t="s">
        <v>274</v>
      </c>
      <c r="Q143" s="512" t="s">
        <v>14</v>
      </c>
      <c r="R143" s="513" t="s">
        <v>475</v>
      </c>
      <c r="S143" s="513" t="s">
        <v>476</v>
      </c>
      <c r="T143" s="513" t="s">
        <v>477</v>
      </c>
      <c r="U143" s="513" t="s">
        <v>478</v>
      </c>
      <c r="V143" s="512" t="s">
        <v>274</v>
      </c>
      <c r="W143" s="512" t="s">
        <v>14</v>
      </c>
      <c r="X143" s="501" t="s">
        <v>278</v>
      </c>
      <c r="Y143" s="502" t="s">
        <v>281</v>
      </c>
      <c r="Z143" s="468" t="s">
        <v>282</v>
      </c>
      <c r="AA143" s="501" t="s">
        <v>278</v>
      </c>
      <c r="AB143" s="502" t="s">
        <v>281</v>
      </c>
      <c r="AC143" s="468" t="s">
        <v>282</v>
      </c>
      <c r="AD143" s="501" t="s">
        <v>278</v>
      </c>
      <c r="AE143" s="502" t="s">
        <v>281</v>
      </c>
      <c r="AF143" s="468" t="s">
        <v>282</v>
      </c>
      <c r="AG143" s="501" t="s">
        <v>278</v>
      </c>
      <c r="AH143" s="502" t="s">
        <v>281</v>
      </c>
      <c r="AI143" s="468" t="s">
        <v>282</v>
      </c>
    </row>
    <row r="144" spans="1:35" ht="23.25" thickBot="1" x14ac:dyDescent="0.25">
      <c r="A144" s="62"/>
      <c r="B144" s="516" t="s">
        <v>74</v>
      </c>
      <c r="C144" s="469"/>
      <c r="D144" s="517" t="s">
        <v>179</v>
      </c>
      <c r="E144" s="473" t="s">
        <v>86</v>
      </c>
      <c r="F144" s="469"/>
      <c r="G144" s="517" t="s">
        <v>179</v>
      </c>
      <c r="H144" s="473" t="s">
        <v>86</v>
      </c>
      <c r="I144" s="469"/>
      <c r="J144" s="517" t="s">
        <v>179</v>
      </c>
      <c r="K144" s="473" t="s">
        <v>86</v>
      </c>
      <c r="L144" s="469"/>
      <c r="M144" s="517" t="s">
        <v>179</v>
      </c>
      <c r="N144" s="473" t="s">
        <v>86</v>
      </c>
      <c r="O144" s="474" t="s">
        <v>91</v>
      </c>
      <c r="P144" s="525"/>
      <c r="Q144" s="525"/>
      <c r="R144" s="564">
        <f>'D1. Member Months'!N39-1</f>
        <v>46112</v>
      </c>
      <c r="S144" s="564">
        <f>'D1. Member Months'!O39-1</f>
        <v>46203</v>
      </c>
      <c r="T144" s="564">
        <f>'D1. Member Months'!P39-1</f>
        <v>46295</v>
      </c>
      <c r="U144" s="565">
        <f>'D1. Member Months'!N7</f>
        <v>46387</v>
      </c>
      <c r="V144" s="525"/>
      <c r="W144" s="525"/>
      <c r="X144" s="469">
        <f>R144</f>
        <v>46112</v>
      </c>
      <c r="Y144" s="517" t="s">
        <v>279</v>
      </c>
      <c r="Z144" s="473"/>
      <c r="AA144" s="469">
        <f>S144</f>
        <v>46203</v>
      </c>
      <c r="AB144" s="517" t="s">
        <v>279</v>
      </c>
      <c r="AC144" s="473"/>
      <c r="AD144" s="469">
        <f>T144</f>
        <v>46295</v>
      </c>
      <c r="AE144" s="517" t="s">
        <v>279</v>
      </c>
      <c r="AF144" s="473"/>
      <c r="AG144" s="469">
        <f>U144</f>
        <v>46387</v>
      </c>
      <c r="AH144" s="517" t="s">
        <v>279</v>
      </c>
      <c r="AI144" s="473"/>
    </row>
    <row r="145" spans="1:35" ht="12" thickBot="1" x14ac:dyDescent="0.25">
      <c r="A145" s="62"/>
      <c r="B145" s="338" t="s">
        <v>519</v>
      </c>
      <c r="C145" s="526">
        <f>'D1. Member Months'!M40</f>
        <v>9194976.25</v>
      </c>
      <c r="D145" s="527">
        <f>C145*($D130+$E130+$F130)</f>
        <v>5740836701.2840319</v>
      </c>
      <c r="E145" s="528">
        <f>C145*$G130</f>
        <v>19262824.767550904</v>
      </c>
      <c r="F145" s="526">
        <f>'D1. Member Months'!N40</f>
        <v>9194976.25</v>
      </c>
      <c r="G145" s="527">
        <f>F145*($D130+$E130+$F130)</f>
        <v>5740836701.2840319</v>
      </c>
      <c r="H145" s="528">
        <f>F145*$G130</f>
        <v>19262824.767550904</v>
      </c>
      <c r="I145" s="526">
        <f>'D1. Member Months'!O40</f>
        <v>9194976.25</v>
      </c>
      <c r="J145" s="527">
        <f>I145*($D130+$E130+$F130)</f>
        <v>5740836701.2840319</v>
      </c>
      <c r="K145" s="528">
        <f>I145*$G130</f>
        <v>19262824.767550904</v>
      </c>
      <c r="L145" s="526">
        <f>'D1. Member Months'!P40</f>
        <v>9194976.25</v>
      </c>
      <c r="M145" s="527">
        <f>L145*($D130+$E130+$F130)</f>
        <v>5740836701.2840319</v>
      </c>
      <c r="N145" s="528">
        <f>L145*$G130</f>
        <v>19262824.767550904</v>
      </c>
      <c r="O145" s="566">
        <f>D145+E145+G145+H145+J145+K145+M145+N145</f>
        <v>23040398104.206329</v>
      </c>
      <c r="P145" s="553"/>
      <c r="Q145" s="241" t="s">
        <v>519</v>
      </c>
      <c r="R145" s="531">
        <f>D145</f>
        <v>5740836701.2840319</v>
      </c>
      <c r="S145" s="531">
        <f>G145</f>
        <v>5740836701.2840319</v>
      </c>
      <c r="T145" s="531">
        <f>J145</f>
        <v>5740836701.2840319</v>
      </c>
      <c r="U145" s="531">
        <f>M145</f>
        <v>5740836701.2840319</v>
      </c>
      <c r="V145" s="553"/>
      <c r="W145" s="338" t="s">
        <v>519</v>
      </c>
      <c r="X145" s="533"/>
      <c r="Y145" s="534"/>
      <c r="Z145" s="535" t="e">
        <f>Y145/X145</f>
        <v>#DIV/0!</v>
      </c>
      <c r="AA145" s="533"/>
      <c r="AB145" s="534"/>
      <c r="AC145" s="535" t="e">
        <f>AB145/AA145</f>
        <v>#DIV/0!</v>
      </c>
      <c r="AD145" s="533"/>
      <c r="AE145" s="534"/>
      <c r="AF145" s="535" t="e">
        <f>AE145/AD145</f>
        <v>#DIV/0!</v>
      </c>
      <c r="AG145" s="533"/>
      <c r="AH145" s="534"/>
      <c r="AI145" s="535" t="e">
        <f>AH145/AG145</f>
        <v>#DIV/0!</v>
      </c>
    </row>
    <row r="146" spans="1:35" ht="12" thickBot="1" x14ac:dyDescent="0.25">
      <c r="A146" s="62"/>
      <c r="B146" s="338" t="s">
        <v>525</v>
      </c>
      <c r="C146" s="526">
        <f>'D1. Member Months'!M41</f>
        <v>0</v>
      </c>
      <c r="D146" s="527">
        <f t="shared" ref="D146:D152" si="82">C146*($D131+$E131+$F131)</f>
        <v>0</v>
      </c>
      <c r="E146" s="528">
        <f t="shared" ref="E146:E152" si="83">C146*$G131</f>
        <v>0</v>
      </c>
      <c r="F146" s="526">
        <f>'D1. Member Months'!N41</f>
        <v>0</v>
      </c>
      <c r="G146" s="527">
        <f t="shared" ref="G146:G152" si="84">F146*($D131+$E131+$F131)</f>
        <v>0</v>
      </c>
      <c r="H146" s="528">
        <f t="shared" ref="H146:H152" si="85">F146*$G131</f>
        <v>0</v>
      </c>
      <c r="I146" s="526">
        <f>'D1. Member Months'!O41</f>
        <v>0</v>
      </c>
      <c r="J146" s="527">
        <f t="shared" ref="J146:J152" si="86">I146*($D131+$E131+$F131)</f>
        <v>0</v>
      </c>
      <c r="K146" s="528">
        <f t="shared" ref="K146:K152" si="87">I146*$G131</f>
        <v>0</v>
      </c>
      <c r="L146" s="526">
        <f>'D1. Member Months'!P41</f>
        <v>0</v>
      </c>
      <c r="M146" s="527">
        <f t="shared" ref="M146:M152" si="88">L146*($D131+$E131+$F131)</f>
        <v>0</v>
      </c>
      <c r="N146" s="528">
        <f t="shared" ref="N146:N152" si="89">L146*$G131</f>
        <v>0</v>
      </c>
      <c r="O146" s="566">
        <f t="shared" ref="O146:O152" si="90">D146+E146+G146+H146+J146+K146+M146+N146</f>
        <v>0</v>
      </c>
      <c r="P146" s="553"/>
      <c r="Q146" s="241" t="s">
        <v>525</v>
      </c>
      <c r="R146" s="531">
        <f t="shared" ref="R146:R152" si="91">D146</f>
        <v>0</v>
      </c>
      <c r="S146" s="531">
        <f t="shared" ref="S146:S152" si="92">G146</f>
        <v>0</v>
      </c>
      <c r="T146" s="531">
        <f t="shared" ref="T146:T152" si="93">J146</f>
        <v>0</v>
      </c>
      <c r="U146" s="531">
        <f t="shared" ref="U146:U152" si="94">M146</f>
        <v>0</v>
      </c>
      <c r="V146" s="553"/>
      <c r="W146" s="241" t="s">
        <v>525</v>
      </c>
      <c r="X146" s="533"/>
      <c r="Y146" s="534"/>
      <c r="Z146" s="535" t="e">
        <f t="shared" ref="Z146:Z152" si="95">Y146/X146</f>
        <v>#DIV/0!</v>
      </c>
      <c r="AA146" s="533"/>
      <c r="AB146" s="534"/>
      <c r="AC146" s="535" t="e">
        <f t="shared" ref="AC146:AC152" si="96">AB146/AA146</f>
        <v>#DIV/0!</v>
      </c>
      <c r="AD146" s="533"/>
      <c r="AE146" s="534"/>
      <c r="AF146" s="535" t="e">
        <f t="shared" ref="AF146:AF152" si="97">AE146/AD146</f>
        <v>#DIV/0!</v>
      </c>
      <c r="AG146" s="533"/>
      <c r="AH146" s="534"/>
      <c r="AI146" s="535" t="e">
        <f t="shared" ref="AI146:AI152" si="98">AH146/AG146</f>
        <v>#DIV/0!</v>
      </c>
    </row>
    <row r="147" spans="1:35" ht="12" thickBot="1" x14ac:dyDescent="0.25">
      <c r="A147" s="62"/>
      <c r="B147" s="338" t="s">
        <v>520</v>
      </c>
      <c r="C147" s="526">
        <f>'D1. Member Months'!M42</f>
        <v>0</v>
      </c>
      <c r="D147" s="527">
        <f t="shared" si="82"/>
        <v>0</v>
      </c>
      <c r="E147" s="528">
        <f t="shared" si="83"/>
        <v>0</v>
      </c>
      <c r="F147" s="526">
        <f>'D1. Member Months'!N42</f>
        <v>0</v>
      </c>
      <c r="G147" s="527">
        <f t="shared" si="84"/>
        <v>0</v>
      </c>
      <c r="H147" s="528">
        <f t="shared" si="85"/>
        <v>0</v>
      </c>
      <c r="I147" s="526">
        <f>'D1. Member Months'!O42</f>
        <v>0</v>
      </c>
      <c r="J147" s="527">
        <f t="shared" si="86"/>
        <v>0</v>
      </c>
      <c r="K147" s="528">
        <f t="shared" si="87"/>
        <v>0</v>
      </c>
      <c r="L147" s="526">
        <f>'D1. Member Months'!P42</f>
        <v>0</v>
      </c>
      <c r="M147" s="527">
        <f t="shared" si="88"/>
        <v>0</v>
      </c>
      <c r="N147" s="528">
        <f t="shared" si="89"/>
        <v>0</v>
      </c>
      <c r="O147" s="566">
        <f t="shared" si="90"/>
        <v>0</v>
      </c>
      <c r="P147" s="553"/>
      <c r="Q147" s="241" t="s">
        <v>520</v>
      </c>
      <c r="R147" s="531">
        <f t="shared" si="91"/>
        <v>0</v>
      </c>
      <c r="S147" s="531">
        <f t="shared" si="92"/>
        <v>0</v>
      </c>
      <c r="T147" s="531">
        <f t="shared" si="93"/>
        <v>0</v>
      </c>
      <c r="U147" s="531">
        <f t="shared" si="94"/>
        <v>0</v>
      </c>
      <c r="V147" s="553"/>
      <c r="W147" s="338" t="s">
        <v>520</v>
      </c>
      <c r="X147" s="533"/>
      <c r="Y147" s="534"/>
      <c r="Z147" s="535" t="e">
        <f t="shared" si="95"/>
        <v>#DIV/0!</v>
      </c>
      <c r="AA147" s="533"/>
      <c r="AB147" s="534"/>
      <c r="AC147" s="535" t="e">
        <f t="shared" si="96"/>
        <v>#DIV/0!</v>
      </c>
      <c r="AD147" s="533"/>
      <c r="AE147" s="534"/>
      <c r="AF147" s="535" t="e">
        <f t="shared" si="97"/>
        <v>#DIV/0!</v>
      </c>
      <c r="AG147" s="533"/>
      <c r="AH147" s="534"/>
      <c r="AI147" s="535" t="e">
        <f t="shared" si="98"/>
        <v>#DIV/0!</v>
      </c>
    </row>
    <row r="148" spans="1:35" ht="12" thickBot="1" x14ac:dyDescent="0.25">
      <c r="A148" s="62"/>
      <c r="B148" s="338" t="s">
        <v>518</v>
      </c>
      <c r="C148" s="526">
        <f>'D1. Member Months'!M43</f>
        <v>13534976.25</v>
      </c>
      <c r="D148" s="527">
        <f t="shared" si="82"/>
        <v>3911574897.8791256</v>
      </c>
      <c r="E148" s="528">
        <f t="shared" si="83"/>
        <v>13099000.198108306</v>
      </c>
      <c r="F148" s="526">
        <f>'D1. Member Months'!N43</f>
        <v>13534976.25</v>
      </c>
      <c r="G148" s="527">
        <f t="shared" si="84"/>
        <v>3911574897.8791256</v>
      </c>
      <c r="H148" s="528">
        <f t="shared" si="85"/>
        <v>13099000.198108306</v>
      </c>
      <c r="I148" s="526">
        <f>'D1. Member Months'!O43</f>
        <v>13534976.25</v>
      </c>
      <c r="J148" s="527">
        <f t="shared" si="86"/>
        <v>3911574897.8791256</v>
      </c>
      <c r="K148" s="528">
        <f t="shared" si="87"/>
        <v>13099000.198108306</v>
      </c>
      <c r="L148" s="526">
        <f>'D1. Member Months'!P43</f>
        <v>13534976.25</v>
      </c>
      <c r="M148" s="527">
        <f t="shared" si="88"/>
        <v>3911574897.8791256</v>
      </c>
      <c r="N148" s="528">
        <f t="shared" si="89"/>
        <v>13099000.198108306</v>
      </c>
      <c r="O148" s="566">
        <f t="shared" si="90"/>
        <v>15698695592.308937</v>
      </c>
      <c r="P148" s="553"/>
      <c r="Q148" s="241" t="s">
        <v>518</v>
      </c>
      <c r="R148" s="531">
        <f t="shared" si="91"/>
        <v>3911574897.8791256</v>
      </c>
      <c r="S148" s="531">
        <f t="shared" si="92"/>
        <v>3911574897.8791256</v>
      </c>
      <c r="T148" s="531">
        <f t="shared" si="93"/>
        <v>3911574897.8791256</v>
      </c>
      <c r="U148" s="531">
        <f t="shared" si="94"/>
        <v>3911574897.8791256</v>
      </c>
      <c r="V148" s="553"/>
      <c r="W148" s="338" t="s">
        <v>518</v>
      </c>
      <c r="X148" s="533"/>
      <c r="Y148" s="534"/>
      <c r="Z148" s="535" t="e">
        <f t="shared" si="95"/>
        <v>#DIV/0!</v>
      </c>
      <c r="AA148" s="533"/>
      <c r="AB148" s="534"/>
      <c r="AC148" s="535" t="e">
        <f t="shared" si="96"/>
        <v>#DIV/0!</v>
      </c>
      <c r="AD148" s="533"/>
      <c r="AE148" s="534"/>
      <c r="AF148" s="535" t="e">
        <f t="shared" si="97"/>
        <v>#DIV/0!</v>
      </c>
      <c r="AG148" s="533"/>
      <c r="AH148" s="534"/>
      <c r="AI148" s="535" t="e">
        <f t="shared" si="98"/>
        <v>#DIV/0!</v>
      </c>
    </row>
    <row r="149" spans="1:35" ht="12" thickBot="1" x14ac:dyDescent="0.25">
      <c r="A149" s="62"/>
      <c r="B149" s="338" t="s">
        <v>521</v>
      </c>
      <c r="C149" s="526">
        <f>'D1. Member Months'!M44</f>
        <v>248720.5</v>
      </c>
      <c r="D149" s="527">
        <f t="shared" si="82"/>
        <v>73572097.959227636</v>
      </c>
      <c r="E149" s="528">
        <f t="shared" si="83"/>
        <v>234822.40342600667</v>
      </c>
      <c r="F149" s="526">
        <f>'D1. Member Months'!N44</f>
        <v>248720.5</v>
      </c>
      <c r="G149" s="527">
        <f t="shared" si="84"/>
        <v>73572097.959227636</v>
      </c>
      <c r="H149" s="528">
        <f t="shared" si="85"/>
        <v>234822.40342600667</v>
      </c>
      <c r="I149" s="526">
        <f>'D1. Member Months'!O44</f>
        <v>248720.5</v>
      </c>
      <c r="J149" s="527">
        <f t="shared" si="86"/>
        <v>73572097.959227636</v>
      </c>
      <c r="K149" s="528">
        <f t="shared" si="87"/>
        <v>234822.40342600667</v>
      </c>
      <c r="L149" s="526">
        <f>'D1. Member Months'!P44</f>
        <v>248720.5</v>
      </c>
      <c r="M149" s="527">
        <f t="shared" si="88"/>
        <v>73572097.959227636</v>
      </c>
      <c r="N149" s="528">
        <f t="shared" si="89"/>
        <v>234822.40342600667</v>
      </c>
      <c r="O149" s="566">
        <f t="shared" si="90"/>
        <v>295227681.45061463</v>
      </c>
      <c r="P149" s="553"/>
      <c r="Q149" s="241" t="s">
        <v>521</v>
      </c>
      <c r="R149" s="531">
        <f t="shared" si="91"/>
        <v>73572097.959227636</v>
      </c>
      <c r="S149" s="531">
        <f t="shared" si="92"/>
        <v>73572097.959227636</v>
      </c>
      <c r="T149" s="531">
        <f t="shared" si="93"/>
        <v>73572097.959227636</v>
      </c>
      <c r="U149" s="531">
        <f t="shared" si="94"/>
        <v>73572097.959227636</v>
      </c>
      <c r="V149" s="553"/>
      <c r="W149" s="338" t="s">
        <v>521</v>
      </c>
      <c r="X149" s="533"/>
      <c r="Y149" s="534"/>
      <c r="Z149" s="535" t="e">
        <f t="shared" si="95"/>
        <v>#DIV/0!</v>
      </c>
      <c r="AA149" s="533"/>
      <c r="AB149" s="534"/>
      <c r="AC149" s="535" t="e">
        <f t="shared" si="96"/>
        <v>#DIV/0!</v>
      </c>
      <c r="AD149" s="533"/>
      <c r="AE149" s="534"/>
      <c r="AF149" s="535" t="e">
        <f t="shared" si="97"/>
        <v>#DIV/0!</v>
      </c>
      <c r="AG149" s="533"/>
      <c r="AH149" s="534"/>
      <c r="AI149" s="535" t="e">
        <f t="shared" si="98"/>
        <v>#DIV/0!</v>
      </c>
    </row>
    <row r="150" spans="1:35" ht="12" thickBot="1" x14ac:dyDescent="0.25">
      <c r="A150" s="62"/>
      <c r="B150" s="338" t="s">
        <v>516</v>
      </c>
      <c r="C150" s="526">
        <f>'D1. Member Months'!M45</f>
        <v>3717435</v>
      </c>
      <c r="D150" s="527">
        <f t="shared" si="82"/>
        <v>727923810.77507544</v>
      </c>
      <c r="E150" s="528">
        <f t="shared" si="83"/>
        <v>2454121.4003287759</v>
      </c>
      <c r="F150" s="526">
        <f>'D1. Member Months'!N45</f>
        <v>3717435</v>
      </c>
      <c r="G150" s="527">
        <f t="shared" si="84"/>
        <v>727923810.77507544</v>
      </c>
      <c r="H150" s="528">
        <f t="shared" si="85"/>
        <v>2454121.4003287759</v>
      </c>
      <c r="I150" s="526">
        <f>'D1. Member Months'!O45</f>
        <v>3717435</v>
      </c>
      <c r="J150" s="527">
        <f t="shared" si="86"/>
        <v>727923810.77507544</v>
      </c>
      <c r="K150" s="528">
        <f t="shared" si="87"/>
        <v>2454121.4003287759</v>
      </c>
      <c r="L150" s="526">
        <f>'D1. Member Months'!P45</f>
        <v>3717435</v>
      </c>
      <c r="M150" s="527">
        <f t="shared" si="88"/>
        <v>727923810.77507544</v>
      </c>
      <c r="N150" s="528">
        <f t="shared" si="89"/>
        <v>2454121.4003287759</v>
      </c>
      <c r="O150" s="566">
        <f t="shared" si="90"/>
        <v>2921511728.7016168</v>
      </c>
      <c r="P150" s="553"/>
      <c r="Q150" s="241" t="s">
        <v>516</v>
      </c>
      <c r="R150" s="531">
        <f t="shared" si="91"/>
        <v>727923810.77507544</v>
      </c>
      <c r="S150" s="531">
        <f t="shared" si="92"/>
        <v>727923810.77507544</v>
      </c>
      <c r="T150" s="531">
        <f t="shared" si="93"/>
        <v>727923810.77507544</v>
      </c>
      <c r="U150" s="531">
        <f t="shared" si="94"/>
        <v>727923810.77507544</v>
      </c>
      <c r="V150" s="553"/>
      <c r="W150" s="338" t="s">
        <v>516</v>
      </c>
      <c r="X150" s="533"/>
      <c r="Y150" s="534"/>
      <c r="Z150" s="535" t="e">
        <f t="shared" si="95"/>
        <v>#DIV/0!</v>
      </c>
      <c r="AA150" s="533"/>
      <c r="AB150" s="534"/>
      <c r="AC150" s="535" t="e">
        <f t="shared" si="96"/>
        <v>#DIV/0!</v>
      </c>
      <c r="AD150" s="533"/>
      <c r="AE150" s="534"/>
      <c r="AF150" s="535" t="e">
        <f t="shared" si="97"/>
        <v>#DIV/0!</v>
      </c>
      <c r="AG150" s="533"/>
      <c r="AH150" s="534"/>
      <c r="AI150" s="535" t="e">
        <f t="shared" si="98"/>
        <v>#DIV/0!</v>
      </c>
    </row>
    <row r="151" spans="1:35" ht="12" thickBot="1" x14ac:dyDescent="0.25">
      <c r="A151" s="62"/>
      <c r="B151" s="346" t="s">
        <v>517</v>
      </c>
      <c r="C151" s="526">
        <f>'D1. Member Months'!M46</f>
        <v>2328334</v>
      </c>
      <c r="D151" s="527">
        <f t="shared" si="82"/>
        <v>3757487089.3884802</v>
      </c>
      <c r="E151" s="528">
        <f t="shared" si="83"/>
        <v>12365259.468451159</v>
      </c>
      <c r="F151" s="526">
        <f>'D1. Member Months'!N46</f>
        <v>2328334</v>
      </c>
      <c r="G151" s="527">
        <f t="shared" si="84"/>
        <v>3757487089.3884802</v>
      </c>
      <c r="H151" s="528">
        <f t="shared" si="85"/>
        <v>12365259.468451159</v>
      </c>
      <c r="I151" s="526">
        <f>'D1. Member Months'!O46</f>
        <v>2328334</v>
      </c>
      <c r="J151" s="527">
        <f t="shared" si="86"/>
        <v>3757487089.3884802</v>
      </c>
      <c r="K151" s="528">
        <f t="shared" si="87"/>
        <v>12365259.468451159</v>
      </c>
      <c r="L151" s="526">
        <f>'D1. Member Months'!P46</f>
        <v>2328334</v>
      </c>
      <c r="M151" s="527">
        <f t="shared" si="88"/>
        <v>3757487089.3884802</v>
      </c>
      <c r="N151" s="528">
        <f t="shared" si="89"/>
        <v>12365259.468451159</v>
      </c>
      <c r="O151" s="566">
        <f t="shared" si="90"/>
        <v>15079409395.427725</v>
      </c>
      <c r="P151" s="553"/>
      <c r="Q151" s="241" t="s">
        <v>517</v>
      </c>
      <c r="R151" s="531">
        <f t="shared" si="91"/>
        <v>3757487089.3884802</v>
      </c>
      <c r="S151" s="531">
        <f t="shared" si="92"/>
        <v>3757487089.3884802</v>
      </c>
      <c r="T151" s="531">
        <f t="shared" si="93"/>
        <v>3757487089.3884802</v>
      </c>
      <c r="U151" s="531">
        <f t="shared" si="94"/>
        <v>3757487089.3884802</v>
      </c>
      <c r="V151" s="553"/>
      <c r="W151" s="338" t="s">
        <v>517</v>
      </c>
      <c r="X151" s="533"/>
      <c r="Y151" s="534"/>
      <c r="Z151" s="535"/>
      <c r="AA151" s="533"/>
      <c r="AB151" s="534"/>
      <c r="AC151" s="535"/>
      <c r="AD151" s="533"/>
      <c r="AE151" s="534"/>
      <c r="AF151" s="535"/>
      <c r="AG151" s="533"/>
      <c r="AH151" s="534"/>
      <c r="AI151" s="535"/>
    </row>
    <row r="152" spans="1:35" ht="12" thickBot="1" x14ac:dyDescent="0.25">
      <c r="A152" s="62"/>
      <c r="B152" s="346" t="s">
        <v>522</v>
      </c>
      <c r="C152" s="526">
        <f>'D1. Member Months'!M47</f>
        <v>3814458.75</v>
      </c>
      <c r="D152" s="527">
        <f t="shared" si="82"/>
        <v>3021694558.9949036</v>
      </c>
      <c r="E152" s="528">
        <f t="shared" si="83"/>
        <v>7194903.1366223264</v>
      </c>
      <c r="F152" s="526">
        <f>'D1. Member Months'!N47</f>
        <v>3814458.75</v>
      </c>
      <c r="G152" s="527">
        <f t="shared" si="84"/>
        <v>3021694558.9949036</v>
      </c>
      <c r="H152" s="528">
        <f t="shared" si="85"/>
        <v>7194903.1366223264</v>
      </c>
      <c r="I152" s="526">
        <f>'D1. Member Months'!O47</f>
        <v>3814458.75</v>
      </c>
      <c r="J152" s="527">
        <f t="shared" si="86"/>
        <v>3021694558.9949036</v>
      </c>
      <c r="K152" s="528">
        <f t="shared" si="87"/>
        <v>7194903.1366223264</v>
      </c>
      <c r="L152" s="526">
        <f>'D1. Member Months'!P47</f>
        <v>3814458.75</v>
      </c>
      <c r="M152" s="527">
        <f t="shared" si="88"/>
        <v>3021694558.9949036</v>
      </c>
      <c r="N152" s="528">
        <f t="shared" si="89"/>
        <v>7194903.1366223264</v>
      </c>
      <c r="O152" s="566">
        <f t="shared" si="90"/>
        <v>12115557848.526102</v>
      </c>
      <c r="P152" s="553"/>
      <c r="Q152" s="241" t="s">
        <v>522</v>
      </c>
      <c r="R152" s="531">
        <f t="shared" si="91"/>
        <v>3021694558.9949036</v>
      </c>
      <c r="S152" s="531">
        <f t="shared" si="92"/>
        <v>3021694558.9949036</v>
      </c>
      <c r="T152" s="531">
        <f t="shared" si="93"/>
        <v>3021694558.9949036</v>
      </c>
      <c r="U152" s="531">
        <f t="shared" si="94"/>
        <v>3021694558.9949036</v>
      </c>
      <c r="V152" s="553"/>
      <c r="W152" s="346" t="s">
        <v>522</v>
      </c>
      <c r="X152" s="533"/>
      <c r="Y152" s="534"/>
      <c r="Z152" s="535" t="e">
        <f t="shared" si="95"/>
        <v>#DIV/0!</v>
      </c>
      <c r="AA152" s="533"/>
      <c r="AB152" s="534"/>
      <c r="AC152" s="535" t="e">
        <f t="shared" si="96"/>
        <v>#DIV/0!</v>
      </c>
      <c r="AD152" s="533"/>
      <c r="AE152" s="534"/>
      <c r="AF152" s="535" t="e">
        <f t="shared" si="97"/>
        <v>#DIV/0!</v>
      </c>
      <c r="AG152" s="533"/>
      <c r="AH152" s="534"/>
      <c r="AI152" s="535" t="e">
        <f t="shared" si="98"/>
        <v>#DIV/0!</v>
      </c>
    </row>
    <row r="153" spans="1:35" ht="12.75" thickTop="1" thickBot="1" x14ac:dyDescent="0.25">
      <c r="A153" s="62"/>
      <c r="B153" s="536" t="s">
        <v>98</v>
      </c>
      <c r="C153" s="537">
        <f t="shared" ref="C153:O153" si="99">SUM(C145:C152)</f>
        <v>32838900.75</v>
      </c>
      <c r="D153" s="538">
        <f t="shared" si="99"/>
        <v>17233089156.280846</v>
      </c>
      <c r="E153" s="539">
        <f t="shared" si="99"/>
        <v>54610931.374487475</v>
      </c>
      <c r="F153" s="537">
        <f t="shared" si="99"/>
        <v>32838900.75</v>
      </c>
      <c r="G153" s="538">
        <f t="shared" si="99"/>
        <v>17233089156.280846</v>
      </c>
      <c r="H153" s="539">
        <f t="shared" si="99"/>
        <v>54610931.374487475</v>
      </c>
      <c r="I153" s="537">
        <f t="shared" si="99"/>
        <v>32838900.75</v>
      </c>
      <c r="J153" s="538">
        <f t="shared" si="99"/>
        <v>17233089156.280846</v>
      </c>
      <c r="K153" s="539">
        <f t="shared" si="99"/>
        <v>54610931.374487475</v>
      </c>
      <c r="L153" s="537">
        <f t="shared" si="99"/>
        <v>32838900.75</v>
      </c>
      <c r="M153" s="538">
        <f t="shared" si="99"/>
        <v>17233089156.280846</v>
      </c>
      <c r="N153" s="539">
        <f t="shared" si="99"/>
        <v>54610931.374487475</v>
      </c>
      <c r="O153" s="540">
        <f t="shared" si="99"/>
        <v>69150800350.621323</v>
      </c>
      <c r="P153" s="543"/>
      <c r="Q153" s="543"/>
      <c r="R153" s="542">
        <f>SUM(R145:R152)</f>
        <v>17233089156.280846</v>
      </c>
      <c r="S153" s="542">
        <f>SUM(S145:S152)</f>
        <v>17233089156.280846</v>
      </c>
      <c r="T153" s="542">
        <f>SUM(T145:T152)</f>
        <v>17233089156.280846</v>
      </c>
      <c r="U153" s="542">
        <f>SUM(U145:U152)</f>
        <v>17233089156.280846</v>
      </c>
      <c r="V153" s="543"/>
      <c r="W153" s="544" t="s">
        <v>24</v>
      </c>
      <c r="X153" s="569"/>
      <c r="Y153" s="570"/>
      <c r="Z153" s="571" t="e">
        <f>Y153/X153</f>
        <v>#DIV/0!</v>
      </c>
      <c r="AA153" s="569"/>
      <c r="AB153" s="570"/>
      <c r="AC153" s="571" t="e">
        <f>AB153/AA153</f>
        <v>#DIV/0!</v>
      </c>
      <c r="AD153" s="569"/>
      <c r="AE153" s="570"/>
      <c r="AF153" s="571" t="e">
        <f>AE153/AD153</f>
        <v>#DIV/0!</v>
      </c>
      <c r="AG153" s="569"/>
      <c r="AH153" s="570"/>
      <c r="AI153" s="571" t="e">
        <f>AH153/AG153</f>
        <v>#DIV/0!</v>
      </c>
    </row>
  </sheetData>
  <phoneticPr fontId="0" type="noConversion"/>
  <pageMargins left="0.25" right="0.25" top="1.25" bottom="0.75" header="0.75" footer="0.5"/>
  <pageSetup scale="50" fitToWidth="3" orientation="landscape" r:id="rId1"/>
  <headerFooter alignWithMargins="0">
    <oddHeader xml:space="preserve">&amp;L&amp;"Arial,Bold"&amp;12State of &amp;C&amp;"Arial,Bold"&amp;12Appendix &amp;A&amp;R&amp;"Arial,Bold"&amp;12 </oddHeader>
    <oddFooter>&amp;L&amp;8'&amp;A'&amp;C&amp;8&amp;P of &amp;N&amp;R&amp;8&amp;F</oddFooter>
  </headerFooter>
  <rowBreaks count="1" manualBreakCount="1">
    <brk id="79" max="34" man="1"/>
  </rowBreaks>
  <colBreaks count="2" manualBreakCount="2">
    <brk id="15" max="114" man="1"/>
    <brk id="21" max="1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0"/>
  <sheetViews>
    <sheetView showGridLines="0" zoomScale="70" zoomScaleNormal="70" workbookViewId="0">
      <selection activeCell="P1" sqref="P1:XFD1048576"/>
    </sheetView>
  </sheetViews>
  <sheetFormatPr defaultColWidth="0" defaultRowHeight="12.75" zeroHeight="1" x14ac:dyDescent="0.2"/>
  <cols>
    <col min="1" max="1" width="6.5703125" style="62" customWidth="1"/>
    <col min="2" max="2" width="50.140625" style="66" customWidth="1"/>
    <col min="3" max="3" width="15.85546875" style="66" customWidth="1"/>
    <col min="4" max="4" width="17" style="66" customWidth="1"/>
    <col min="5" max="5" width="15.85546875" style="66" customWidth="1"/>
    <col min="6" max="6" width="16.85546875" style="66" customWidth="1"/>
    <col min="7" max="7" width="15.85546875" style="66" customWidth="1"/>
    <col min="8" max="8" width="22.140625" style="66" customWidth="1"/>
    <col min="9" max="9" width="15.5703125" style="193" bestFit="1" customWidth="1"/>
    <col min="10" max="10" width="15.140625" customWidth="1"/>
    <col min="11" max="15" width="15.85546875" style="66" customWidth="1"/>
    <col min="16" max="18" width="15.85546875" style="66" hidden="1"/>
    <col min="19" max="16384" width="9.140625" style="63" hidden="1"/>
  </cols>
  <sheetData>
    <row r="1" spans="1:18" s="62" customFormat="1" x14ac:dyDescent="0.2">
      <c r="A1" s="288" t="s">
        <v>545</v>
      </c>
      <c r="B1" s="62" t="s">
        <v>1</v>
      </c>
      <c r="C1" s="62" t="s">
        <v>2</v>
      </c>
      <c r="D1" s="62" t="s">
        <v>3</v>
      </c>
      <c r="E1" s="62" t="s">
        <v>4</v>
      </c>
      <c r="F1" s="62" t="s">
        <v>5</v>
      </c>
      <c r="G1" s="62" t="s">
        <v>6</v>
      </c>
      <c r="H1" s="62" t="s">
        <v>7</v>
      </c>
      <c r="I1" s="190" t="s">
        <v>8</v>
      </c>
      <c r="J1"/>
      <c r="K1" s="62" t="s">
        <v>9</v>
      </c>
      <c r="L1" s="62" t="s">
        <v>10</v>
      </c>
      <c r="M1" s="62" t="s">
        <v>11</v>
      </c>
      <c r="N1" s="62" t="s">
        <v>12</v>
      </c>
      <c r="O1" s="62" t="s">
        <v>13</v>
      </c>
    </row>
    <row r="2" spans="1:18" x14ac:dyDescent="0.2">
      <c r="B2" s="490" t="s">
        <v>241</v>
      </c>
      <c r="C2" s="65"/>
      <c r="D2" s="65"/>
      <c r="E2" s="65"/>
      <c r="F2" s="65"/>
      <c r="G2" s="65"/>
      <c r="H2" s="65"/>
      <c r="I2" s="191"/>
      <c r="K2" s="90"/>
      <c r="L2" s="65"/>
      <c r="M2" s="65"/>
      <c r="N2" s="65"/>
      <c r="O2" s="65"/>
      <c r="P2" s="65"/>
      <c r="Q2" s="65"/>
      <c r="R2" s="65"/>
    </row>
    <row r="3" spans="1:18" customFormat="1" x14ac:dyDescent="0.2">
      <c r="A3" s="62"/>
      <c r="D3" s="212" t="s">
        <v>398</v>
      </c>
      <c r="E3" s="212" t="str">
        <f>'D1. Member Months'!G4</f>
        <v>California</v>
      </c>
      <c r="I3" s="192"/>
    </row>
    <row r="4" spans="1:18" x14ac:dyDescent="0.2">
      <c r="B4" s="106"/>
      <c r="C4" s="65"/>
      <c r="D4" s="65"/>
      <c r="E4" s="65"/>
      <c r="F4" s="65"/>
      <c r="G4" s="65"/>
      <c r="H4" s="65"/>
      <c r="I4" s="191"/>
      <c r="K4" s="90"/>
      <c r="L4" s="65"/>
      <c r="M4" s="65"/>
      <c r="N4" s="65"/>
      <c r="O4" s="65"/>
      <c r="P4" s="65"/>
      <c r="Q4" s="65"/>
      <c r="R4" s="65"/>
    </row>
    <row r="5" spans="1:18" x14ac:dyDescent="0.2">
      <c r="B5" s="106"/>
      <c r="C5" s="65"/>
      <c r="D5" s="65"/>
      <c r="E5" s="65"/>
      <c r="F5" s="65"/>
      <c r="G5" s="65"/>
      <c r="H5" s="65"/>
      <c r="I5" s="191"/>
      <c r="K5" s="572" t="s">
        <v>259</v>
      </c>
      <c r="L5" s="119"/>
      <c r="M5" s="119"/>
      <c r="N5" s="119"/>
      <c r="O5" s="120"/>
    </row>
    <row r="6" spans="1:18" x14ac:dyDescent="0.2">
      <c r="B6" s="106"/>
      <c r="C6" s="65"/>
      <c r="D6" s="65"/>
      <c r="E6" s="65"/>
      <c r="F6" s="65"/>
      <c r="G6" s="65"/>
      <c r="H6" s="65"/>
      <c r="I6" s="191"/>
      <c r="K6" s="573" t="s">
        <v>258</v>
      </c>
      <c r="L6" s="121"/>
      <c r="M6" s="121"/>
      <c r="N6" s="121"/>
      <c r="O6" s="122"/>
    </row>
    <row r="7" spans="1:18" s="66" customFormat="1" ht="13.5" customHeight="1" thickBot="1" x14ac:dyDescent="0.25">
      <c r="A7" s="62"/>
      <c r="B7" s="597" t="s">
        <v>252</v>
      </c>
      <c r="C7" s="82"/>
      <c r="D7" s="82"/>
      <c r="E7" s="82"/>
      <c r="F7" s="82"/>
      <c r="G7" s="82"/>
      <c r="H7" s="82"/>
      <c r="I7" s="191" t="s">
        <v>163</v>
      </c>
      <c r="J7"/>
      <c r="K7" s="82"/>
      <c r="L7" s="65"/>
      <c r="M7" s="64"/>
      <c r="N7" s="64"/>
      <c r="O7" s="64"/>
      <c r="P7" s="64"/>
      <c r="Q7" s="64"/>
      <c r="R7" s="82"/>
    </row>
    <row r="8" spans="1:18" s="66" customFormat="1" ht="13.5" customHeight="1" x14ac:dyDescent="0.2">
      <c r="A8" s="62"/>
      <c r="B8" s="598"/>
      <c r="C8" s="599"/>
      <c r="D8" s="600" t="s">
        <v>247</v>
      </c>
      <c r="E8" s="600"/>
      <c r="F8" s="600"/>
      <c r="G8" s="600"/>
      <c r="H8" s="601"/>
      <c r="I8" s="193"/>
      <c r="J8"/>
      <c r="K8" s="455" t="s">
        <v>260</v>
      </c>
      <c r="L8" s="456"/>
      <c r="M8" s="456"/>
      <c r="N8" s="456"/>
      <c r="O8" s="574"/>
    </row>
    <row r="9" spans="1:18" s="107" customFormat="1" ht="13.5" customHeight="1" x14ac:dyDescent="0.2">
      <c r="A9" s="62"/>
      <c r="B9" s="602" t="s">
        <v>174</v>
      </c>
      <c r="C9" s="603" t="s">
        <v>245</v>
      </c>
      <c r="D9" s="603" t="s">
        <v>246</v>
      </c>
      <c r="E9" s="603" t="s">
        <v>246</v>
      </c>
      <c r="F9" s="603" t="s">
        <v>246</v>
      </c>
      <c r="G9" s="603" t="s">
        <v>246</v>
      </c>
      <c r="H9" s="604" t="s">
        <v>246</v>
      </c>
      <c r="I9" s="194"/>
      <c r="J9"/>
      <c r="K9" s="461" t="s">
        <v>161</v>
      </c>
      <c r="L9" s="462" t="s">
        <v>161</v>
      </c>
      <c r="M9" s="462" t="s">
        <v>161</v>
      </c>
      <c r="N9" s="462" t="s">
        <v>161</v>
      </c>
      <c r="O9" s="463" t="s">
        <v>161</v>
      </c>
    </row>
    <row r="10" spans="1:18" s="107" customFormat="1" ht="13.5" customHeight="1" x14ac:dyDescent="0.2">
      <c r="A10" s="62"/>
      <c r="B10" s="602" t="s">
        <v>177</v>
      </c>
      <c r="C10" s="603" t="s">
        <v>75</v>
      </c>
      <c r="D10" s="603" t="s">
        <v>78</v>
      </c>
      <c r="E10" s="603" t="s">
        <v>81</v>
      </c>
      <c r="F10" s="603" t="s">
        <v>27</v>
      </c>
      <c r="G10" s="603" t="s">
        <v>82</v>
      </c>
      <c r="H10" s="604" t="s">
        <v>83</v>
      </c>
      <c r="I10" s="194"/>
      <c r="J10"/>
      <c r="K10" s="466" t="s">
        <v>78</v>
      </c>
      <c r="L10" s="467" t="s">
        <v>81</v>
      </c>
      <c r="M10" s="467" t="s">
        <v>27</v>
      </c>
      <c r="N10" s="467" t="s">
        <v>82</v>
      </c>
      <c r="O10" s="468" t="s">
        <v>83</v>
      </c>
    </row>
    <row r="11" spans="1:18" s="66" customFormat="1" ht="13.5" customHeight="1" x14ac:dyDescent="0.2">
      <c r="A11" s="62"/>
      <c r="B11" s="602" t="s">
        <v>74</v>
      </c>
      <c r="C11" s="603" t="s">
        <v>84</v>
      </c>
      <c r="D11" s="603" t="s">
        <v>87</v>
      </c>
      <c r="E11" s="603" t="s">
        <v>86</v>
      </c>
      <c r="F11" s="603" t="s">
        <v>87</v>
      </c>
      <c r="G11" s="603" t="s">
        <v>86</v>
      </c>
      <c r="H11" s="604" t="s">
        <v>91</v>
      </c>
      <c r="I11" s="193"/>
      <c r="J11"/>
      <c r="K11" s="471" t="s">
        <v>87</v>
      </c>
      <c r="L11" s="472" t="s">
        <v>86</v>
      </c>
      <c r="M11" s="472" t="s">
        <v>87</v>
      </c>
      <c r="N11" s="472" t="s">
        <v>86</v>
      </c>
      <c r="O11" s="473" t="s">
        <v>91</v>
      </c>
    </row>
    <row r="12" spans="1:18" s="66" customFormat="1" ht="13.5" customHeight="1" x14ac:dyDescent="0.2">
      <c r="A12" s="62"/>
      <c r="B12" s="224" t="s">
        <v>519</v>
      </c>
      <c r="C12" s="605">
        <f>'D1. Member Months'!C10</f>
        <v>36779905</v>
      </c>
      <c r="D12" s="477">
        <f>'D3. Actual Waiver Cost'!K14</f>
        <v>466.42772087423748</v>
      </c>
      <c r="E12" s="477">
        <f>'D3. Actual Waiver Cost'!L14</f>
        <v>0</v>
      </c>
      <c r="F12" s="477">
        <f>'D3. Actual Waiver Cost'!M14</f>
        <v>0</v>
      </c>
      <c r="G12" s="477">
        <f>'D3. Actual Waiver Cost'!N14</f>
        <v>1.4131030320642723</v>
      </c>
      <c r="H12" s="606">
        <f>'D3. Actual Waiver Cost'!O14</f>
        <v>467.84082390630175</v>
      </c>
      <c r="I12" s="193"/>
      <c r="J12"/>
      <c r="K12" s="575"/>
      <c r="L12" s="576"/>
      <c r="M12" s="576"/>
      <c r="N12" s="576"/>
      <c r="O12" s="577"/>
    </row>
    <row r="13" spans="1:18" s="66" customFormat="1" ht="13.5" customHeight="1" x14ac:dyDescent="0.2">
      <c r="A13" s="62"/>
      <c r="B13" s="224" t="s">
        <v>525</v>
      </c>
      <c r="C13" s="605">
        <f>'D1. Member Months'!C11</f>
        <v>6866224</v>
      </c>
      <c r="D13" s="477">
        <f>'D3. Actual Waiver Cost'!K15</f>
        <v>480.66576702785216</v>
      </c>
      <c r="E13" s="477">
        <f>'D3. Actual Waiver Cost'!L15</f>
        <v>0</v>
      </c>
      <c r="F13" s="477">
        <f>'D3. Actual Waiver Cost'!M15</f>
        <v>0</v>
      </c>
      <c r="G13" s="477">
        <f>'D3. Actual Waiver Cost'!N15</f>
        <v>1.4562390321129675</v>
      </c>
      <c r="H13" s="606">
        <f>'D3. Actual Waiver Cost'!O15</f>
        <v>482.12200605996514</v>
      </c>
      <c r="I13" s="193"/>
      <c r="J13"/>
      <c r="K13" s="578"/>
      <c r="L13" s="576"/>
      <c r="M13" s="576"/>
      <c r="N13" s="576"/>
      <c r="O13" s="577"/>
    </row>
    <row r="14" spans="1:18" s="66" customFormat="1" ht="13.5" customHeight="1" x14ac:dyDescent="0.2">
      <c r="A14" s="62"/>
      <c r="B14" s="224" t="s">
        <v>520</v>
      </c>
      <c r="C14" s="605">
        <f>'D1. Member Months'!C12</f>
        <v>1316547</v>
      </c>
      <c r="D14" s="477">
        <f>'D3. Actual Waiver Cost'!K16</f>
        <v>273.02700028719494</v>
      </c>
      <c r="E14" s="477">
        <f>'D3. Actual Waiver Cost'!L16</f>
        <v>0</v>
      </c>
      <c r="F14" s="477">
        <f>'D3. Actual Waiver Cost'!M16</f>
        <v>0</v>
      </c>
      <c r="G14" s="477">
        <f>'D3. Actual Waiver Cost'!N16</f>
        <v>0.82717056614496376</v>
      </c>
      <c r="H14" s="606">
        <f>'D3. Actual Waiver Cost'!O16</f>
        <v>273.85417085333989</v>
      </c>
      <c r="I14" s="193"/>
      <c r="J14"/>
      <c r="K14" s="578"/>
      <c r="L14" s="576"/>
      <c r="M14" s="576"/>
      <c r="N14" s="576"/>
      <c r="O14" s="577"/>
    </row>
    <row r="15" spans="1:18" s="66" customFormat="1" ht="13.5" customHeight="1" x14ac:dyDescent="0.2">
      <c r="A15" s="62"/>
      <c r="B15" s="224" t="s">
        <v>518</v>
      </c>
      <c r="C15" s="605">
        <f>'D1. Member Months'!C13</f>
        <v>54139905</v>
      </c>
      <c r="D15" s="477">
        <f>'D3. Actual Waiver Cost'!K17</f>
        <v>215.47438121871392</v>
      </c>
      <c r="E15" s="477">
        <f>'D3. Actual Waiver Cost'!L17</f>
        <v>0</v>
      </c>
      <c r="F15" s="477">
        <f>'D3. Actual Waiver Cost'!M17</f>
        <v>0</v>
      </c>
      <c r="G15" s="477">
        <f>'D3. Actual Waiver Cost'!N17</f>
        <v>0.65280747220947488</v>
      </c>
      <c r="H15" s="606">
        <f>'D3. Actual Waiver Cost'!O17</f>
        <v>216.12718869092339</v>
      </c>
      <c r="I15" s="193"/>
      <c r="J15"/>
      <c r="K15" s="578"/>
      <c r="L15" s="576"/>
      <c r="M15" s="576"/>
      <c r="N15" s="576"/>
      <c r="O15" s="577"/>
    </row>
    <row r="16" spans="1:18" s="66" customFormat="1" ht="13.5" customHeight="1" x14ac:dyDescent="0.2">
      <c r="A16" s="62"/>
      <c r="B16" s="224" t="s">
        <v>521</v>
      </c>
      <c r="C16" s="605">
        <f>'D1. Member Months'!C14</f>
        <v>994882</v>
      </c>
      <c r="D16" s="477">
        <f>'D3. Actual Waiver Cost'!K18</f>
        <v>210.2049497399764</v>
      </c>
      <c r="E16" s="477">
        <f>'D3. Actual Waiver Cost'!L18</f>
        <v>0</v>
      </c>
      <c r="F16" s="477">
        <f>'D3. Actual Waiver Cost'!M18</f>
        <v>0</v>
      </c>
      <c r="G16" s="477">
        <f>'D3. Actual Waiver Cost'!N18</f>
        <v>0.63684304885594401</v>
      </c>
      <c r="H16" s="606">
        <f>'D3. Actual Waiver Cost'!O18</f>
        <v>210.84179278883232</v>
      </c>
      <c r="I16" s="193"/>
      <c r="J16"/>
      <c r="K16" s="578"/>
      <c r="L16" s="576"/>
      <c r="M16" s="576"/>
      <c r="N16" s="576"/>
      <c r="O16" s="577"/>
    </row>
    <row r="17" spans="1:18" s="66" customFormat="1" ht="13.5" customHeight="1" x14ac:dyDescent="0.2">
      <c r="A17" s="62"/>
      <c r="B17" s="224" t="s">
        <v>516</v>
      </c>
      <c r="C17" s="605">
        <f>'D1. Member Months'!C15</f>
        <v>14869740</v>
      </c>
      <c r="D17" s="477">
        <f>'D3. Actual Waiver Cost'!K19</f>
        <v>146.98318386485101</v>
      </c>
      <c r="E17" s="477">
        <f>'D3. Actual Waiver Cost'!L19</f>
        <v>0</v>
      </c>
      <c r="F17" s="477">
        <f>'D3. Actual Waiver Cost'!M19</f>
        <v>0</v>
      </c>
      <c r="G17" s="477">
        <f>'D3. Actual Waiver Cost'!N19</f>
        <v>0.44530454234705313</v>
      </c>
      <c r="H17" s="606">
        <f>'D3. Actual Waiver Cost'!O19</f>
        <v>147.42848840719807</v>
      </c>
      <c r="I17" s="193"/>
      <c r="J17"/>
      <c r="K17" s="578"/>
      <c r="L17" s="576"/>
      <c r="M17" s="576"/>
      <c r="N17" s="576"/>
      <c r="O17" s="577"/>
    </row>
    <row r="18" spans="1:18" s="66" customFormat="1" ht="13.5" customHeight="1" x14ac:dyDescent="0.2">
      <c r="A18" s="62"/>
      <c r="B18" s="224" t="s">
        <v>517</v>
      </c>
      <c r="C18" s="605">
        <f>'D1. Member Months'!C16</f>
        <v>9108336</v>
      </c>
      <c r="D18" s="477">
        <f>'D3. Actual Waiver Cost'!K20</f>
        <v>1182.4232082941746</v>
      </c>
      <c r="E18" s="477">
        <f>'D3. Actual Waiver Cost'!L20</f>
        <v>0</v>
      </c>
      <c r="F18" s="477">
        <f>'D3. Actual Waiver Cost'!M20</f>
        <v>0</v>
      </c>
      <c r="G18" s="477">
        <f>'D3. Actual Waiver Cost'!N20</f>
        <v>3.5823038512631249</v>
      </c>
      <c r="H18" s="606">
        <f>'D3. Actual Waiver Cost'!O20</f>
        <v>1186.0055121454379</v>
      </c>
      <c r="I18" s="193"/>
      <c r="J18"/>
      <c r="K18" s="579"/>
      <c r="L18" s="580"/>
      <c r="M18" s="580"/>
      <c r="N18" s="580"/>
      <c r="O18" s="581"/>
    </row>
    <row r="19" spans="1:18" s="66" customFormat="1" ht="13.5" customHeight="1" thickBot="1" x14ac:dyDescent="0.25">
      <c r="A19" s="62"/>
      <c r="B19" s="224" t="s">
        <v>522</v>
      </c>
      <c r="C19" s="605">
        <f>'D1. Member Months'!C17</f>
        <v>3415064</v>
      </c>
      <c r="D19" s="477">
        <f>'D3. Actual Waiver Cost'!K21</f>
        <v>354.54823505238249</v>
      </c>
      <c r="E19" s="477">
        <f>'D3. Actual Waiver Cost'!L21</f>
        <v>0</v>
      </c>
      <c r="F19" s="477">
        <f>'D3. Actual Waiver Cost'!M21</f>
        <v>0</v>
      </c>
      <c r="G19" s="477">
        <f>'D3. Actual Waiver Cost'!N21</f>
        <v>1.0741496775245178</v>
      </c>
      <c r="H19" s="606">
        <f>'D3. Actual Waiver Cost'!O21</f>
        <v>355.62238472990697</v>
      </c>
      <c r="I19" s="193"/>
      <c r="J19"/>
      <c r="K19" s="582"/>
      <c r="L19" s="583"/>
      <c r="M19" s="583"/>
      <c r="N19" s="583"/>
      <c r="O19" s="584"/>
    </row>
    <row r="20" spans="1:18" s="66" customFormat="1" ht="13.5" customHeight="1" thickTop="1" thickBot="1" x14ac:dyDescent="0.25">
      <c r="A20" s="62"/>
      <c r="B20" s="607" t="s">
        <v>98</v>
      </c>
      <c r="C20" s="608">
        <f>'D1. Member Months'!C18</f>
        <v>127490603</v>
      </c>
      <c r="D20" s="244"/>
      <c r="E20" s="244"/>
      <c r="F20" s="244"/>
      <c r="G20" s="244"/>
      <c r="H20" s="609"/>
      <c r="I20" s="193"/>
      <c r="J20"/>
      <c r="K20" s="585"/>
      <c r="L20" s="585"/>
      <c r="M20" s="585"/>
      <c r="N20" s="585"/>
      <c r="O20" s="585"/>
    </row>
    <row r="21" spans="1:18" s="66" customFormat="1" ht="13.5" customHeight="1" thickTop="1" thickBot="1" x14ac:dyDescent="0.25">
      <c r="A21" s="62"/>
      <c r="B21" s="607" t="s">
        <v>323</v>
      </c>
      <c r="C21" s="608"/>
      <c r="D21" s="610">
        <f>SUMPRODUCT(D12:D19,$C$12:$C$19)/$C$20</f>
        <v>367.52657867897983</v>
      </c>
      <c r="E21" s="610">
        <f>SUMPRODUCT(E12:E19,$C$12:$C$19)/$C$20</f>
        <v>0</v>
      </c>
      <c r="F21" s="610">
        <f>SUMPRODUCT(F12:F19,$C$12:$C$19)/$C$20</f>
        <v>0</v>
      </c>
      <c r="G21" s="610">
        <f>SUMPRODUCT(G12:G19,$C$12:$C$19)/$C$20</f>
        <v>1.113469246043177</v>
      </c>
      <c r="H21" s="611">
        <f>SUMPRODUCT(H12:H19,$C$12:$C$19)/$C$20</f>
        <v>368.640047925023</v>
      </c>
      <c r="I21" s="193"/>
      <c r="J21"/>
      <c r="K21" s="586">
        <f>SUMPRODUCT(K12:K19,$C$12:$C$19)/$C$20</f>
        <v>0</v>
      </c>
      <c r="L21" s="586">
        <f>SUMPRODUCT(L12:L19,$C$12:$C$19)/$C$20</f>
        <v>0</v>
      </c>
      <c r="M21" s="586">
        <f>SUMPRODUCT(M12:M19,$C$12:$C$19)/$C$20</f>
        <v>0</v>
      </c>
      <c r="N21" s="586">
        <f>SUMPRODUCT(N12:N19,$C$12:$C$19)/$C$20</f>
        <v>0</v>
      </c>
      <c r="O21" s="586">
        <f>SUMPRODUCT(O12:O19,$C$12:$C$19)/$C$20</f>
        <v>0</v>
      </c>
    </row>
    <row r="22" spans="1:18" s="66" customFormat="1" ht="13.5" customHeight="1" thickTop="1" thickBot="1" x14ac:dyDescent="0.25">
      <c r="A22" s="62"/>
      <c r="B22" s="612" t="s">
        <v>250</v>
      </c>
      <c r="C22" s="613"/>
      <c r="D22" s="613"/>
      <c r="E22" s="613"/>
      <c r="F22" s="613"/>
      <c r="G22" s="613"/>
      <c r="H22" s="614">
        <f>H21*C20</f>
        <v>46998141999.91008</v>
      </c>
      <c r="I22" s="193"/>
      <c r="J22"/>
      <c r="K22" s="587" t="s">
        <v>296</v>
      </c>
      <c r="L22" s="585"/>
      <c r="M22" s="585"/>
      <c r="N22" s="585"/>
      <c r="O22" s="588">
        <f>O21*C20</f>
        <v>0</v>
      </c>
    </row>
    <row r="23" spans="1:18" s="66" customFormat="1" ht="13.5" customHeight="1" thickBot="1" x14ac:dyDescent="0.25">
      <c r="A23" s="62"/>
      <c r="B23" s="82"/>
      <c r="C23" s="82"/>
      <c r="D23" s="82"/>
      <c r="E23" s="82"/>
      <c r="F23" s="82"/>
      <c r="G23" s="82"/>
      <c r="H23" s="82"/>
      <c r="I23" s="191"/>
      <c r="J23"/>
      <c r="K23" s="82"/>
      <c r="L23" s="82"/>
      <c r="M23" s="82"/>
      <c r="N23" s="82"/>
      <c r="O23" s="82"/>
    </row>
    <row r="24" spans="1:18" s="66" customFormat="1" ht="13.5" customHeight="1" x14ac:dyDescent="0.2">
      <c r="A24" s="62"/>
      <c r="B24" s="598"/>
      <c r="C24" s="599"/>
      <c r="D24" s="600" t="s">
        <v>379</v>
      </c>
      <c r="E24" s="600"/>
      <c r="F24" s="600"/>
      <c r="G24" s="600"/>
      <c r="H24" s="601"/>
      <c r="I24" s="615"/>
      <c r="J24"/>
      <c r="K24" s="455" t="s">
        <v>261</v>
      </c>
      <c r="L24" s="456"/>
      <c r="M24" s="456"/>
      <c r="N24" s="456"/>
      <c r="O24" s="574"/>
      <c r="P24" s="82"/>
      <c r="Q24" s="82"/>
      <c r="R24" s="82"/>
    </row>
    <row r="25" spans="1:18" ht="13.5" customHeight="1" x14ac:dyDescent="0.2">
      <c r="B25" s="602" t="s">
        <v>174</v>
      </c>
      <c r="C25" s="603" t="s">
        <v>242</v>
      </c>
      <c r="D25" s="603" t="s">
        <v>243</v>
      </c>
      <c r="E25" s="603" t="s">
        <v>243</v>
      </c>
      <c r="F25" s="603" t="s">
        <v>243</v>
      </c>
      <c r="G25" s="603" t="s">
        <v>243</v>
      </c>
      <c r="H25" s="604" t="s">
        <v>243</v>
      </c>
      <c r="I25" s="616" t="s">
        <v>185</v>
      </c>
      <c r="K25" s="461" t="s">
        <v>203</v>
      </c>
      <c r="L25" s="462" t="s">
        <v>203</v>
      </c>
      <c r="M25" s="462" t="s">
        <v>203</v>
      </c>
      <c r="N25" s="462" t="s">
        <v>203</v>
      </c>
      <c r="O25" s="463" t="s">
        <v>203</v>
      </c>
    </row>
    <row r="26" spans="1:18" s="107" customFormat="1" ht="13.5" customHeight="1" x14ac:dyDescent="0.2">
      <c r="A26" s="62"/>
      <c r="B26" s="602" t="s">
        <v>177</v>
      </c>
      <c r="C26" s="603" t="s">
        <v>75</v>
      </c>
      <c r="D26" s="603" t="s">
        <v>78</v>
      </c>
      <c r="E26" s="603" t="s">
        <v>81</v>
      </c>
      <c r="F26" s="603" t="s">
        <v>27</v>
      </c>
      <c r="G26" s="603" t="s">
        <v>82</v>
      </c>
      <c r="H26" s="604" t="s">
        <v>83</v>
      </c>
      <c r="I26" s="617" t="s">
        <v>255</v>
      </c>
      <c r="J26"/>
      <c r="K26" s="466" t="s">
        <v>78</v>
      </c>
      <c r="L26" s="467" t="s">
        <v>81</v>
      </c>
      <c r="M26" s="467" t="s">
        <v>27</v>
      </c>
      <c r="N26" s="467" t="s">
        <v>82</v>
      </c>
      <c r="O26" s="468" t="s">
        <v>83</v>
      </c>
    </row>
    <row r="27" spans="1:18" s="107" customFormat="1" ht="13.5" customHeight="1" x14ac:dyDescent="0.2">
      <c r="A27" s="62"/>
      <c r="B27" s="602" t="s">
        <v>74</v>
      </c>
      <c r="C27" s="603" t="s">
        <v>84</v>
      </c>
      <c r="D27" s="603" t="s">
        <v>87</v>
      </c>
      <c r="E27" s="603" t="s">
        <v>86</v>
      </c>
      <c r="F27" s="603" t="s">
        <v>87</v>
      </c>
      <c r="G27" s="603" t="s">
        <v>86</v>
      </c>
      <c r="H27" s="604" t="s">
        <v>91</v>
      </c>
      <c r="I27" s="615" t="s">
        <v>186</v>
      </c>
      <c r="J27"/>
      <c r="K27" s="471" t="s">
        <v>87</v>
      </c>
      <c r="L27" s="472" t="s">
        <v>86</v>
      </c>
      <c r="M27" s="472" t="s">
        <v>87</v>
      </c>
      <c r="N27" s="472" t="s">
        <v>86</v>
      </c>
      <c r="O27" s="473" t="s">
        <v>91</v>
      </c>
    </row>
    <row r="28" spans="1:18" ht="13.5" customHeight="1" x14ac:dyDescent="0.2">
      <c r="B28" s="224" t="s">
        <v>519</v>
      </c>
      <c r="C28" s="605">
        <f>'D1. Member Months'!D10</f>
        <v>36779905</v>
      </c>
      <c r="D28" s="477">
        <f>'D3. Actual Waiver Cost'!K31</f>
        <v>466.42772087423748</v>
      </c>
      <c r="E28" s="477">
        <f>'D3. Actual Waiver Cost'!L31</f>
        <v>0</v>
      </c>
      <c r="F28" s="477">
        <f>'D3. Actual Waiver Cost'!M31</f>
        <v>0</v>
      </c>
      <c r="G28" s="477">
        <f>'D3. Actual Waiver Cost'!N31</f>
        <v>1.4131030320642723</v>
      </c>
      <c r="H28" s="606">
        <f>'D3. Actual Waiver Cost'!O31</f>
        <v>467.84082390630175</v>
      </c>
      <c r="I28" s="615">
        <f>IFERROR(((H28/H12)-1),0)</f>
        <v>0</v>
      </c>
      <c r="K28" s="575"/>
      <c r="L28" s="589"/>
      <c r="M28" s="589"/>
      <c r="N28" s="589"/>
      <c r="O28" s="590"/>
    </row>
    <row r="29" spans="1:18" ht="13.5" customHeight="1" x14ac:dyDescent="0.2">
      <c r="B29" s="224" t="s">
        <v>525</v>
      </c>
      <c r="C29" s="605">
        <f>'D1. Member Months'!D11</f>
        <v>6866224</v>
      </c>
      <c r="D29" s="477">
        <f>'D3. Actual Waiver Cost'!K32</f>
        <v>480.66576702785216</v>
      </c>
      <c r="E29" s="477">
        <f>'D3. Actual Waiver Cost'!L32</f>
        <v>0</v>
      </c>
      <c r="F29" s="477">
        <f>'D3. Actual Waiver Cost'!M32</f>
        <v>0</v>
      </c>
      <c r="G29" s="477">
        <f>'D3. Actual Waiver Cost'!N32</f>
        <v>1.4562390321129675</v>
      </c>
      <c r="H29" s="606">
        <f>'D3. Actual Waiver Cost'!O32</f>
        <v>482.12200605996514</v>
      </c>
      <c r="I29" s="615">
        <f t="shared" ref="I29:I35" si="0">IFERROR(((H29/H13)-1),0)</f>
        <v>0</v>
      </c>
      <c r="K29" s="575"/>
      <c r="L29" s="589"/>
      <c r="M29" s="589"/>
      <c r="N29" s="589"/>
      <c r="O29" s="590"/>
    </row>
    <row r="30" spans="1:18" ht="13.5" customHeight="1" x14ac:dyDescent="0.2">
      <c r="B30" s="224" t="s">
        <v>520</v>
      </c>
      <c r="C30" s="605">
        <f>'D1. Member Months'!D12</f>
        <v>1316547</v>
      </c>
      <c r="D30" s="477">
        <f>'D3. Actual Waiver Cost'!K33</f>
        <v>273.02700028719494</v>
      </c>
      <c r="E30" s="477">
        <f>'D3. Actual Waiver Cost'!L33</f>
        <v>0</v>
      </c>
      <c r="F30" s="477">
        <f>'D3. Actual Waiver Cost'!M33</f>
        <v>0</v>
      </c>
      <c r="G30" s="477">
        <f>'D3. Actual Waiver Cost'!N33</f>
        <v>0.82717056614496376</v>
      </c>
      <c r="H30" s="606">
        <f>'D3. Actual Waiver Cost'!O33</f>
        <v>273.85417085333989</v>
      </c>
      <c r="I30" s="615">
        <f t="shared" si="0"/>
        <v>0</v>
      </c>
      <c r="K30" s="575"/>
      <c r="L30" s="589"/>
      <c r="M30" s="589"/>
      <c r="N30" s="589"/>
      <c r="O30" s="590"/>
    </row>
    <row r="31" spans="1:18" ht="13.5" customHeight="1" x14ac:dyDescent="0.2">
      <c r="B31" s="224" t="s">
        <v>518</v>
      </c>
      <c r="C31" s="605">
        <f>'D1. Member Months'!D13</f>
        <v>54139905</v>
      </c>
      <c r="D31" s="477">
        <f>'D3. Actual Waiver Cost'!K34</f>
        <v>215.47438121871392</v>
      </c>
      <c r="E31" s="477">
        <f>'D3. Actual Waiver Cost'!L34</f>
        <v>0</v>
      </c>
      <c r="F31" s="477">
        <f>'D3. Actual Waiver Cost'!M34</f>
        <v>0</v>
      </c>
      <c r="G31" s="477">
        <f>'D3. Actual Waiver Cost'!N34</f>
        <v>0.65280747220947488</v>
      </c>
      <c r="H31" s="606">
        <f>'D3. Actual Waiver Cost'!O34</f>
        <v>216.12718869092339</v>
      </c>
      <c r="I31" s="615">
        <f t="shared" si="0"/>
        <v>0</v>
      </c>
      <c r="K31" s="575"/>
      <c r="L31" s="589"/>
      <c r="M31" s="589"/>
      <c r="N31" s="589"/>
      <c r="O31" s="590"/>
    </row>
    <row r="32" spans="1:18" ht="13.5" customHeight="1" x14ac:dyDescent="0.2">
      <c r="B32" s="224" t="s">
        <v>521</v>
      </c>
      <c r="C32" s="605">
        <f>'D1. Member Months'!D14</f>
        <v>994882</v>
      </c>
      <c r="D32" s="477">
        <f>'D3. Actual Waiver Cost'!K35</f>
        <v>210.2049497399764</v>
      </c>
      <c r="E32" s="477">
        <f>'D3. Actual Waiver Cost'!L35</f>
        <v>0</v>
      </c>
      <c r="F32" s="477">
        <f>'D3. Actual Waiver Cost'!M35</f>
        <v>0</v>
      </c>
      <c r="G32" s="477">
        <f>'D3. Actual Waiver Cost'!N35</f>
        <v>0.63684304885594401</v>
      </c>
      <c r="H32" s="606">
        <f>'D3. Actual Waiver Cost'!O35</f>
        <v>210.84179278883232</v>
      </c>
      <c r="I32" s="615">
        <f t="shared" si="0"/>
        <v>0</v>
      </c>
      <c r="K32" s="575"/>
      <c r="L32" s="591"/>
      <c r="M32" s="591"/>
      <c r="N32" s="591"/>
      <c r="O32" s="590"/>
    </row>
    <row r="33" spans="2:15" ht="13.5" customHeight="1" x14ac:dyDescent="0.2">
      <c r="B33" s="224" t="s">
        <v>516</v>
      </c>
      <c r="C33" s="605">
        <f>'D1. Member Months'!D15</f>
        <v>14869740</v>
      </c>
      <c r="D33" s="477">
        <f>'D3. Actual Waiver Cost'!K36</f>
        <v>146.98318386485101</v>
      </c>
      <c r="E33" s="477">
        <f>'D3. Actual Waiver Cost'!L36</f>
        <v>0</v>
      </c>
      <c r="F33" s="477">
        <f>'D3. Actual Waiver Cost'!M36</f>
        <v>0</v>
      </c>
      <c r="G33" s="477">
        <f>'D3. Actual Waiver Cost'!N36</f>
        <v>0.44530454234705313</v>
      </c>
      <c r="H33" s="606">
        <f>'D3. Actual Waiver Cost'!O36</f>
        <v>147.42848840719807</v>
      </c>
      <c r="I33" s="615">
        <f t="shared" si="0"/>
        <v>0</v>
      </c>
      <c r="K33" s="575"/>
      <c r="L33" s="591"/>
      <c r="M33" s="591"/>
      <c r="N33" s="591"/>
      <c r="O33" s="590"/>
    </row>
    <row r="34" spans="2:15" ht="13.5" customHeight="1" x14ac:dyDescent="0.2">
      <c r="B34" s="224" t="s">
        <v>517</v>
      </c>
      <c r="C34" s="605">
        <f>'D1. Member Months'!D16</f>
        <v>9108336</v>
      </c>
      <c r="D34" s="477">
        <f>'D3. Actual Waiver Cost'!K37</f>
        <v>1182.4232082941746</v>
      </c>
      <c r="E34" s="477">
        <f>'D3. Actual Waiver Cost'!L37</f>
        <v>0</v>
      </c>
      <c r="F34" s="477">
        <f>'D3. Actual Waiver Cost'!M37</f>
        <v>0</v>
      </c>
      <c r="G34" s="477">
        <f>'D3. Actual Waiver Cost'!N37</f>
        <v>3.5823038512631249</v>
      </c>
      <c r="H34" s="606">
        <f>'D3. Actual Waiver Cost'!O37</f>
        <v>1186.0055121454379</v>
      </c>
      <c r="I34" s="615">
        <f t="shared" si="0"/>
        <v>0</v>
      </c>
      <c r="K34" s="592"/>
      <c r="L34" s="593"/>
      <c r="M34" s="593"/>
      <c r="N34" s="593"/>
      <c r="O34" s="594"/>
    </row>
    <row r="35" spans="2:15" ht="13.5" customHeight="1" thickBot="1" x14ac:dyDescent="0.25">
      <c r="B35" s="224" t="s">
        <v>522</v>
      </c>
      <c r="C35" s="605">
        <f>'D1. Member Months'!D17</f>
        <v>3415064</v>
      </c>
      <c r="D35" s="477">
        <f>'D3. Actual Waiver Cost'!K38</f>
        <v>354.54823505238249</v>
      </c>
      <c r="E35" s="477">
        <f>'D3. Actual Waiver Cost'!L38</f>
        <v>0</v>
      </c>
      <c r="F35" s="477">
        <f>'D3. Actual Waiver Cost'!M38</f>
        <v>0</v>
      </c>
      <c r="G35" s="477">
        <f>'D3. Actual Waiver Cost'!N38</f>
        <v>1.0741496775245178</v>
      </c>
      <c r="H35" s="606">
        <f>'D3. Actual Waiver Cost'!O38</f>
        <v>355.62238472990697</v>
      </c>
      <c r="I35" s="615">
        <f t="shared" si="0"/>
        <v>0</v>
      </c>
      <c r="K35" s="595"/>
      <c r="L35" s="593"/>
      <c r="M35" s="593"/>
      <c r="N35" s="593"/>
      <c r="O35" s="596"/>
    </row>
    <row r="36" spans="2:15" ht="13.5" customHeight="1" thickTop="1" thickBot="1" x14ac:dyDescent="0.25">
      <c r="B36" s="607" t="s">
        <v>98</v>
      </c>
      <c r="C36" s="608">
        <f>SUM(C28:C35)</f>
        <v>127490603</v>
      </c>
      <c r="D36" s="244"/>
      <c r="E36" s="244"/>
      <c r="F36" s="244"/>
      <c r="G36" s="244"/>
      <c r="H36" s="609"/>
      <c r="I36" s="615" t="s">
        <v>163</v>
      </c>
      <c r="K36" s="585"/>
      <c r="L36" s="585"/>
      <c r="M36" s="585"/>
      <c r="N36" s="585"/>
      <c r="O36" s="585"/>
    </row>
    <row r="37" spans="2:15" ht="13.5" customHeight="1" thickTop="1" thickBot="1" x14ac:dyDescent="0.25">
      <c r="B37" s="607" t="s">
        <v>311</v>
      </c>
      <c r="C37" s="608"/>
      <c r="D37" s="610"/>
      <c r="E37" s="610"/>
      <c r="F37" s="610"/>
      <c r="G37" s="610"/>
      <c r="H37" s="611"/>
      <c r="I37" s="615"/>
      <c r="K37" s="586"/>
      <c r="L37" s="586"/>
      <c r="M37" s="586"/>
      <c r="N37" s="586"/>
      <c r="O37" s="586"/>
    </row>
    <row r="38" spans="2:15" ht="13.5" customHeight="1" thickTop="1" thickBot="1" x14ac:dyDescent="0.25">
      <c r="B38" s="607" t="s">
        <v>327</v>
      </c>
      <c r="C38" s="608"/>
      <c r="D38" s="610">
        <f>SUMPRODUCT(D28:D35,$C$28:$C$35)/$C$36</f>
        <v>367.52657867897983</v>
      </c>
      <c r="E38" s="610">
        <f>SUMPRODUCT(E28:E35,$C$28:$C$35)/$C$36</f>
        <v>0</v>
      </c>
      <c r="F38" s="610">
        <f>SUMPRODUCT(F28:F35,$C$28:$C$35)/$C$36</f>
        <v>0</v>
      </c>
      <c r="G38" s="610">
        <f>SUMPRODUCT(G28:G35,$C$28:$C$35)/$C$36</f>
        <v>1.113469246043177</v>
      </c>
      <c r="H38" s="611">
        <f>SUMPRODUCT(H28:H35,$C$28:$C$35)/$C$36</f>
        <v>368.640047925023</v>
      </c>
      <c r="I38" s="615"/>
      <c r="K38" s="586">
        <f>SUMPRODUCT(K28:K35,$C$28:$C$35)/$C$36</f>
        <v>0</v>
      </c>
      <c r="L38" s="586">
        <f>SUMPRODUCT(L28:L35,$C$28:$C$35)/$C$36</f>
        <v>0</v>
      </c>
      <c r="M38" s="586">
        <f>SUMPRODUCT(M28:M35,$C$28:$C$35)/$C$36</f>
        <v>0</v>
      </c>
      <c r="N38" s="586">
        <f>SUMPRODUCT(N28:N35,$C$28:$C$35)/$C$36</f>
        <v>0</v>
      </c>
      <c r="O38" s="586">
        <f>SUMPRODUCT(O28:O35,$C$28:$C$35)/$C$36</f>
        <v>0</v>
      </c>
    </row>
    <row r="39" spans="2:15" ht="13.5" customHeight="1" thickTop="1" thickBot="1" x14ac:dyDescent="0.25">
      <c r="B39" s="612" t="s">
        <v>251</v>
      </c>
      <c r="C39" s="613"/>
      <c r="D39" s="613"/>
      <c r="E39" s="613"/>
      <c r="F39" s="613"/>
      <c r="G39" s="613"/>
      <c r="H39" s="614">
        <f>H38*C36</f>
        <v>46998141999.91008</v>
      </c>
      <c r="I39" s="618"/>
      <c r="K39" s="587" t="s">
        <v>295</v>
      </c>
      <c r="L39" s="585"/>
      <c r="M39" s="585"/>
      <c r="N39" s="585"/>
      <c r="O39" s="588">
        <f>O38*C36</f>
        <v>0</v>
      </c>
    </row>
    <row r="40" spans="2:15" ht="13.5" customHeight="1" thickBot="1" x14ac:dyDescent="0.25">
      <c r="B40" s="82"/>
      <c r="H40" s="118"/>
      <c r="O40" s="118"/>
    </row>
    <row r="41" spans="2:15" ht="13.5" customHeight="1" thickTop="1" thickBot="1" x14ac:dyDescent="0.25">
      <c r="B41" s="587" t="s">
        <v>294</v>
      </c>
      <c r="C41" s="585"/>
      <c r="D41" s="585"/>
      <c r="E41" s="585"/>
      <c r="F41" s="585"/>
      <c r="G41" s="585"/>
      <c r="H41" s="588">
        <f>H22+H39</f>
        <v>93996283999.82016</v>
      </c>
      <c r="K41" s="585"/>
      <c r="L41" s="585"/>
      <c r="M41" s="585"/>
      <c r="N41" s="585"/>
      <c r="O41" s="588">
        <f>O39+O22</f>
        <v>0</v>
      </c>
    </row>
    <row r="42" spans="2:15" ht="13.5" customHeight="1" thickTop="1" thickBot="1" x14ac:dyDescent="0.25">
      <c r="B42" s="587" t="s">
        <v>270</v>
      </c>
      <c r="C42" s="585"/>
      <c r="D42" s="585"/>
      <c r="E42" s="585"/>
      <c r="F42" s="585"/>
      <c r="G42" s="585"/>
      <c r="H42" s="588">
        <f>O41-H41</f>
        <v>-93996283999.82016</v>
      </c>
      <c r="O42" s="118"/>
    </row>
    <row r="43" spans="2:15" ht="13.5" customHeight="1" thickTop="1" x14ac:dyDescent="0.2">
      <c r="B43" s="82"/>
      <c r="H43" s="118"/>
      <c r="K43" s="175"/>
      <c r="L43" s="175"/>
      <c r="M43" s="175"/>
      <c r="N43" s="175"/>
      <c r="O43" s="176"/>
    </row>
    <row r="44" spans="2:15" ht="13.5" customHeight="1" thickBot="1" x14ac:dyDescent="0.25">
      <c r="B44" s="619" t="s">
        <v>253</v>
      </c>
      <c r="C44" s="80"/>
      <c r="D44" s="88"/>
      <c r="E44" s="88"/>
      <c r="F44" s="88"/>
      <c r="G44" s="88"/>
      <c r="H44" s="88"/>
      <c r="I44" s="195"/>
      <c r="K44" s="177"/>
      <c r="L44" s="177"/>
      <c r="M44" s="177"/>
      <c r="N44" s="177"/>
      <c r="O44" s="177"/>
    </row>
    <row r="45" spans="2:15" ht="13.5" customHeight="1" x14ac:dyDescent="0.2">
      <c r="B45" s="453"/>
      <c r="C45" s="454" t="s">
        <v>139</v>
      </c>
      <c r="D45" s="456" t="s">
        <v>206</v>
      </c>
      <c r="E45" s="456"/>
      <c r="F45" s="456"/>
      <c r="G45" s="456"/>
      <c r="H45" s="456"/>
      <c r="I45" s="620"/>
      <c r="K45" s="177"/>
      <c r="L45" s="177"/>
      <c r="M45" s="177"/>
      <c r="N45" s="177"/>
      <c r="O45" s="177"/>
    </row>
    <row r="46" spans="2:15" ht="13.5" customHeight="1" x14ac:dyDescent="0.2">
      <c r="B46" s="459" t="s">
        <v>174</v>
      </c>
      <c r="C46" s="460" t="s">
        <v>175</v>
      </c>
      <c r="D46" s="621" t="s">
        <v>161</v>
      </c>
      <c r="E46" s="462" t="s">
        <v>161</v>
      </c>
      <c r="F46" s="462" t="s">
        <v>161</v>
      </c>
      <c r="G46" s="462" t="s">
        <v>161</v>
      </c>
      <c r="H46" s="622" t="s">
        <v>161</v>
      </c>
      <c r="I46" s="623" t="s">
        <v>185</v>
      </c>
      <c r="K46" s="177"/>
      <c r="L46" s="177"/>
      <c r="M46" s="177"/>
      <c r="N46" s="177"/>
      <c r="O46" s="177"/>
    </row>
    <row r="47" spans="2:15" ht="13.5" customHeight="1" x14ac:dyDescent="0.2">
      <c r="B47" s="459" t="s">
        <v>177</v>
      </c>
      <c r="C47" s="465" t="s">
        <v>140</v>
      </c>
      <c r="D47" s="624" t="s">
        <v>136</v>
      </c>
      <c r="E47" s="467" t="s">
        <v>81</v>
      </c>
      <c r="F47" s="467" t="s">
        <v>137</v>
      </c>
      <c r="G47" s="467" t="s">
        <v>82</v>
      </c>
      <c r="H47" s="625" t="s">
        <v>139</v>
      </c>
      <c r="I47" s="626" t="s">
        <v>244</v>
      </c>
      <c r="K47" s="178"/>
      <c r="L47" s="178"/>
      <c r="M47" s="178"/>
      <c r="N47" s="178"/>
      <c r="O47" s="178"/>
    </row>
    <row r="48" spans="2:15" ht="13.5" customHeight="1" x14ac:dyDescent="0.2">
      <c r="B48" s="469" t="s">
        <v>74</v>
      </c>
      <c r="C48" s="470" t="s">
        <v>18</v>
      </c>
      <c r="D48" s="627" t="s">
        <v>148</v>
      </c>
      <c r="E48" s="472" t="s">
        <v>148</v>
      </c>
      <c r="F48" s="472" t="s">
        <v>148</v>
      </c>
      <c r="G48" s="472" t="s">
        <v>148</v>
      </c>
      <c r="H48" s="628" t="s">
        <v>91</v>
      </c>
      <c r="I48" s="629" t="s">
        <v>186</v>
      </c>
      <c r="K48" s="178"/>
      <c r="L48" s="178"/>
      <c r="M48" s="178"/>
      <c r="N48" s="178"/>
      <c r="O48" s="178"/>
    </row>
    <row r="49" spans="2:15" ht="13.5" customHeight="1" x14ac:dyDescent="0.2">
      <c r="B49" s="338" t="s">
        <v>519</v>
      </c>
      <c r="C49" s="475">
        <f>'D1. Member Months'!I10</f>
        <v>36779905</v>
      </c>
      <c r="D49" s="630">
        <f>'D5. Waiver Cost Projection'!O13</f>
        <v>534.52254048806208</v>
      </c>
      <c r="E49" s="477">
        <f>'D5. Waiver Cost Projection'!S13</f>
        <v>0</v>
      </c>
      <c r="F49" s="477">
        <f>'D5. Waiver Cost Projection'!W13</f>
        <v>0</v>
      </c>
      <c r="G49" s="477">
        <f>'D5. Waiver Cost Projection'!AA13</f>
        <v>1.6981331653529275</v>
      </c>
      <c r="H49" s="631">
        <f>'D5. Waiver Cost Projection'!AB13</f>
        <v>536.22067365341502</v>
      </c>
      <c r="I49" s="629">
        <f>IFERROR((H49/H28)-1,0)</f>
        <v>0.1461605021472181</v>
      </c>
      <c r="K49" s="178"/>
      <c r="L49" s="178"/>
      <c r="M49" s="178"/>
      <c r="N49" s="178"/>
      <c r="O49" s="178"/>
    </row>
    <row r="50" spans="2:15" ht="13.5" customHeight="1" x14ac:dyDescent="0.2">
      <c r="B50" s="338" t="s">
        <v>525</v>
      </c>
      <c r="C50" s="475">
        <f>'D1. Member Months'!I11</f>
        <v>6866224</v>
      </c>
      <c r="D50" s="630">
        <f>'D5. Waiver Cost Projection'!O14</f>
        <v>578.25926097734748</v>
      </c>
      <c r="E50" s="477">
        <f>'D5. Waiver Cost Projection'!S14</f>
        <v>0</v>
      </c>
      <c r="F50" s="477">
        <f>'D5. Waiver Cost Projection'!W14</f>
        <v>0</v>
      </c>
      <c r="G50" s="477">
        <f>'D5. Waiver Cost Projection'!AA14</f>
        <v>1.7499699179755224</v>
      </c>
      <c r="H50" s="631">
        <f>'D5. Waiver Cost Projection'!AB14</f>
        <v>580.00923089532296</v>
      </c>
      <c r="I50" s="629">
        <f t="shared" ref="I50:I56" si="1">IFERROR((H50/H29)-1,0)</f>
        <v>0.20303413576849438</v>
      </c>
      <c r="K50" s="178"/>
      <c r="L50" s="178"/>
      <c r="M50" s="178"/>
      <c r="N50" s="178"/>
      <c r="O50" s="178"/>
    </row>
    <row r="51" spans="2:15" ht="13.5" customHeight="1" x14ac:dyDescent="0.2">
      <c r="B51" s="338" t="s">
        <v>520</v>
      </c>
      <c r="C51" s="475">
        <f>'D1. Member Months'!I12</f>
        <v>1316547</v>
      </c>
      <c r="D51" s="630">
        <f>'D5. Waiver Cost Projection'!O15</f>
        <v>325.0792600995631</v>
      </c>
      <c r="E51" s="477">
        <f>'D5. Waiver Cost Projection'!S15</f>
        <v>0</v>
      </c>
      <c r="F51" s="477">
        <f>'D5. Waiver Cost Projection'!W15</f>
        <v>0</v>
      </c>
      <c r="G51" s="477">
        <f>'D5. Waiver Cost Projection'!AA15</f>
        <v>0.9940151141864032</v>
      </c>
      <c r="H51" s="631">
        <f>'D5. Waiver Cost Projection'!AB15</f>
        <v>326.07327521374953</v>
      </c>
      <c r="I51" s="629">
        <f t="shared" si="1"/>
        <v>0.19068215830963231</v>
      </c>
      <c r="K51" s="178"/>
      <c r="L51" s="178"/>
      <c r="M51" s="178"/>
      <c r="N51" s="178"/>
      <c r="O51" s="178"/>
    </row>
    <row r="52" spans="2:15" ht="13.5" customHeight="1" x14ac:dyDescent="0.2">
      <c r="B52" s="338" t="s">
        <v>518</v>
      </c>
      <c r="C52" s="475">
        <f>'D1. Member Months'!I13</f>
        <v>54139905</v>
      </c>
      <c r="D52" s="630">
        <f>'D5. Waiver Cost Projection'!O16</f>
        <v>264.71497969407761</v>
      </c>
      <c r="E52" s="477">
        <f>'D5. Waiver Cost Projection'!S16</f>
        <v>0</v>
      </c>
      <c r="F52" s="477">
        <f>'D5. Waiver Cost Projection'!W16</f>
        <v>0</v>
      </c>
      <c r="G52" s="477">
        <f>'D5. Waiver Cost Projection'!AA16</f>
        <v>0.78448208941264108</v>
      </c>
      <c r="H52" s="631">
        <f>'D5. Waiver Cost Projection'!AB16</f>
        <v>265.49946178349023</v>
      </c>
      <c r="I52" s="629">
        <f t="shared" si="1"/>
        <v>0.22844082408887734</v>
      </c>
      <c r="K52" s="178"/>
      <c r="L52" s="178"/>
      <c r="M52" s="178"/>
      <c r="N52" s="178"/>
      <c r="O52" s="178"/>
    </row>
    <row r="53" spans="2:15" ht="13.5" customHeight="1" x14ac:dyDescent="0.2">
      <c r="B53" s="338" t="s">
        <v>521</v>
      </c>
      <c r="C53" s="475">
        <f>'D1. Member Months'!I14</f>
        <v>994882</v>
      </c>
      <c r="D53" s="630">
        <f>'D5. Waiver Cost Projection'!O17</f>
        <v>269.27791654124155</v>
      </c>
      <c r="E53" s="477">
        <f>'D5. Waiver Cost Projection'!S17</f>
        <v>0</v>
      </c>
      <c r="F53" s="477">
        <f>'D5. Waiver Cost Projection'!W17</f>
        <v>0</v>
      </c>
      <c r="G53" s="477">
        <f>'D5. Waiver Cost Projection'!AA17</f>
        <v>0.7652975599429368</v>
      </c>
      <c r="H53" s="631">
        <f>'D5. Waiver Cost Projection'!AB17</f>
        <v>270.0432141011845</v>
      </c>
      <c r="I53" s="629">
        <f t="shared" si="1"/>
        <v>0.28078598900762097</v>
      </c>
      <c r="K53" s="178"/>
      <c r="L53" s="178"/>
      <c r="M53" s="178"/>
      <c r="N53" s="178"/>
      <c r="O53" s="178"/>
    </row>
    <row r="54" spans="2:15" ht="13.5" customHeight="1" x14ac:dyDescent="0.2">
      <c r="B54" s="338" t="s">
        <v>516</v>
      </c>
      <c r="C54" s="475">
        <f>'D1. Member Months'!I15</f>
        <v>14869740</v>
      </c>
      <c r="D54" s="630">
        <f>'D5. Waiver Cost Projection'!O18</f>
        <v>186.60104455013706</v>
      </c>
      <c r="E54" s="477">
        <f>'D5. Waiver Cost Projection'!S18</f>
        <v>0</v>
      </c>
      <c r="F54" s="477">
        <f>'D5. Waiver Cost Projection'!W18</f>
        <v>0</v>
      </c>
      <c r="G54" s="477">
        <f>'D5. Waiver Cost Projection'!AA18</f>
        <v>0.53512475373943169</v>
      </c>
      <c r="H54" s="631">
        <f>'D5. Waiver Cost Projection'!AB18</f>
        <v>187.1361693038765</v>
      </c>
      <c r="I54" s="629">
        <f t="shared" si="1"/>
        <v>0.26933519651239757</v>
      </c>
      <c r="K54" s="171"/>
      <c r="L54" s="171"/>
      <c r="M54" s="171"/>
      <c r="N54" s="171"/>
      <c r="O54" s="171"/>
    </row>
    <row r="55" spans="2:15" ht="13.5" customHeight="1" x14ac:dyDescent="0.2">
      <c r="B55" s="346" t="s">
        <v>517</v>
      </c>
      <c r="C55" s="475">
        <f>'D1. Member Months'!I16</f>
        <v>9108336</v>
      </c>
      <c r="D55" s="630">
        <f>'D5. Waiver Cost Projection'!O19</f>
        <v>1316.2645871185709</v>
      </c>
      <c r="E55" s="477">
        <f>'D5. Waiver Cost Projection'!S19</f>
        <v>0</v>
      </c>
      <c r="F55" s="477">
        <f>'D5. Waiver Cost Projection'!W19</f>
        <v>0</v>
      </c>
      <c r="G55" s="477">
        <f>'D5. Waiver Cost Projection'!AA19</f>
        <v>4.3048729216262469</v>
      </c>
      <c r="H55" s="631">
        <f>'D5. Waiver Cost Projection'!AB19</f>
        <v>1320.5694600401971</v>
      </c>
      <c r="I55" s="629">
        <f t="shared" si="1"/>
        <v>0.11345979973679743</v>
      </c>
      <c r="K55" s="171"/>
      <c r="L55" s="171"/>
      <c r="M55" s="171"/>
      <c r="N55" s="171"/>
      <c r="O55" s="171"/>
    </row>
    <row r="56" spans="2:15" ht="13.5" customHeight="1" thickBot="1" x14ac:dyDescent="0.25">
      <c r="B56" s="346" t="s">
        <v>522</v>
      </c>
      <c r="C56" s="475">
        <f>'D1. Member Months'!I17</f>
        <v>3415064</v>
      </c>
      <c r="D56" s="630">
        <f>'D5. Waiver Cost Projection'!O20</f>
        <v>450.85014406711036</v>
      </c>
      <c r="E56" s="477">
        <f>'D5. Waiver Cost Projection'!S20</f>
        <v>0</v>
      </c>
      <c r="F56" s="477">
        <f>'D5. Waiver Cost Projection'!W20</f>
        <v>0</v>
      </c>
      <c r="G56" s="477">
        <f>'D5. Waiver Cost Projection'!AA20</f>
        <v>1.2908111797714776</v>
      </c>
      <c r="H56" s="631">
        <f>'D5. Waiver Cost Projection'!AB20</f>
        <v>452.14095524688184</v>
      </c>
      <c r="I56" s="629">
        <f t="shared" si="1"/>
        <v>0.27140746663143878</v>
      </c>
      <c r="K56" s="179"/>
      <c r="L56" s="179"/>
      <c r="M56" s="179"/>
      <c r="N56" s="179"/>
      <c r="O56" s="179"/>
    </row>
    <row r="57" spans="2:15" ht="13.5" customHeight="1" thickTop="1" thickBot="1" x14ac:dyDescent="0.25">
      <c r="B57" s="632" t="s">
        <v>98</v>
      </c>
      <c r="C57" s="633">
        <f>SUM(C49:C56)</f>
        <v>127490603</v>
      </c>
      <c r="D57" s="634"/>
      <c r="E57" s="635"/>
      <c r="F57" s="635"/>
      <c r="G57" s="635"/>
      <c r="H57" s="635"/>
      <c r="I57" s="636" t="s">
        <v>163</v>
      </c>
      <c r="K57" s="179"/>
      <c r="L57" s="179"/>
      <c r="M57" s="179"/>
      <c r="N57" s="179"/>
      <c r="O57" s="179"/>
    </row>
    <row r="58" spans="2:15" ht="13.5" customHeight="1" thickTop="1" thickBot="1" x14ac:dyDescent="0.25">
      <c r="B58" s="632" t="s">
        <v>312</v>
      </c>
      <c r="C58" s="637"/>
      <c r="D58" s="586">
        <f>SUMPRODUCT(D49:D56,$C$28:$C$35)/$C$36</f>
        <v>431.09877550696075</v>
      </c>
      <c r="E58" s="586">
        <f>SUMPRODUCT(E49:E56,$C$28:$C$35)/$C$36</f>
        <v>0</v>
      </c>
      <c r="F58" s="586">
        <f>SUMPRODUCT(F49:F56,$C$28:$C$35)/$C$36</f>
        <v>0</v>
      </c>
      <c r="G58" s="586">
        <f>SUMPRODUCT(G49:G56,$C$28:$C$35)/$C$36</f>
        <v>1.3380617070393754</v>
      </c>
      <c r="H58" s="586">
        <f>SUMPRODUCT(H49:H56,$C$28:$C$35)/$C$36</f>
        <v>432.43683721400004</v>
      </c>
      <c r="I58" s="629">
        <f>(H58/H38)-1</f>
        <v>0.17305984427918841</v>
      </c>
      <c r="K58" s="180"/>
      <c r="L58" s="171"/>
      <c r="M58" s="171"/>
      <c r="N58" s="171"/>
      <c r="O58" s="181"/>
    </row>
    <row r="59" spans="2:15" ht="13.5" customHeight="1" thickTop="1" thickBot="1" x14ac:dyDescent="0.25">
      <c r="B59" s="632" t="s">
        <v>313</v>
      </c>
      <c r="C59" s="637"/>
      <c r="D59" s="586">
        <f>SUMPRODUCT(D49:D56,$C$49:$C$56)/$C$57</f>
        <v>431.09877550696075</v>
      </c>
      <c r="E59" s="586">
        <f>SUMPRODUCT(E49:E56,$C$49:$C$56)/$C$57</f>
        <v>0</v>
      </c>
      <c r="F59" s="586">
        <f>SUMPRODUCT(F49:F56,$C$49:$C$56)/$C$57</f>
        <v>0</v>
      </c>
      <c r="G59" s="586">
        <f>SUMPRODUCT(G49:G56,$C$49:$C$56)/$C$57</f>
        <v>1.3380617070393754</v>
      </c>
      <c r="H59" s="586">
        <f>SUMPRODUCT(H49:H56,$C$49:$C$56)/$C$57</f>
        <v>432.43683721400004</v>
      </c>
      <c r="I59" s="638">
        <f>(H59/H38)-1</f>
        <v>0.17305984427918841</v>
      </c>
      <c r="K59" s="171"/>
      <c r="L59" s="171"/>
      <c r="M59" s="171"/>
      <c r="N59" s="171"/>
      <c r="O59" s="181"/>
    </row>
    <row r="60" spans="2:15" ht="13.5" customHeight="1" thickTop="1" thickBot="1" x14ac:dyDescent="0.25">
      <c r="B60" s="639" t="s">
        <v>380</v>
      </c>
      <c r="C60" s="640"/>
      <c r="D60" s="641"/>
      <c r="E60" s="641"/>
      <c r="F60" s="641"/>
      <c r="G60" s="641"/>
      <c r="H60" s="642">
        <f>H59*C57</f>
        <v>55131633135.825706</v>
      </c>
      <c r="K60" s="171"/>
      <c r="L60" s="171"/>
      <c r="M60" s="171"/>
      <c r="N60" s="171"/>
      <c r="O60" s="181"/>
    </row>
    <row r="61" spans="2:15" ht="13.5" customHeight="1" thickTop="1" thickBot="1" x14ac:dyDescent="0.25">
      <c r="B61" s="79"/>
      <c r="I61" s="196"/>
      <c r="K61" s="171"/>
      <c r="L61" s="171"/>
      <c r="M61" s="171"/>
      <c r="N61" s="171"/>
      <c r="O61" s="171"/>
    </row>
    <row r="62" spans="2:15" ht="13.5" customHeight="1" x14ac:dyDescent="0.2">
      <c r="B62" s="453"/>
      <c r="C62" s="454" t="s">
        <v>139</v>
      </c>
      <c r="D62" s="456" t="s">
        <v>207</v>
      </c>
      <c r="E62" s="456"/>
      <c r="F62" s="456"/>
      <c r="G62" s="456"/>
      <c r="H62" s="457"/>
      <c r="I62" s="620" t="s">
        <v>163</v>
      </c>
      <c r="K62" s="175"/>
      <c r="L62" s="175"/>
      <c r="M62" s="175"/>
      <c r="N62" s="175"/>
      <c r="O62" s="176"/>
    </row>
    <row r="63" spans="2:15" ht="13.5" customHeight="1" x14ac:dyDescent="0.2">
      <c r="B63" s="459" t="s">
        <v>174</v>
      </c>
      <c r="C63" s="460" t="s">
        <v>184</v>
      </c>
      <c r="D63" s="621" t="s">
        <v>203</v>
      </c>
      <c r="E63" s="462" t="s">
        <v>203</v>
      </c>
      <c r="F63" s="462" t="s">
        <v>203</v>
      </c>
      <c r="G63" s="462" t="s">
        <v>203</v>
      </c>
      <c r="H63" s="462" t="s">
        <v>203</v>
      </c>
      <c r="I63" s="623" t="s">
        <v>187</v>
      </c>
      <c r="K63" s="177"/>
      <c r="L63" s="177"/>
      <c r="M63" s="177"/>
      <c r="N63" s="177"/>
      <c r="O63" s="177"/>
    </row>
    <row r="64" spans="2:15" ht="13.5" customHeight="1" x14ac:dyDescent="0.2">
      <c r="B64" s="459" t="s">
        <v>177</v>
      </c>
      <c r="C64" s="465" t="s">
        <v>140</v>
      </c>
      <c r="D64" s="624" t="s">
        <v>136</v>
      </c>
      <c r="E64" s="467" t="s">
        <v>81</v>
      </c>
      <c r="F64" s="467" t="s">
        <v>137</v>
      </c>
      <c r="G64" s="467" t="s">
        <v>82</v>
      </c>
      <c r="H64" s="468" t="s">
        <v>139</v>
      </c>
      <c r="I64" s="626" t="s">
        <v>188</v>
      </c>
      <c r="K64" s="177"/>
      <c r="L64" s="177"/>
      <c r="M64" s="177"/>
      <c r="N64" s="177"/>
      <c r="O64" s="177"/>
    </row>
    <row r="65" spans="1:15" ht="13.5" customHeight="1" x14ac:dyDescent="0.2">
      <c r="B65" s="469" t="s">
        <v>74</v>
      </c>
      <c r="C65" s="470" t="s">
        <v>19</v>
      </c>
      <c r="D65" s="627" t="s">
        <v>148</v>
      </c>
      <c r="E65" s="472" t="s">
        <v>148</v>
      </c>
      <c r="F65" s="472" t="s">
        <v>148</v>
      </c>
      <c r="G65" s="472" t="s">
        <v>148</v>
      </c>
      <c r="H65" s="473" t="s">
        <v>91</v>
      </c>
      <c r="I65" s="629" t="s">
        <v>186</v>
      </c>
      <c r="K65" s="177"/>
      <c r="L65" s="177"/>
      <c r="M65" s="177"/>
      <c r="N65" s="177"/>
      <c r="O65" s="177"/>
    </row>
    <row r="66" spans="1:15" ht="13.5" customHeight="1" x14ac:dyDescent="0.2">
      <c r="B66" s="338" t="s">
        <v>519</v>
      </c>
      <c r="C66" s="475">
        <f>'D1. Member Months'!N10</f>
        <v>36779905</v>
      </c>
      <c r="D66" s="630">
        <f>'D5. Waiver Cost Projection'!O32</f>
        <v>552.10684743930312</v>
      </c>
      <c r="E66" s="477">
        <f>'D5. Waiver Cost Projection'!S32</f>
        <v>0</v>
      </c>
      <c r="F66" s="477">
        <f>'D5. Waiver Cost Projection'!W32</f>
        <v>0</v>
      </c>
      <c r="G66" s="477">
        <f>'D5. Waiver Cost Projection'!AA32</f>
        <v>1.7896625429654502</v>
      </c>
      <c r="H66" s="606">
        <f>'D5. Waiver Cost Projection'!AB32</f>
        <v>553.89650998226853</v>
      </c>
      <c r="I66" s="629">
        <f>IFERROR(((H66/H49)-1),0)</f>
        <v>3.2963735262990346E-2</v>
      </c>
      <c r="K66" s="178"/>
      <c r="L66" s="178"/>
      <c r="M66" s="178"/>
      <c r="N66" s="178"/>
      <c r="O66" s="178"/>
    </row>
    <row r="67" spans="1:15" ht="13.5" customHeight="1" x14ac:dyDescent="0.2">
      <c r="B67" s="338" t="s">
        <v>525</v>
      </c>
      <c r="C67" s="475">
        <f>'D1. Member Months'!N11</f>
        <v>0</v>
      </c>
      <c r="D67" s="630">
        <f>'D5. Waiver Cost Projection'!O33</f>
        <v>0</v>
      </c>
      <c r="E67" s="477">
        <f>'D5. Waiver Cost Projection'!S33</f>
        <v>0</v>
      </c>
      <c r="F67" s="477">
        <f>'D5. Waiver Cost Projection'!W33</f>
        <v>0</v>
      </c>
      <c r="G67" s="477">
        <f>'D5. Waiver Cost Projection'!AA33</f>
        <v>0</v>
      </c>
      <c r="H67" s="606">
        <f>'D5. Waiver Cost Projection'!AB33</f>
        <v>0</v>
      </c>
      <c r="I67" s="629">
        <f t="shared" ref="I67:I73" si="2">IFERROR(((H67/H50)-1),0)</f>
        <v>-1</v>
      </c>
      <c r="K67" s="178"/>
      <c r="L67" s="178"/>
      <c r="M67" s="178"/>
      <c r="N67" s="178"/>
      <c r="O67" s="178"/>
    </row>
    <row r="68" spans="1:15" ht="13.5" customHeight="1" x14ac:dyDescent="0.2">
      <c r="B68" s="338" t="s">
        <v>520</v>
      </c>
      <c r="C68" s="475">
        <f>'D1. Member Months'!N12</f>
        <v>0</v>
      </c>
      <c r="D68" s="630">
        <f>'D5. Waiver Cost Projection'!O34</f>
        <v>0</v>
      </c>
      <c r="E68" s="477">
        <f>'D5. Waiver Cost Projection'!S34</f>
        <v>0</v>
      </c>
      <c r="F68" s="477">
        <f>'D5. Waiver Cost Projection'!W34</f>
        <v>0</v>
      </c>
      <c r="G68" s="477">
        <f>'D5. Waiver Cost Projection'!AA34</f>
        <v>0</v>
      </c>
      <c r="H68" s="606">
        <f>'D5. Waiver Cost Projection'!AB34</f>
        <v>0</v>
      </c>
      <c r="I68" s="629">
        <f t="shared" si="2"/>
        <v>-1</v>
      </c>
      <c r="K68" s="178"/>
      <c r="L68" s="178"/>
      <c r="M68" s="178"/>
      <c r="N68" s="178"/>
      <c r="O68" s="178"/>
    </row>
    <row r="69" spans="1:15" ht="13.5" customHeight="1" x14ac:dyDescent="0.2">
      <c r="B69" s="338" t="s">
        <v>518</v>
      </c>
      <c r="C69" s="475">
        <f>'D1. Member Months'!N13</f>
        <v>54139905</v>
      </c>
      <c r="D69" s="630">
        <f>'D5. Waiver Cost Projection'!O35</f>
        <v>257.27567493385567</v>
      </c>
      <c r="E69" s="477">
        <f>'D5. Waiver Cost Projection'!S35</f>
        <v>0</v>
      </c>
      <c r="F69" s="477">
        <f>'D5. Waiver Cost Projection'!W35</f>
        <v>0</v>
      </c>
      <c r="G69" s="477">
        <f>'D5. Waiver Cost Projection'!AA35</f>
        <v>0.82676567403198242</v>
      </c>
      <c r="H69" s="606">
        <f>'D5. Waiver Cost Projection'!AB35</f>
        <v>258.10244060788767</v>
      </c>
      <c r="I69" s="629">
        <f t="shared" si="2"/>
        <v>-2.7860776537598775E-2</v>
      </c>
      <c r="K69" s="178"/>
      <c r="L69" s="178"/>
      <c r="M69" s="178"/>
      <c r="N69" s="178"/>
      <c r="O69" s="178"/>
    </row>
    <row r="70" spans="1:15" ht="13.5" customHeight="1" x14ac:dyDescent="0.2">
      <c r="B70" s="338" t="s">
        <v>521</v>
      </c>
      <c r="C70" s="475">
        <f>'D1. Member Months'!N14</f>
        <v>994882</v>
      </c>
      <c r="D70" s="630">
        <f>'D5. Waiver Cost Projection'!O36</f>
        <v>262.95277139560312</v>
      </c>
      <c r="E70" s="477">
        <f>'D5. Waiver Cost Projection'!S36</f>
        <v>0</v>
      </c>
      <c r="F70" s="477">
        <f>'D5. Waiver Cost Projection'!W36</f>
        <v>0</v>
      </c>
      <c r="G70" s="477">
        <f>'D5. Waiver Cost Projection'!AA36</f>
        <v>0.80654709842386108</v>
      </c>
      <c r="H70" s="606">
        <f>'D5. Waiver Cost Projection'!AB36</f>
        <v>263.75931849402696</v>
      </c>
      <c r="I70" s="629">
        <f t="shared" si="2"/>
        <v>-2.3269963024521667E-2</v>
      </c>
      <c r="K70" s="178"/>
      <c r="L70" s="178"/>
      <c r="M70" s="178"/>
      <c r="N70" s="178"/>
      <c r="O70" s="178"/>
    </row>
    <row r="71" spans="1:15" ht="13.5" customHeight="1" x14ac:dyDescent="0.2">
      <c r="B71" s="338" t="s">
        <v>516</v>
      </c>
      <c r="C71" s="475">
        <f>'D1. Member Months'!N15</f>
        <v>14869740</v>
      </c>
      <c r="D71" s="630">
        <f>'D5. Waiver Cost Projection'!O37</f>
        <v>174.87425915438027</v>
      </c>
      <c r="E71" s="477">
        <f>'D5. Waiver Cost Projection'!S37</f>
        <v>0</v>
      </c>
      <c r="F71" s="477">
        <f>'D5. Waiver Cost Projection'!W37</f>
        <v>0</v>
      </c>
      <c r="G71" s="477">
        <f>'D5. Waiver Cost Projection'!AA37</f>
        <v>0.56396797796598708</v>
      </c>
      <c r="H71" s="606">
        <f>'D5. Waiver Cost Projection'!AB37</f>
        <v>175.43822713234624</v>
      </c>
      <c r="I71" s="629">
        <f t="shared" si="2"/>
        <v>-6.251032184235239E-2</v>
      </c>
      <c r="K71" s="178"/>
      <c r="L71" s="178"/>
      <c r="M71" s="178"/>
      <c r="N71" s="178"/>
      <c r="O71" s="178"/>
    </row>
    <row r="72" spans="1:15" ht="13.5" customHeight="1" x14ac:dyDescent="0.2">
      <c r="B72" s="346" t="s">
        <v>517</v>
      </c>
      <c r="C72" s="475">
        <f>'D1. Member Months'!N16</f>
        <v>9313336</v>
      </c>
      <c r="D72" s="630">
        <f>'D5. Waiver Cost Projection'!O38</f>
        <v>1426.4329166123368</v>
      </c>
      <c r="E72" s="477">
        <f>'D5. Waiver Cost Projection'!S38</f>
        <v>0</v>
      </c>
      <c r="F72" s="477">
        <f>'D5. Waiver Cost Projection'!W38</f>
        <v>0</v>
      </c>
      <c r="G72" s="477">
        <f>'D5. Waiver Cost Projection'!AA38</f>
        <v>4.5369055721019018</v>
      </c>
      <c r="H72" s="606">
        <f>'D5. Waiver Cost Projection'!AB38</f>
        <v>1430.9698221844387</v>
      </c>
      <c r="I72" s="629">
        <f t="shared" si="2"/>
        <v>8.3600571938776458E-2</v>
      </c>
      <c r="K72" s="178"/>
      <c r="L72" s="178"/>
      <c r="M72" s="178"/>
      <c r="N72" s="178"/>
      <c r="O72" s="178"/>
    </row>
    <row r="73" spans="1:15" ht="13.5" customHeight="1" thickBot="1" x14ac:dyDescent="0.25">
      <c r="B73" s="346" t="s">
        <v>522</v>
      </c>
      <c r="C73" s="475">
        <f>'D1. Member Months'!N17</f>
        <v>15257835</v>
      </c>
      <c r="D73" s="630">
        <f>'D5. Waiver Cost Projection'!O39</f>
        <v>695.14991476705757</v>
      </c>
      <c r="E73" s="477">
        <f>'D5. Waiver Cost Projection'!S39</f>
        <v>0</v>
      </c>
      <c r="F73" s="477">
        <f>'D5. Waiver Cost Projection'!W39</f>
        <v>0</v>
      </c>
      <c r="G73" s="477">
        <f>'D5. Waiver Cost Projection'!AA39</f>
        <v>1.6113645881468539</v>
      </c>
      <c r="H73" s="606">
        <f>'D5. Waiver Cost Projection'!AB39</f>
        <v>696.76127935520446</v>
      </c>
      <c r="I73" s="629">
        <f t="shared" si="2"/>
        <v>0.54102668928708963</v>
      </c>
      <c r="K73" s="178"/>
      <c r="L73" s="178"/>
      <c r="M73" s="178"/>
      <c r="N73" s="178"/>
      <c r="O73" s="178"/>
    </row>
    <row r="74" spans="1:15" ht="13.5" customHeight="1" thickTop="1" thickBot="1" x14ac:dyDescent="0.25">
      <c r="B74" s="632" t="s">
        <v>98</v>
      </c>
      <c r="C74" s="633">
        <f>SUM(C66:C73)</f>
        <v>131355603</v>
      </c>
      <c r="D74" s="634"/>
      <c r="E74" s="635"/>
      <c r="F74" s="635"/>
      <c r="G74" s="635"/>
      <c r="H74" s="635"/>
      <c r="I74" s="643"/>
      <c r="K74" s="171"/>
      <c r="L74" s="171"/>
      <c r="M74" s="171"/>
      <c r="N74" s="171"/>
      <c r="O74" s="171"/>
    </row>
    <row r="75" spans="1:15" ht="13.5" customHeight="1" thickTop="1" thickBot="1" x14ac:dyDescent="0.25">
      <c r="B75" s="632" t="s">
        <v>314</v>
      </c>
      <c r="C75" s="637"/>
      <c r="D75" s="586">
        <f>SUMPRODUCT(D66:D73,$C$49:$C$56)/$C$57</f>
        <v>411.51010540216782</v>
      </c>
      <c r="E75" s="586">
        <f>SUMPRODUCT(E66:E73,$C$49:$C$56)/$C$57</f>
        <v>0</v>
      </c>
      <c r="F75" s="586">
        <f>SUMPRODUCT(F66:F73,$C$49:$C$56)/$C$57</f>
        <v>0</v>
      </c>
      <c r="G75" s="586">
        <f>SUMPRODUCT(G66:G73,$C$49:$C$56)/$C$57</f>
        <v>1.3067604935523423</v>
      </c>
      <c r="H75" s="586">
        <f>SUMPRODUCT(H66:H73,$C$49:$C$56)/$C$57</f>
        <v>412.81686589572018</v>
      </c>
      <c r="I75" s="629">
        <f>(H75/H59)-1</f>
        <v>-4.5370721524749524E-2</v>
      </c>
      <c r="K75" s="179"/>
      <c r="L75" s="179"/>
      <c r="M75" s="179"/>
      <c r="N75" s="179"/>
      <c r="O75" s="179"/>
    </row>
    <row r="76" spans="1:15" ht="13.5" customHeight="1" thickTop="1" thickBot="1" x14ac:dyDescent="0.25">
      <c r="B76" s="632" t="s">
        <v>315</v>
      </c>
      <c r="C76" s="637"/>
      <c r="D76" s="586">
        <f>SUMPRODUCT(D66:D73,$C$66:$C$73)/$C$74</f>
        <v>464.30140842547274</v>
      </c>
      <c r="E76" s="586">
        <f>SUMPRODUCT(E66:E73,$C$66:$C$73)/$C$74</f>
        <v>0</v>
      </c>
      <c r="F76" s="586">
        <f>SUMPRODUCT(F66:F73,$C$66:$C$73)/$C$74</f>
        <v>0</v>
      </c>
      <c r="G76" s="586">
        <f>SUMPRODUCT(G66:G73,$C$66:$C$73)/$C$74</f>
        <v>1.4206685249412554</v>
      </c>
      <c r="H76" s="586">
        <f>SUMPRODUCT(H66:H73,$C$66:$C$73)/$C$74</f>
        <v>465.72207695041396</v>
      </c>
      <c r="I76" s="638">
        <f>(H76/H59)-1</f>
        <v>7.6971332856044405E-2</v>
      </c>
      <c r="K76" s="179"/>
      <c r="L76" s="179"/>
      <c r="M76" s="179"/>
      <c r="N76" s="179"/>
      <c r="O76" s="179"/>
    </row>
    <row r="77" spans="1:15" ht="13.5" customHeight="1" thickTop="1" thickBot="1" x14ac:dyDescent="0.25">
      <c r="B77" s="639" t="s">
        <v>381</v>
      </c>
      <c r="C77" s="640"/>
      <c r="D77" s="641"/>
      <c r="E77" s="641"/>
      <c r="F77" s="641"/>
      <c r="G77" s="641"/>
      <c r="H77" s="642">
        <f>C74*H76</f>
        <v>61175204248.234024</v>
      </c>
      <c r="K77" s="180"/>
      <c r="L77" s="171"/>
      <c r="M77" s="171"/>
      <c r="N77" s="171"/>
      <c r="O77" s="181"/>
    </row>
    <row r="78" spans="1:15" ht="13.5" customHeight="1" thickTop="1" thickBot="1" x14ac:dyDescent="0.25">
      <c r="B78" s="79"/>
      <c r="I78" s="196"/>
      <c r="K78" s="171"/>
      <c r="L78" s="171"/>
      <c r="M78" s="171"/>
      <c r="N78" s="171"/>
      <c r="O78" s="181"/>
    </row>
    <row r="79" spans="1:15" s="24" customFormat="1" ht="13.5" customHeight="1" x14ac:dyDescent="0.2">
      <c r="A79" s="62"/>
      <c r="B79" s="453"/>
      <c r="C79" s="454" t="s">
        <v>139</v>
      </c>
      <c r="D79" s="456" t="s">
        <v>495</v>
      </c>
      <c r="E79" s="456"/>
      <c r="F79" s="456"/>
      <c r="G79" s="456"/>
      <c r="H79" s="457"/>
      <c r="I79" s="620" t="s">
        <v>163</v>
      </c>
      <c r="J79"/>
      <c r="K79" s="171"/>
      <c r="L79" s="171"/>
      <c r="M79" s="171"/>
      <c r="N79" s="171"/>
      <c r="O79" s="181"/>
    </row>
    <row r="80" spans="1:15" s="24" customFormat="1" ht="13.5" customHeight="1" x14ac:dyDescent="0.2">
      <c r="A80" s="62"/>
      <c r="B80" s="459" t="s">
        <v>174</v>
      </c>
      <c r="C80" s="460" t="s">
        <v>501</v>
      </c>
      <c r="D80" s="621" t="s">
        <v>452</v>
      </c>
      <c r="E80" s="621" t="s">
        <v>452</v>
      </c>
      <c r="F80" s="621" t="s">
        <v>452</v>
      </c>
      <c r="G80" s="621" t="s">
        <v>452</v>
      </c>
      <c r="H80" s="621" t="s">
        <v>452</v>
      </c>
      <c r="I80" s="623" t="s">
        <v>187</v>
      </c>
      <c r="J80"/>
      <c r="K80" s="182"/>
      <c r="L80" s="182"/>
      <c r="M80" s="182"/>
      <c r="N80" s="182"/>
      <c r="O80" s="182"/>
    </row>
    <row r="81" spans="1:15" s="24" customFormat="1" ht="13.5" customHeight="1" x14ac:dyDescent="0.2">
      <c r="A81" s="62"/>
      <c r="B81" s="459" t="s">
        <v>177</v>
      </c>
      <c r="C81" s="465" t="s">
        <v>140</v>
      </c>
      <c r="D81" s="624" t="s">
        <v>136</v>
      </c>
      <c r="E81" s="467" t="s">
        <v>81</v>
      </c>
      <c r="F81" s="467" t="s">
        <v>137</v>
      </c>
      <c r="G81" s="467" t="s">
        <v>82</v>
      </c>
      <c r="H81" s="468" t="s">
        <v>139</v>
      </c>
      <c r="I81" s="626" t="s">
        <v>498</v>
      </c>
      <c r="J81"/>
      <c r="K81" s="175"/>
      <c r="L81" s="175"/>
      <c r="M81" s="175"/>
      <c r="N81" s="175"/>
      <c r="O81" s="176"/>
    </row>
    <row r="82" spans="1:15" s="24" customFormat="1" ht="13.5" customHeight="1" x14ac:dyDescent="0.2">
      <c r="A82" s="62"/>
      <c r="B82" s="469" t="s">
        <v>74</v>
      </c>
      <c r="C82" s="470" t="s">
        <v>412</v>
      </c>
      <c r="D82" s="627" t="s">
        <v>148</v>
      </c>
      <c r="E82" s="472" t="s">
        <v>148</v>
      </c>
      <c r="F82" s="472" t="s">
        <v>148</v>
      </c>
      <c r="G82" s="472" t="s">
        <v>148</v>
      </c>
      <c r="H82" s="473" t="s">
        <v>91</v>
      </c>
      <c r="I82" s="629" t="s">
        <v>186</v>
      </c>
      <c r="J82"/>
      <c r="K82" s="177"/>
      <c r="L82" s="177"/>
      <c r="M82" s="177"/>
      <c r="N82" s="177"/>
      <c r="O82" s="177"/>
    </row>
    <row r="83" spans="1:15" ht="13.5" customHeight="1" x14ac:dyDescent="0.2">
      <c r="B83" s="338" t="s">
        <v>519</v>
      </c>
      <c r="C83" s="475">
        <f>'D1. Member Months'!G40</f>
        <v>36779905</v>
      </c>
      <c r="D83" s="630">
        <f>'D5. Waiver Cost Projection'!O51</f>
        <v>572.05401873813696</v>
      </c>
      <c r="E83" s="477">
        <f>'D5. Waiver Cost Projection'!S51</f>
        <v>0</v>
      </c>
      <c r="F83" s="477">
        <f>'D5. Waiver Cost Projection'!W51</f>
        <v>0</v>
      </c>
      <c r="G83" s="477">
        <f>'D5. Waiver Cost Projection'!AA51</f>
        <v>1.8861253540312881</v>
      </c>
      <c r="H83" s="606">
        <f>'D5. Waiver Cost Projection'!AB51</f>
        <v>573.94014409216823</v>
      </c>
      <c r="I83" s="629">
        <f>IFERROR(((H83/H66)-1),0)</f>
        <v>3.6186604805546363E-2</v>
      </c>
      <c r="K83" s="177"/>
      <c r="L83" s="177"/>
      <c r="M83" s="177"/>
      <c r="N83" s="177"/>
      <c r="O83" s="177"/>
    </row>
    <row r="84" spans="1:15" ht="13.5" customHeight="1" x14ac:dyDescent="0.2">
      <c r="B84" s="338" t="s">
        <v>525</v>
      </c>
      <c r="C84" s="475">
        <f>'D1. Member Months'!G41</f>
        <v>0</v>
      </c>
      <c r="D84" s="630">
        <f>'D5. Waiver Cost Projection'!O52</f>
        <v>0</v>
      </c>
      <c r="E84" s="477">
        <f>'D5. Waiver Cost Projection'!S52</f>
        <v>0</v>
      </c>
      <c r="F84" s="477">
        <f>'D5. Waiver Cost Projection'!W52</f>
        <v>0</v>
      </c>
      <c r="G84" s="477">
        <f>'D5. Waiver Cost Projection'!AA52</f>
        <v>0</v>
      </c>
      <c r="H84" s="606">
        <f>'D5. Waiver Cost Projection'!AB52</f>
        <v>0</v>
      </c>
      <c r="I84" s="629">
        <f t="shared" ref="I84:I90" si="3">IFERROR(((H84/H67)-1),0)</f>
        <v>0</v>
      </c>
      <c r="K84" s="177"/>
      <c r="L84" s="177"/>
      <c r="M84" s="177"/>
      <c r="N84" s="177"/>
      <c r="O84" s="177"/>
    </row>
    <row r="85" spans="1:15" ht="13.5" customHeight="1" x14ac:dyDescent="0.2">
      <c r="B85" s="338" t="s">
        <v>520</v>
      </c>
      <c r="C85" s="475">
        <f>'D1. Member Months'!G42</f>
        <v>0</v>
      </c>
      <c r="D85" s="630">
        <f>'D5. Waiver Cost Projection'!O53</f>
        <v>0</v>
      </c>
      <c r="E85" s="477">
        <f>'D5. Waiver Cost Projection'!S53</f>
        <v>0</v>
      </c>
      <c r="F85" s="477">
        <f>'D5. Waiver Cost Projection'!W53</f>
        <v>0</v>
      </c>
      <c r="G85" s="477">
        <f>'D5. Waiver Cost Projection'!AA53</f>
        <v>0</v>
      </c>
      <c r="H85" s="606">
        <f>'D5. Waiver Cost Projection'!AB53</f>
        <v>0</v>
      </c>
      <c r="I85" s="629">
        <f t="shared" si="3"/>
        <v>0</v>
      </c>
      <c r="K85" s="177"/>
      <c r="L85" s="177"/>
      <c r="M85" s="177"/>
      <c r="N85" s="177"/>
      <c r="O85" s="177"/>
    </row>
    <row r="86" spans="1:15" ht="13.5" customHeight="1" x14ac:dyDescent="0.2">
      <c r="B86" s="338" t="s">
        <v>518</v>
      </c>
      <c r="C86" s="475">
        <f>'D1. Member Months'!G43</f>
        <v>54139905</v>
      </c>
      <c r="D86" s="630">
        <f>'D5. Waiver Cost Projection'!O54</f>
        <v>266.5993792806936</v>
      </c>
      <c r="E86" s="477">
        <f>'D5. Waiver Cost Projection'!S54</f>
        <v>0</v>
      </c>
      <c r="F86" s="477">
        <f>'D5. Waiver Cost Projection'!W54</f>
        <v>0</v>
      </c>
      <c r="G86" s="477">
        <f>'D5. Waiver Cost Projection'!AA54</f>
        <v>0.87132834386230629</v>
      </c>
      <c r="H86" s="606">
        <f>'D5. Waiver Cost Projection'!AB54</f>
        <v>267.47070762455593</v>
      </c>
      <c r="I86" s="629">
        <f t="shared" si="3"/>
        <v>3.6296700622450384E-2</v>
      </c>
      <c r="K86" s="177"/>
      <c r="L86" s="177"/>
      <c r="M86" s="177"/>
      <c r="N86" s="177"/>
      <c r="O86" s="177"/>
    </row>
    <row r="87" spans="1:15" ht="13.5" customHeight="1" x14ac:dyDescent="0.2">
      <c r="B87" s="338" t="s">
        <v>521</v>
      </c>
      <c r="C87" s="475">
        <f>'D1. Member Months'!G44</f>
        <v>994882</v>
      </c>
      <c r="D87" s="630">
        <f>'D5. Waiver Cost Projection'!O55</f>
        <v>272.68635119002727</v>
      </c>
      <c r="E87" s="477">
        <f>'D5. Waiver Cost Projection'!S55</f>
        <v>0</v>
      </c>
      <c r="F87" s="477">
        <f>'D5. Waiver Cost Projection'!W55</f>
        <v>0</v>
      </c>
      <c r="G87" s="477">
        <f>'D5. Waiver Cost Projection'!AA55</f>
        <v>0.85001998702890713</v>
      </c>
      <c r="H87" s="606">
        <f>'D5. Waiver Cost Projection'!AB55</f>
        <v>273.5363711770562</v>
      </c>
      <c r="I87" s="629">
        <f t="shared" si="3"/>
        <v>3.7068084414430436E-2</v>
      </c>
      <c r="K87" s="177"/>
      <c r="L87" s="177"/>
      <c r="M87" s="177"/>
      <c r="N87" s="177"/>
      <c r="O87" s="177"/>
    </row>
    <row r="88" spans="1:15" s="107" customFormat="1" ht="13.5" customHeight="1" x14ac:dyDescent="0.2">
      <c r="A88" s="62"/>
      <c r="B88" s="338" t="s">
        <v>516</v>
      </c>
      <c r="C88" s="475">
        <f>'D1. Member Months'!G45</f>
        <v>14869740</v>
      </c>
      <c r="D88" s="630">
        <f>'D5. Waiver Cost Projection'!O56</f>
        <v>181.22022597435202</v>
      </c>
      <c r="E88" s="477">
        <f>'D5. Waiver Cost Projection'!S56</f>
        <v>0</v>
      </c>
      <c r="F88" s="477">
        <f>'D5. Waiver Cost Projection'!W56</f>
        <v>0</v>
      </c>
      <c r="G88" s="477">
        <f>'D5. Waiver Cost Projection'!AA56</f>
        <v>0.59436585197835379</v>
      </c>
      <c r="H88" s="606">
        <f>'D5. Waiver Cost Projection'!AB56</f>
        <v>181.81459182633037</v>
      </c>
      <c r="I88" s="629">
        <f t="shared" si="3"/>
        <v>3.6345355275244406E-2</v>
      </c>
      <c r="J88"/>
      <c r="K88" s="178"/>
      <c r="L88" s="178"/>
      <c r="M88" s="178"/>
      <c r="N88" s="178"/>
      <c r="O88" s="178"/>
    </row>
    <row r="89" spans="1:15" s="107" customFormat="1" ht="13.5" customHeight="1" x14ac:dyDescent="0.2">
      <c r="A89" s="62"/>
      <c r="B89" s="346" t="s">
        <v>517</v>
      </c>
      <c r="C89" s="475">
        <f>'D1. Member Months'!G46</f>
        <v>9313336</v>
      </c>
      <c r="D89" s="630">
        <f>'D5. Waiver Cost Projection'!O57</f>
        <v>1478.3629375874275</v>
      </c>
      <c r="E89" s="477">
        <f>'D5. Waiver Cost Projection'!S57</f>
        <v>0</v>
      </c>
      <c r="F89" s="477">
        <f>'D5. Waiver Cost Projection'!W57</f>
        <v>0</v>
      </c>
      <c r="G89" s="477">
        <f>'D5. Waiver Cost Projection'!AA57</f>
        <v>4.7814447824381947</v>
      </c>
      <c r="H89" s="606">
        <f>'D5. Waiver Cost Projection'!AB57</f>
        <v>1483.1443823698658</v>
      </c>
      <c r="I89" s="629">
        <f t="shared" si="3"/>
        <v>3.6460978684917489E-2</v>
      </c>
      <c r="J89"/>
      <c r="K89" s="178"/>
      <c r="L89" s="178"/>
      <c r="M89" s="178"/>
      <c r="N89" s="178"/>
      <c r="O89" s="178"/>
    </row>
    <row r="90" spans="1:15" s="107" customFormat="1" ht="13.5" customHeight="1" thickBot="1" x14ac:dyDescent="0.25">
      <c r="A90" s="62"/>
      <c r="B90" s="346" t="s">
        <v>522</v>
      </c>
      <c r="C90" s="475">
        <f>'D1. Member Months'!G47</f>
        <v>15257835</v>
      </c>
      <c r="D90" s="630">
        <f>'D5. Waiver Cost Projection'!O58</f>
        <v>723.49181256294548</v>
      </c>
      <c r="E90" s="477">
        <f>'D5. Waiver Cost Projection'!S58</f>
        <v>0</v>
      </c>
      <c r="F90" s="477">
        <f>'D5. Waiver Cost Projection'!W58</f>
        <v>0</v>
      </c>
      <c r="G90" s="477">
        <f>'D5. Waiver Cost Projection'!AA58</f>
        <v>1.6982171394479693</v>
      </c>
      <c r="H90" s="606">
        <f>'D5. Waiver Cost Projection'!AB58</f>
        <v>725.19002970239342</v>
      </c>
      <c r="I90" s="629">
        <f t="shared" si="3"/>
        <v>4.0801277553048632E-2</v>
      </c>
      <c r="J90"/>
      <c r="K90" s="178"/>
      <c r="L90" s="178"/>
      <c r="M90" s="178"/>
      <c r="N90" s="178"/>
      <c r="O90" s="178"/>
    </row>
    <row r="91" spans="1:15" ht="13.5" customHeight="1" thickTop="1" thickBot="1" x14ac:dyDescent="0.25">
      <c r="B91" s="632" t="s">
        <v>98</v>
      </c>
      <c r="C91" s="633">
        <f>SUM(C83:C90)</f>
        <v>131355603</v>
      </c>
      <c r="D91" s="634"/>
      <c r="E91" s="635"/>
      <c r="F91" s="635"/>
      <c r="G91" s="635"/>
      <c r="H91" s="635"/>
      <c r="I91" s="643"/>
      <c r="K91" s="178"/>
      <c r="L91" s="178"/>
      <c r="M91" s="178"/>
      <c r="N91" s="178"/>
      <c r="O91" s="178"/>
    </row>
    <row r="92" spans="1:15" ht="13.5" customHeight="1" thickTop="1" thickBot="1" x14ac:dyDescent="0.25">
      <c r="B92" s="632" t="s">
        <v>508</v>
      </c>
      <c r="C92" s="637"/>
      <c r="D92" s="586">
        <f>SUMPRODUCT(D83:D90,$C$66:$C$73)/$C$74</f>
        <v>481.49567997059251</v>
      </c>
      <c r="E92" s="586">
        <f>SUMPRODUCT(E83:E90,$C$66:$C$73)/$C$74</f>
        <v>0</v>
      </c>
      <c r="F92" s="586">
        <f>SUMPRODUCT(F83:F90,$C$66:$C$73)/$C$74</f>
        <v>0</v>
      </c>
      <c r="G92" s="586">
        <f>SUMPRODUCT(G83:G90,$C$66:$C$73)/$C$74</f>
        <v>1.4972425584355891</v>
      </c>
      <c r="H92" s="586">
        <f>SUMPRODUCT(H83:H90,$C$66:$C$73)/$C$74</f>
        <v>482.99292252902808</v>
      </c>
      <c r="I92" s="629">
        <f>(H92/H76)-1</f>
        <v>3.708401734292921E-2</v>
      </c>
      <c r="K92" s="178"/>
      <c r="L92" s="178"/>
      <c r="M92" s="178"/>
      <c r="N92" s="178"/>
      <c r="O92" s="178"/>
    </row>
    <row r="93" spans="1:15" ht="13.5" customHeight="1" thickTop="1" thickBot="1" x14ac:dyDescent="0.25">
      <c r="B93" s="632" t="s">
        <v>481</v>
      </c>
      <c r="C93" s="637"/>
      <c r="D93" s="586">
        <f>SUMPRODUCT(D83:D90,$C$83:$C$90)/$C$91</f>
        <v>481.49567997059251</v>
      </c>
      <c r="E93" s="586">
        <f>SUMPRODUCT(E83:E90,$C$83:$C$90)/$C$91</f>
        <v>0</v>
      </c>
      <c r="F93" s="586">
        <f>SUMPRODUCT(F83:F90,$C$83:$C$90)/$C$91</f>
        <v>0</v>
      </c>
      <c r="G93" s="586">
        <f>SUMPRODUCT(G83:G90,$C$83:$C$90)/$C$91</f>
        <v>1.4972425584355891</v>
      </c>
      <c r="H93" s="586">
        <f>SUMPRODUCT(H83:H90,$C$83:$C$90)/$C$91</f>
        <v>482.99292252902808</v>
      </c>
      <c r="I93" s="638">
        <f>(H93/H76)-1</f>
        <v>3.708401734292921E-2</v>
      </c>
      <c r="K93" s="171"/>
      <c r="L93" s="171"/>
      <c r="M93" s="171"/>
      <c r="N93" s="171"/>
      <c r="O93" s="171"/>
    </row>
    <row r="94" spans="1:15" ht="13.5" customHeight="1" thickTop="1" thickBot="1" x14ac:dyDescent="0.25">
      <c r="B94" s="639" t="s">
        <v>509</v>
      </c>
      <c r="C94" s="640"/>
      <c r="D94" s="641"/>
      <c r="E94" s="641"/>
      <c r="F94" s="641"/>
      <c r="G94" s="641"/>
      <c r="H94" s="642">
        <f>C91*H93</f>
        <v>63443826583.532768</v>
      </c>
      <c r="I94" s="644"/>
      <c r="K94" s="179"/>
      <c r="L94" s="179"/>
      <c r="M94" s="179"/>
      <c r="N94" s="179"/>
      <c r="O94" s="179"/>
    </row>
    <row r="95" spans="1:15" ht="16.5" customHeight="1" thickTop="1" thickBot="1" x14ac:dyDescent="0.25">
      <c r="B95" s="79"/>
      <c r="I95" s="196"/>
      <c r="K95" s="179"/>
      <c r="L95" s="179"/>
      <c r="M95" s="179"/>
      <c r="N95" s="179"/>
      <c r="O95" s="179"/>
    </row>
    <row r="96" spans="1:15" ht="16.5" customHeight="1" x14ac:dyDescent="0.2">
      <c r="B96" s="453"/>
      <c r="C96" s="454" t="s">
        <v>139</v>
      </c>
      <c r="D96" s="456" t="s">
        <v>496</v>
      </c>
      <c r="E96" s="456"/>
      <c r="F96" s="456"/>
      <c r="G96" s="456"/>
      <c r="H96" s="457"/>
      <c r="I96" s="620" t="s">
        <v>163</v>
      </c>
      <c r="K96" s="180"/>
      <c r="L96" s="171"/>
      <c r="M96" s="171"/>
      <c r="N96" s="171"/>
      <c r="O96" s="181"/>
    </row>
    <row r="97" spans="2:15" ht="16.5" customHeight="1" x14ac:dyDescent="0.2">
      <c r="B97" s="459" t="s">
        <v>174</v>
      </c>
      <c r="C97" s="460" t="s">
        <v>502</v>
      </c>
      <c r="D97" s="621" t="s">
        <v>450</v>
      </c>
      <c r="E97" s="621" t="s">
        <v>450</v>
      </c>
      <c r="F97" s="621" t="s">
        <v>450</v>
      </c>
      <c r="G97" s="621" t="s">
        <v>450</v>
      </c>
      <c r="H97" s="621" t="s">
        <v>450</v>
      </c>
      <c r="I97" s="623" t="s">
        <v>187</v>
      </c>
      <c r="K97" s="171"/>
      <c r="L97" s="171"/>
      <c r="M97" s="171"/>
      <c r="N97" s="171"/>
      <c r="O97" s="181"/>
    </row>
    <row r="98" spans="2:15" x14ac:dyDescent="0.2">
      <c r="B98" s="459" t="s">
        <v>177</v>
      </c>
      <c r="C98" s="465" t="s">
        <v>140</v>
      </c>
      <c r="D98" s="624" t="s">
        <v>136</v>
      </c>
      <c r="E98" s="467" t="s">
        <v>81</v>
      </c>
      <c r="F98" s="467" t="s">
        <v>137</v>
      </c>
      <c r="G98" s="467" t="s">
        <v>82</v>
      </c>
      <c r="H98" s="468" t="s">
        <v>139</v>
      </c>
      <c r="I98" s="626" t="s">
        <v>499</v>
      </c>
      <c r="K98" s="171"/>
      <c r="L98" s="171"/>
      <c r="M98" s="171"/>
      <c r="N98" s="171"/>
      <c r="O98" s="181"/>
    </row>
    <row r="99" spans="2:15" x14ac:dyDescent="0.2">
      <c r="B99" s="469" t="s">
        <v>74</v>
      </c>
      <c r="C99" s="470" t="s">
        <v>413</v>
      </c>
      <c r="D99" s="627" t="s">
        <v>148</v>
      </c>
      <c r="E99" s="472" t="s">
        <v>148</v>
      </c>
      <c r="F99" s="472" t="s">
        <v>148</v>
      </c>
      <c r="G99" s="472" t="s">
        <v>148</v>
      </c>
      <c r="H99" s="473" t="s">
        <v>91</v>
      </c>
      <c r="I99" s="629" t="s">
        <v>186</v>
      </c>
    </row>
    <row r="100" spans="2:15" x14ac:dyDescent="0.2">
      <c r="B100" s="338" t="s">
        <v>519</v>
      </c>
      <c r="C100" s="475">
        <f>'D1. Member Months'!L40</f>
        <v>36779905</v>
      </c>
      <c r="D100" s="630">
        <f>'D5. Waiver Cost Projection'!O70</f>
        <v>594.89749301639085</v>
      </c>
      <c r="E100" s="477">
        <f>'D5. Waiver Cost Projection'!S70</f>
        <v>0</v>
      </c>
      <c r="F100" s="477">
        <f>'D5. Waiver Cost Projection'!W70</f>
        <v>0</v>
      </c>
      <c r="G100" s="477">
        <f>'D5. Waiver Cost Projection'!AA70</f>
        <v>1.9877875106135745</v>
      </c>
      <c r="H100" s="606">
        <f>'D5. Waiver Cost Projection'!AB70</f>
        <v>596.8852805270044</v>
      </c>
      <c r="I100" s="629">
        <f>IFERROR(((H100/H83)-1),0)</f>
        <v>3.9978274165034522E-2</v>
      </c>
    </row>
    <row r="101" spans="2:15" x14ac:dyDescent="0.2">
      <c r="B101" s="338" t="s">
        <v>525</v>
      </c>
      <c r="C101" s="475">
        <f>'D1. Member Months'!L41</f>
        <v>0</v>
      </c>
      <c r="D101" s="630">
        <f>'D5. Waiver Cost Projection'!O71</f>
        <v>0</v>
      </c>
      <c r="E101" s="477">
        <f>'D5. Waiver Cost Projection'!S71</f>
        <v>0</v>
      </c>
      <c r="F101" s="477">
        <f>'D5. Waiver Cost Projection'!W71</f>
        <v>0</v>
      </c>
      <c r="G101" s="477">
        <f>'D5. Waiver Cost Projection'!AA71</f>
        <v>0</v>
      </c>
      <c r="H101" s="606">
        <f>'D5. Waiver Cost Projection'!AB71</f>
        <v>0</v>
      </c>
      <c r="I101" s="629">
        <f t="shared" ref="I101:I107" si="4">IFERROR(((H101/H84)-1),0)</f>
        <v>0</v>
      </c>
    </row>
    <row r="102" spans="2:15" x14ac:dyDescent="0.2">
      <c r="B102" s="338" t="s">
        <v>520</v>
      </c>
      <c r="C102" s="475">
        <f>'D1. Member Months'!L42</f>
        <v>0</v>
      </c>
      <c r="D102" s="630">
        <f>'D5. Waiver Cost Projection'!O72</f>
        <v>0</v>
      </c>
      <c r="E102" s="477">
        <f>'D5. Waiver Cost Projection'!S72</f>
        <v>0</v>
      </c>
      <c r="F102" s="477">
        <f>'D5. Waiver Cost Projection'!W72</f>
        <v>0</v>
      </c>
      <c r="G102" s="477">
        <f>'D5. Waiver Cost Projection'!AA72</f>
        <v>0</v>
      </c>
      <c r="H102" s="606">
        <f>'D5. Waiver Cost Projection'!AB72</f>
        <v>0</v>
      </c>
      <c r="I102" s="629">
        <f t="shared" si="4"/>
        <v>0</v>
      </c>
    </row>
    <row r="103" spans="2:15" x14ac:dyDescent="0.2">
      <c r="B103" s="338" t="s">
        <v>518</v>
      </c>
      <c r="C103" s="475">
        <f>'D1. Member Months'!L43</f>
        <v>54139905</v>
      </c>
      <c r="D103" s="630">
        <f>'D5. Waiver Cost Projection'!O73</f>
        <v>275.36688352631211</v>
      </c>
      <c r="E103" s="477">
        <f>'D5. Waiver Cost Projection'!S73</f>
        <v>0</v>
      </c>
      <c r="F103" s="477">
        <f>'D5. Waiver Cost Projection'!W73</f>
        <v>0</v>
      </c>
      <c r="G103" s="477">
        <f>'D5. Waiver Cost Projection'!AA73</f>
        <v>0.91829294159648456</v>
      </c>
      <c r="H103" s="606">
        <f>'D5. Waiver Cost Projection'!AB73</f>
        <v>276.28517646790857</v>
      </c>
      <c r="I103" s="629">
        <f t="shared" si="4"/>
        <v>3.2954894095264198E-2</v>
      </c>
    </row>
    <row r="104" spans="2:15" x14ac:dyDescent="0.2">
      <c r="B104" s="338" t="s">
        <v>521</v>
      </c>
      <c r="C104" s="475">
        <f>'D1. Member Months'!L44</f>
        <v>994882</v>
      </c>
      <c r="D104" s="630">
        <f>'D5. Waiver Cost Projection'!O74</f>
        <v>281.85069847499562</v>
      </c>
      <c r="E104" s="477">
        <f>'D5. Waiver Cost Projection'!S74</f>
        <v>0</v>
      </c>
      <c r="F104" s="477">
        <f>'D5. Waiver Cost Projection'!W74</f>
        <v>0</v>
      </c>
      <c r="G104" s="477">
        <f>'D5. Waiver Cost Projection'!AA74</f>
        <v>0.89583606432976526</v>
      </c>
      <c r="H104" s="606">
        <f>'D5. Waiver Cost Projection'!AB74</f>
        <v>282.74653453932541</v>
      </c>
      <c r="I104" s="629">
        <f t="shared" si="4"/>
        <v>3.3670708296073659E-2</v>
      </c>
    </row>
    <row r="105" spans="2:15" x14ac:dyDescent="0.2">
      <c r="B105" s="338" t="s">
        <v>516</v>
      </c>
      <c r="C105" s="475">
        <f>'D1. Member Months'!L45</f>
        <v>14869740</v>
      </c>
      <c r="D105" s="630">
        <f>'D5. Waiver Cost Projection'!O75</f>
        <v>186.57785640390313</v>
      </c>
      <c r="E105" s="477">
        <f>'D5. Waiver Cost Projection'!S75</f>
        <v>0</v>
      </c>
      <c r="F105" s="477">
        <f>'D5. Waiver Cost Projection'!W75</f>
        <v>0</v>
      </c>
      <c r="G105" s="477">
        <f>'D5. Waiver Cost Projection'!AA75</f>
        <v>0.62640217139998711</v>
      </c>
      <c r="H105" s="606">
        <f>'D5. Waiver Cost Projection'!AB75</f>
        <v>187.2042585753031</v>
      </c>
      <c r="I105" s="629">
        <f t="shared" si="4"/>
        <v>2.9643752433913262E-2</v>
      </c>
    </row>
    <row r="106" spans="2:15" x14ac:dyDescent="0.2">
      <c r="B106" s="346" t="s">
        <v>517</v>
      </c>
      <c r="C106" s="475">
        <f>'D1. Member Months'!L46</f>
        <v>9313336</v>
      </c>
      <c r="D106" s="630">
        <f>'D5. Waiver Cost Projection'!O76</f>
        <v>1537.6934840017307</v>
      </c>
      <c r="E106" s="477">
        <f>'D5. Waiver Cost Projection'!S76</f>
        <v>0</v>
      </c>
      <c r="F106" s="477">
        <f>'D5. Waiver Cost Projection'!W76</f>
        <v>0</v>
      </c>
      <c r="G106" s="477">
        <f>'D5. Waiver Cost Projection'!AA76</f>
        <v>5.0391646562116135</v>
      </c>
      <c r="H106" s="606">
        <f>'D5. Waiver Cost Projection'!AB76</f>
        <v>1542.7326486579423</v>
      </c>
      <c r="I106" s="629">
        <f t="shared" si="4"/>
        <v>4.0176982764727587E-2</v>
      </c>
    </row>
    <row r="107" spans="2:15" ht="13.5" thickBot="1" x14ac:dyDescent="0.25">
      <c r="B107" s="346" t="s">
        <v>522</v>
      </c>
      <c r="C107" s="475">
        <f>'D1. Member Months'!L47</f>
        <v>15257835</v>
      </c>
      <c r="D107" s="630">
        <f>'D5. Waiver Cost Projection'!O77</f>
        <v>754.80574479776351</v>
      </c>
      <c r="E107" s="477">
        <f>'D5. Waiver Cost Projection'!S77</f>
        <v>0</v>
      </c>
      <c r="F107" s="477">
        <f>'D5. Waiver Cost Projection'!W77</f>
        <v>0</v>
      </c>
      <c r="G107" s="477">
        <f>'D5. Waiver Cost Projection'!AA77</f>
        <v>1.7897510432642147</v>
      </c>
      <c r="H107" s="606">
        <f>'D5. Waiver Cost Projection'!AB77</f>
        <v>756.59549584102774</v>
      </c>
      <c r="I107" s="629">
        <f t="shared" si="4"/>
        <v>4.3306533256562529E-2</v>
      </c>
    </row>
    <row r="108" spans="2:15" ht="14.25" thickTop="1" thickBot="1" x14ac:dyDescent="0.25">
      <c r="B108" s="632" t="s">
        <v>98</v>
      </c>
      <c r="C108" s="633">
        <f>SUM(C100:C107)</f>
        <v>131355603</v>
      </c>
      <c r="D108" s="634"/>
      <c r="E108" s="635"/>
      <c r="F108" s="635"/>
      <c r="G108" s="635"/>
      <c r="H108" s="635"/>
      <c r="I108" s="643"/>
    </row>
    <row r="109" spans="2:15" ht="14.25" thickTop="1" thickBot="1" x14ac:dyDescent="0.25">
      <c r="B109" s="632" t="s">
        <v>511</v>
      </c>
      <c r="C109" s="637"/>
      <c r="D109" s="586">
        <f>SUMPRODUCT(D100:D107,$C$83:$C$90)/$C$91</f>
        <v>500.02541715651313</v>
      </c>
      <c r="E109" s="586">
        <f>SUMPRODUCT(E100:E107,$C$83:$C$90)/$C$91</f>
        <v>0</v>
      </c>
      <c r="F109" s="586">
        <f>SUMPRODUCT(F100:F107,$C$83:$C$90)/$C$91</f>
        <v>0</v>
      </c>
      <c r="G109" s="586">
        <f>SUMPRODUCT(G100:G107,$C$83:$C$90)/$C$91</f>
        <v>1.5779439323352675</v>
      </c>
      <c r="H109" s="586">
        <f>SUMPRODUCT(H100:H107,$C$83:$C$90)/$C$91</f>
        <v>501.60336108884832</v>
      </c>
      <c r="I109" s="629">
        <f>(H109/H93)-1</f>
        <v>3.8531493302992992E-2</v>
      </c>
    </row>
    <row r="110" spans="2:15" ht="14.25" thickTop="1" thickBot="1" x14ac:dyDescent="0.25">
      <c r="B110" s="632" t="s">
        <v>480</v>
      </c>
      <c r="C110" s="637"/>
      <c r="D110" s="586">
        <f>SUMPRODUCT(D100:D107,$C$100:$C$107)/$C$108</f>
        <v>500.02541715651313</v>
      </c>
      <c r="E110" s="586">
        <f>SUMPRODUCT(E100:E107,$C$100:$C$107)/$C$108</f>
        <v>0</v>
      </c>
      <c r="F110" s="586">
        <f>SUMPRODUCT(F100:F107,$C$100:$C$107)/$C$108</f>
        <v>0</v>
      </c>
      <c r="G110" s="586">
        <f>SUMPRODUCT(G100:G107,$C$100:$C$107)/$C$108</f>
        <v>1.5779439323352675</v>
      </c>
      <c r="H110" s="586">
        <f>SUMPRODUCT(H100:H107,$C$100:$C$107)/$C$108</f>
        <v>501.60336108884832</v>
      </c>
      <c r="I110" s="638">
        <f>(H110/H93)-1</f>
        <v>3.8531493302992992E-2</v>
      </c>
    </row>
    <row r="111" spans="2:15" ht="14.25" thickTop="1" thickBot="1" x14ac:dyDescent="0.25">
      <c r="B111" s="639" t="s">
        <v>510</v>
      </c>
      <c r="C111" s="640"/>
      <c r="D111" s="641"/>
      <c r="E111" s="641"/>
      <c r="F111" s="641"/>
      <c r="G111" s="641"/>
      <c r="H111" s="642">
        <f>C108*H110</f>
        <v>65888411962.652405</v>
      </c>
    </row>
    <row r="112" spans="2:15" ht="14.25" thickTop="1" thickBot="1" x14ac:dyDescent="0.25">
      <c r="B112" s="79"/>
      <c r="I112" s="196"/>
    </row>
    <row r="113" spans="2:9" x14ac:dyDescent="0.2">
      <c r="B113" s="453"/>
      <c r="C113" s="454" t="s">
        <v>139</v>
      </c>
      <c r="D113" s="456" t="s">
        <v>497</v>
      </c>
      <c r="E113" s="456"/>
      <c r="F113" s="456"/>
      <c r="G113" s="456"/>
      <c r="H113" s="457"/>
      <c r="I113" s="645" t="s">
        <v>163</v>
      </c>
    </row>
    <row r="114" spans="2:9" x14ac:dyDescent="0.2">
      <c r="B114" s="459" t="s">
        <v>174</v>
      </c>
      <c r="C114" s="460" t="s">
        <v>503</v>
      </c>
      <c r="D114" s="621" t="s">
        <v>504</v>
      </c>
      <c r="E114" s="621" t="s">
        <v>504</v>
      </c>
      <c r="F114" s="621" t="s">
        <v>504</v>
      </c>
      <c r="G114" s="621" t="s">
        <v>504</v>
      </c>
      <c r="H114" s="621" t="s">
        <v>504</v>
      </c>
      <c r="I114" s="646" t="s">
        <v>187</v>
      </c>
    </row>
    <row r="115" spans="2:9" x14ac:dyDescent="0.2">
      <c r="B115" s="459" t="s">
        <v>177</v>
      </c>
      <c r="C115" s="465" t="s">
        <v>140</v>
      </c>
      <c r="D115" s="624" t="s">
        <v>136</v>
      </c>
      <c r="E115" s="467" t="s">
        <v>81</v>
      </c>
      <c r="F115" s="467" t="s">
        <v>137</v>
      </c>
      <c r="G115" s="467" t="s">
        <v>82</v>
      </c>
      <c r="H115" s="468" t="s">
        <v>139</v>
      </c>
      <c r="I115" s="647" t="s">
        <v>500</v>
      </c>
    </row>
    <row r="116" spans="2:9" x14ac:dyDescent="0.2">
      <c r="B116" s="469" t="s">
        <v>74</v>
      </c>
      <c r="C116" s="470" t="s">
        <v>419</v>
      </c>
      <c r="D116" s="627" t="s">
        <v>148</v>
      </c>
      <c r="E116" s="472" t="s">
        <v>148</v>
      </c>
      <c r="F116" s="472" t="s">
        <v>148</v>
      </c>
      <c r="G116" s="472" t="s">
        <v>148</v>
      </c>
      <c r="H116" s="473" t="s">
        <v>91</v>
      </c>
      <c r="I116" s="648" t="s">
        <v>186</v>
      </c>
    </row>
    <row r="117" spans="2:9" x14ac:dyDescent="0.2">
      <c r="B117" s="338" t="s">
        <v>519</v>
      </c>
      <c r="C117" s="475">
        <f>'D1. Member Months'!Q40</f>
        <v>36779905</v>
      </c>
      <c r="D117" s="630">
        <f>'D5. Waiver Cost Projection'!O89</f>
        <v>624.34491892070218</v>
      </c>
      <c r="E117" s="477">
        <f>'D5. Waiver Cost Projection'!S89</f>
        <v>0</v>
      </c>
      <c r="F117" s="477">
        <f>'D5. Waiver Cost Projection'!W89</f>
        <v>0</v>
      </c>
      <c r="G117" s="477">
        <f>'D5. Waiver Cost Projection'!AA89</f>
        <v>2.0949292574356462</v>
      </c>
      <c r="H117" s="606">
        <f>'D5. Waiver Cost Projection'!AB89</f>
        <v>626.43984817813782</v>
      </c>
      <c r="I117" s="629">
        <f>IFERROR(((H117/H100)-1),0)</f>
        <v>4.9514653175965373E-2</v>
      </c>
    </row>
    <row r="118" spans="2:9" x14ac:dyDescent="0.2">
      <c r="B118" s="338" t="s">
        <v>525</v>
      </c>
      <c r="C118" s="475">
        <f>'D1. Member Months'!Q41</f>
        <v>0</v>
      </c>
      <c r="D118" s="630">
        <f>'D5. Waiver Cost Projection'!O90</f>
        <v>0</v>
      </c>
      <c r="E118" s="477">
        <f>'D5. Waiver Cost Projection'!S90</f>
        <v>0</v>
      </c>
      <c r="F118" s="477">
        <f>'D5. Waiver Cost Projection'!W90</f>
        <v>0</v>
      </c>
      <c r="G118" s="477">
        <f>'D5. Waiver Cost Projection'!AA90</f>
        <v>0</v>
      </c>
      <c r="H118" s="606">
        <f>'D5. Waiver Cost Projection'!AB90</f>
        <v>0</v>
      </c>
      <c r="I118" s="629">
        <f t="shared" ref="I118:I124" si="5">IFERROR(((H118/H101)-1),0)</f>
        <v>0</v>
      </c>
    </row>
    <row r="119" spans="2:9" x14ac:dyDescent="0.2">
      <c r="B119" s="338" t="s">
        <v>520</v>
      </c>
      <c r="C119" s="475">
        <f>'D1. Member Months'!Q42</f>
        <v>0</v>
      </c>
      <c r="D119" s="630">
        <f>'D5. Waiver Cost Projection'!O91</f>
        <v>0</v>
      </c>
      <c r="E119" s="477">
        <f>'D5. Waiver Cost Projection'!S91</f>
        <v>0</v>
      </c>
      <c r="F119" s="477">
        <f>'D5. Waiver Cost Projection'!W91</f>
        <v>0</v>
      </c>
      <c r="G119" s="477">
        <f>'D5. Waiver Cost Projection'!AA91</f>
        <v>0</v>
      </c>
      <c r="H119" s="606">
        <f>'D5. Waiver Cost Projection'!AB91</f>
        <v>0</v>
      </c>
      <c r="I119" s="629">
        <f t="shared" si="5"/>
        <v>0</v>
      </c>
    </row>
    <row r="120" spans="2:9" x14ac:dyDescent="0.2">
      <c r="B120" s="338" t="s">
        <v>518</v>
      </c>
      <c r="C120" s="475">
        <f>'D1. Member Months'!Q43</f>
        <v>54139905</v>
      </c>
      <c r="D120" s="630">
        <f>'D5. Waiver Cost Projection'!O92</f>
        <v>288.99754426086457</v>
      </c>
      <c r="E120" s="477">
        <f>'D5. Waiver Cost Projection'!S92</f>
        <v>0</v>
      </c>
      <c r="F120" s="477">
        <f>'D5. Waiver Cost Projection'!W92</f>
        <v>0</v>
      </c>
      <c r="G120" s="477">
        <f>'D5. Waiver Cost Projection'!AA92</f>
        <v>0.96778893114853504</v>
      </c>
      <c r="H120" s="606">
        <f>'D5. Waiver Cost Projection'!AB92</f>
        <v>289.96533319201313</v>
      </c>
      <c r="I120" s="629">
        <f t="shared" si="5"/>
        <v>4.9514624342118951E-2</v>
      </c>
    </row>
    <row r="121" spans="2:9" x14ac:dyDescent="0.2">
      <c r="B121" s="338" t="s">
        <v>521</v>
      </c>
      <c r="C121" s="475">
        <f>'D1. Member Months'!Q44</f>
        <v>994882</v>
      </c>
      <c r="D121" s="630">
        <f>'D5. Waiver Cost Projection'!O93</f>
        <v>295.80230804950793</v>
      </c>
      <c r="E121" s="477">
        <f>'D5. Waiver Cost Projection'!S93</f>
        <v>0</v>
      </c>
      <c r="F121" s="477">
        <f>'D5. Waiver Cost Projection'!W93</f>
        <v>0</v>
      </c>
      <c r="G121" s="477">
        <f>'D5. Waiver Cost Projection'!AA93</f>
        <v>0.94412162819713963</v>
      </c>
      <c r="H121" s="606">
        <f>'D5. Waiver Cost Projection'!AB93</f>
        <v>296.74642967770507</v>
      </c>
      <c r="I121" s="629">
        <f t="shared" si="5"/>
        <v>4.9513940679023705E-2</v>
      </c>
    </row>
    <row r="122" spans="2:9" x14ac:dyDescent="0.2">
      <c r="B122" s="338" t="s">
        <v>516</v>
      </c>
      <c r="C122" s="475">
        <f>'D1. Member Months'!Q45</f>
        <v>14869740</v>
      </c>
      <c r="D122" s="630">
        <f>'D5. Waiver Cost Projection'!O94</f>
        <v>195.81346029589633</v>
      </c>
      <c r="E122" s="477">
        <f>'D5. Waiver Cost Projection'!S94</f>
        <v>0</v>
      </c>
      <c r="F122" s="477">
        <f>'D5. Waiver Cost Projection'!W94</f>
        <v>0</v>
      </c>
      <c r="G122" s="477">
        <f>'D5. Waiver Cost Projection'!AA94</f>
        <v>0.66016524843844637</v>
      </c>
      <c r="H122" s="606">
        <f>'D5. Waiver Cost Projection'!AB94</f>
        <v>196.47362554433479</v>
      </c>
      <c r="I122" s="629">
        <f t="shared" si="5"/>
        <v>4.9514722793034593E-2</v>
      </c>
    </row>
    <row r="123" spans="2:9" x14ac:dyDescent="0.2">
      <c r="B123" s="346" t="s">
        <v>517</v>
      </c>
      <c r="C123" s="475">
        <f>'D1. Member Months'!Q46</f>
        <v>9313336</v>
      </c>
      <c r="D123" s="630">
        <f>'D5. Waiver Cost Projection'!O95</f>
        <v>1613.8093114598164</v>
      </c>
      <c r="E123" s="477">
        <f>'D5. Waiver Cost Projection'!S95</f>
        <v>0</v>
      </c>
      <c r="F123" s="477">
        <f>'D5. Waiver Cost Projection'!W95</f>
        <v>0</v>
      </c>
      <c r="G123" s="477">
        <f>'D5. Waiver Cost Projection'!AA95</f>
        <v>5.3107756311814196</v>
      </c>
      <c r="H123" s="606">
        <f>'D5. Waiver Cost Projection'!AB95</f>
        <v>1619.1200870909979</v>
      </c>
      <c r="I123" s="629">
        <f t="shared" si="5"/>
        <v>4.9514372110752269E-2</v>
      </c>
    </row>
    <row r="124" spans="2:9" ht="13.5" thickBot="1" x14ac:dyDescent="0.25">
      <c r="B124" s="346" t="s">
        <v>522</v>
      </c>
      <c r="C124" s="475">
        <f>'D1. Member Months'!Q47</f>
        <v>15257835</v>
      </c>
      <c r="D124" s="630">
        <f>'D5. Waiver Cost Projection'!O96</f>
        <v>792.16862916525281</v>
      </c>
      <c r="E124" s="477">
        <f>'D5. Waiver Cost Projection'!S96</f>
        <v>0</v>
      </c>
      <c r="F124" s="477">
        <f>'D5. Waiver Cost Projection'!W96</f>
        <v>0</v>
      </c>
      <c r="G124" s="477">
        <f>'D5. Waiver Cost Projection'!AA96</f>
        <v>1.8862186244961558</v>
      </c>
      <c r="H124" s="606">
        <f>'D5. Waiver Cost Projection'!AB96</f>
        <v>794.05484778974892</v>
      </c>
      <c r="I124" s="629">
        <f t="shared" si="5"/>
        <v>4.9510408341886247E-2</v>
      </c>
    </row>
    <row r="125" spans="2:9" ht="14.25" thickTop="1" thickBot="1" x14ac:dyDescent="0.25">
      <c r="B125" s="632" t="s">
        <v>98</v>
      </c>
      <c r="C125" s="633">
        <f>SUM(C117:C124)</f>
        <v>131355603</v>
      </c>
      <c r="D125" s="634"/>
      <c r="E125" s="635"/>
      <c r="F125" s="635"/>
      <c r="G125" s="635"/>
      <c r="H125" s="635"/>
      <c r="I125" s="649"/>
    </row>
    <row r="126" spans="2:9" ht="14.25" thickTop="1" thickBot="1" x14ac:dyDescent="0.25">
      <c r="B126" s="632" t="s">
        <v>513</v>
      </c>
      <c r="C126" s="637"/>
      <c r="D126" s="586">
        <f>SUMPRODUCT(D117:D124,$C$100:$C$107)/$C$108</f>
        <v>524.77667530576048</v>
      </c>
      <c r="E126" s="586">
        <f>SUMPRODUCT(E117:E124,$C$100:$C$107)/$C$108</f>
        <v>0</v>
      </c>
      <c r="F126" s="586">
        <f>SUMPRODUCT(F117:F124,$C$100:$C$107)/$C$108</f>
        <v>0</v>
      </c>
      <c r="G126" s="586">
        <f>SUMPRODUCT(G117:G124,$C$100:$C$107)/$C$108</f>
        <v>1.6629951102881382</v>
      </c>
      <c r="H126" s="586">
        <f>SUMPRODUCT(H117:H124,$C$100:$C$107)/$C$108</f>
        <v>526.43967041604867</v>
      </c>
      <c r="I126" s="648">
        <f>(H126/H110)-1</f>
        <v>4.9513841520693269E-2</v>
      </c>
    </row>
    <row r="127" spans="2:9" ht="14.25" thickTop="1" thickBot="1" x14ac:dyDescent="0.25">
      <c r="B127" s="632" t="s">
        <v>479</v>
      </c>
      <c r="C127" s="637"/>
      <c r="D127" s="586">
        <f>SUMPRODUCT(D117:D124,$C$117:$C$124)/$C$125</f>
        <v>524.77667530576048</v>
      </c>
      <c r="E127" s="586">
        <f>SUMPRODUCT(E117:E124,$C$117:$C$124)/$C$125</f>
        <v>0</v>
      </c>
      <c r="F127" s="586">
        <f>SUMPRODUCT(F117:F124,$C$117:$C$124)/$C$125</f>
        <v>0</v>
      </c>
      <c r="G127" s="586">
        <f>SUMPRODUCT(G117:G124,$C$117:$C$124)/$C$125</f>
        <v>1.6629951102881382</v>
      </c>
      <c r="H127" s="586">
        <f>SUMPRODUCT(H117:H124,$C$117:$C$124)/$C$125</f>
        <v>526.43967041604867</v>
      </c>
      <c r="I127" s="650">
        <f>(H127/H110)-1</f>
        <v>4.9513841520693269E-2</v>
      </c>
    </row>
    <row r="128" spans="2:9" ht="14.25" thickTop="1" thickBot="1" x14ac:dyDescent="0.25">
      <c r="B128" s="639" t="s">
        <v>512</v>
      </c>
      <c r="C128" s="640"/>
      <c r="D128" s="641"/>
      <c r="E128" s="641"/>
      <c r="F128" s="641"/>
      <c r="G128" s="641"/>
      <c r="H128" s="642">
        <f>C125*H127</f>
        <v>69150800350.621338</v>
      </c>
      <c r="I128" s="651"/>
    </row>
    <row r="129" spans="2:13" ht="14.25" thickTop="1" thickBot="1" x14ac:dyDescent="0.25"/>
    <row r="130" spans="2:13" x14ac:dyDescent="0.2">
      <c r="B130" s="453"/>
      <c r="C130" s="652" t="s">
        <v>139</v>
      </c>
      <c r="D130" s="652" t="s">
        <v>139</v>
      </c>
      <c r="E130" s="18"/>
      <c r="F130" s="18"/>
      <c r="G130" s="18"/>
      <c r="H130" s="18"/>
      <c r="I130" s="656"/>
      <c r="K130" s="664"/>
      <c r="L130" s="664"/>
      <c r="M130" s="664"/>
    </row>
    <row r="131" spans="2:13" x14ac:dyDescent="0.2">
      <c r="B131" s="459" t="s">
        <v>174</v>
      </c>
      <c r="C131" s="653" t="s">
        <v>232</v>
      </c>
      <c r="D131" s="653" t="s">
        <v>505</v>
      </c>
      <c r="I131" s="657" t="s">
        <v>185</v>
      </c>
      <c r="K131" s="665" t="s">
        <v>185</v>
      </c>
      <c r="L131" s="665" t="s">
        <v>185</v>
      </c>
      <c r="M131" s="665" t="s">
        <v>185</v>
      </c>
    </row>
    <row r="132" spans="2:13" x14ac:dyDescent="0.2">
      <c r="B132" s="459" t="s">
        <v>177</v>
      </c>
      <c r="C132" s="654" t="s">
        <v>140</v>
      </c>
      <c r="D132" s="654" t="s">
        <v>140</v>
      </c>
      <c r="I132" s="658" t="s">
        <v>254</v>
      </c>
      <c r="K132" s="666" t="s">
        <v>494</v>
      </c>
      <c r="L132" s="666" t="s">
        <v>254</v>
      </c>
      <c r="M132" s="666" t="s">
        <v>494</v>
      </c>
    </row>
    <row r="133" spans="2:13" x14ac:dyDescent="0.2">
      <c r="B133" s="469" t="s">
        <v>74</v>
      </c>
      <c r="C133" s="655" t="s">
        <v>233</v>
      </c>
      <c r="D133" s="655" t="s">
        <v>506</v>
      </c>
      <c r="H133" s="123"/>
      <c r="I133" s="659" t="s">
        <v>371</v>
      </c>
      <c r="K133" s="667" t="s">
        <v>371</v>
      </c>
      <c r="L133" s="667" t="s">
        <v>189</v>
      </c>
      <c r="M133" s="667" t="s">
        <v>189</v>
      </c>
    </row>
    <row r="134" spans="2:13" x14ac:dyDescent="0.2">
      <c r="B134" s="338" t="s">
        <v>519</v>
      </c>
      <c r="C134" s="475">
        <f>'D1. Member Months'!J24</f>
        <v>73559810</v>
      </c>
      <c r="D134" s="475">
        <f>'D1. Member Months'!K24</f>
        <v>183899525</v>
      </c>
      <c r="I134" s="660">
        <f>(((H66/H12)^(1/'D1. Member Months'!T20))-1)</f>
        <v>-8.9298595002429426E-4</v>
      </c>
      <c r="K134" s="668">
        <f>(((H117/H12)^(1/'D1. Member Months'!T32))-1)</f>
        <v>3.2297763170707761E-4</v>
      </c>
      <c r="L134" s="668">
        <f t="shared" ref="L134:L139" si="6">((1+I134)^12)-1</f>
        <v>-1.0663357767555892E-2</v>
      </c>
      <c r="M134" s="668">
        <f t="shared" ref="M134:M141" si="7">((1+K134)^12)-1</f>
        <v>3.8826237582907375E-3</v>
      </c>
    </row>
    <row r="135" spans="2:13" x14ac:dyDescent="0.2">
      <c r="B135" s="338" t="s">
        <v>525</v>
      </c>
      <c r="C135" s="475">
        <f>'D1. Member Months'!J25</f>
        <v>6866224</v>
      </c>
      <c r="D135" s="475">
        <f>'D1. Member Months'!K25</f>
        <v>6866224</v>
      </c>
      <c r="I135" s="660" t="e">
        <f>(((H67/H13)^(1/'D1. Member Months'!T20))-1)</f>
        <v>#DIV/0!</v>
      </c>
      <c r="K135" s="668">
        <f>(((H118/H13)^(1/'D1. Member Months'!T32))-1)</f>
        <v>-1</v>
      </c>
      <c r="L135" s="668" t="e">
        <f t="shared" si="6"/>
        <v>#DIV/0!</v>
      </c>
      <c r="M135" s="668">
        <f>((1+K135)^12)-1</f>
        <v>-1</v>
      </c>
    </row>
    <row r="136" spans="2:13" x14ac:dyDescent="0.2">
      <c r="B136" s="338" t="s">
        <v>520</v>
      </c>
      <c r="C136" s="475">
        <f>'D1. Member Months'!J26</f>
        <v>1316547</v>
      </c>
      <c r="D136" s="475">
        <f>'D1. Member Months'!K26</f>
        <v>1316547</v>
      </c>
      <c r="I136" s="660" t="e">
        <f>(((H68/H14)^(1/'D1. Member Months'!T20))-1)</f>
        <v>#DIV/0!</v>
      </c>
      <c r="K136" s="668">
        <f>(((H119/H14)^(1/'D1. Member Months'!T32))-1)</f>
        <v>-1</v>
      </c>
      <c r="L136" s="668" t="e">
        <f t="shared" si="6"/>
        <v>#DIV/0!</v>
      </c>
      <c r="M136" s="668">
        <f>((1+K136)^12)-1</f>
        <v>-1</v>
      </c>
    </row>
    <row r="137" spans="2:13" x14ac:dyDescent="0.2">
      <c r="B137" s="338" t="s">
        <v>518</v>
      </c>
      <c r="C137" s="475">
        <f>'D1. Member Months'!J27</f>
        <v>108279810</v>
      </c>
      <c r="D137" s="475">
        <f>'D1. Member Months'!K27</f>
        <v>270699525</v>
      </c>
      <c r="I137" s="660">
        <f>(((H69/H15)^(1/'D1. Member Months'!T20))-1)</f>
        <v>-9.3865702591533484E-4</v>
      </c>
      <c r="K137" s="668">
        <f>(((H120/H15)^(1/'D1. Member Months'!T32))-1)</f>
        <v>3.2515717093928309E-4</v>
      </c>
      <c r="L137" s="668">
        <f t="shared" si="6"/>
        <v>-1.1205914790889726E-2</v>
      </c>
      <c r="M137" s="668">
        <f>((1+K137)^12)-1</f>
        <v>3.9088716142212654E-3</v>
      </c>
    </row>
    <row r="138" spans="2:13" x14ac:dyDescent="0.2">
      <c r="B138" s="338" t="s">
        <v>521</v>
      </c>
      <c r="C138" s="475">
        <f>'D1. Member Months'!J28</f>
        <v>1989764</v>
      </c>
      <c r="D138" s="475">
        <f>'D1. Member Months'!K28</f>
        <v>4974410</v>
      </c>
      <c r="H138" s="124"/>
      <c r="I138" s="660">
        <f>(((H70/H16)^(1/+'D1. Member Months'!T20))-1)</f>
        <v>-1.1841077023171387E-3</v>
      </c>
      <c r="K138" s="668">
        <f>(((H121/H16)^(1/'D1. Member Months'!T32))-1)</f>
        <v>3.7813557587473845E-4</v>
      </c>
      <c r="L138" s="668">
        <f t="shared" si="6"/>
        <v>-1.4117117382281941E-2</v>
      </c>
      <c r="M138" s="668">
        <f t="shared" si="7"/>
        <v>4.5470759255537008E-3</v>
      </c>
    </row>
    <row r="139" spans="2:13" x14ac:dyDescent="0.2">
      <c r="B139" s="338" t="s">
        <v>516</v>
      </c>
      <c r="C139" s="475">
        <f>'D1. Member Months'!J29</f>
        <v>29739480</v>
      </c>
      <c r="D139" s="475">
        <f>'D1. Member Months'!K29</f>
        <v>74348700</v>
      </c>
      <c r="I139" s="660">
        <f>(((H71/H17)^(1/+'D1. Member Months'!T20))-1)</f>
        <v>-9.199140000674122E-4</v>
      </c>
      <c r="K139" s="668">
        <f>(((H122/H17)^(1/'D1. Member Months'!T32))-1)</f>
        <v>3.177329523715855E-4</v>
      </c>
      <c r="L139" s="668">
        <f t="shared" si="6"/>
        <v>-1.0983286953514693E-2</v>
      </c>
      <c r="M139" s="668">
        <f t="shared" si="7"/>
        <v>3.8194654694481134E-3</v>
      </c>
    </row>
    <row r="140" spans="2:13" x14ac:dyDescent="0.2">
      <c r="B140" s="346" t="s">
        <v>517</v>
      </c>
      <c r="C140" s="475">
        <f>'D1. Member Months'!J30</f>
        <v>18421672</v>
      </c>
      <c r="D140" s="475">
        <f>'D1. Member Months'!K30</f>
        <v>46361680</v>
      </c>
      <c r="I140" s="661"/>
      <c r="K140" s="668"/>
      <c r="L140" s="669"/>
      <c r="M140" s="669"/>
    </row>
    <row r="141" spans="2:13" ht="13.5" thickBot="1" x14ac:dyDescent="0.25">
      <c r="B141" s="346" t="s">
        <v>522</v>
      </c>
      <c r="C141" s="475">
        <f>'D1. Member Months'!J31</f>
        <v>18672899</v>
      </c>
      <c r="D141" s="475">
        <f>'D1. Member Months'!K31</f>
        <v>64446404</v>
      </c>
      <c r="I141" s="662">
        <f>(((H73/H19)^(1/+'D1. Member Months'!T20))-1)</f>
        <v>-3.5522651633584923E-3</v>
      </c>
      <c r="K141" s="668">
        <f>(((H124/H19)^(1/'D1. Member Months'!T32))-1)</f>
        <v>8.8898239515655675E-4</v>
      </c>
      <c r="L141" s="670">
        <f>((1+I141)^12)-1</f>
        <v>-4.1804138199356133E-2</v>
      </c>
      <c r="M141" s="670">
        <f t="shared" si="7"/>
        <v>1.0720102733400294E-2</v>
      </c>
    </row>
    <row r="142" spans="2:13" ht="14.25" thickTop="1" thickBot="1" x14ac:dyDescent="0.25">
      <c r="B142" s="632" t="s">
        <v>98</v>
      </c>
      <c r="C142" s="633">
        <f>SUM(C134:C141)</f>
        <v>258846206</v>
      </c>
      <c r="D142" s="633">
        <f>SUM(D134:D141)</f>
        <v>652913015</v>
      </c>
      <c r="I142" s="198"/>
      <c r="K142" s="162"/>
      <c r="L142" s="162"/>
      <c r="M142" s="162"/>
    </row>
    <row r="143" spans="2:13" ht="14.25" thickTop="1" thickBot="1" x14ac:dyDescent="0.25">
      <c r="B143" s="632" t="s">
        <v>316</v>
      </c>
      <c r="C143" s="18"/>
      <c r="I143" s="663">
        <f>((((SUMPRODUCT(H66:H73,$C$12:$C$19)/$C$20)/H21)^(1/+'D1. Member Months'!T20))-1)</f>
        <v>-5.9867459881601803E-4</v>
      </c>
      <c r="K143" s="671">
        <f>((((SUMPRODUCT(H117:H124,$C$12:$C$19)/$C$20)/H21)^(1/+'D1. Member Months'!T32))-1)</f>
        <v>2.5936974319895612E-4</v>
      </c>
      <c r="L143" s="671">
        <f>((1+I143)^12)-1</f>
        <v>-7.1604871838785167E-3</v>
      </c>
      <c r="M143" s="671">
        <f>((1+K143)^12)-1</f>
        <v>3.1168807551003042E-3</v>
      </c>
    </row>
    <row r="144" spans="2:13" ht="14.25" thickTop="1" thickBot="1" x14ac:dyDescent="0.25">
      <c r="B144" s="632" t="s">
        <v>315</v>
      </c>
      <c r="C144" s="18"/>
      <c r="I144" s="662">
        <f>(((H76/H21)^(1/+'D1. Member Months'!T20))-1)</f>
        <v>-1.2361050572857746E-3</v>
      </c>
      <c r="K144" s="670">
        <f>(((H127/H21)^(1/+'D1. Member Months'!T32))-1)</f>
        <v>3.9423261274507126E-4</v>
      </c>
      <c r="L144" s="670">
        <f>((1+I144)^12)-1</f>
        <v>-1.4732829974058448E-2</v>
      </c>
      <c r="M144" s="670">
        <f>((1+K144)^12)-1</f>
        <v>4.7410625219030944E-3</v>
      </c>
    </row>
    <row r="145" spans="2:9" ht="14.25" thickTop="1" thickBot="1" x14ac:dyDescent="0.25">
      <c r="B145" s="640" t="s">
        <v>293</v>
      </c>
      <c r="C145" s="87"/>
      <c r="D145" s="87"/>
      <c r="E145" s="87"/>
      <c r="F145" s="87"/>
      <c r="G145" s="87"/>
      <c r="H145" s="642">
        <f>H60+H77</f>
        <v>116306837384.05972</v>
      </c>
      <c r="I145" s="197"/>
    </row>
    <row r="146" spans="2:9" ht="14.25" thickTop="1" thickBot="1" x14ac:dyDescent="0.25">
      <c r="B146" s="640" t="s">
        <v>507</v>
      </c>
      <c r="C146" s="87"/>
      <c r="D146" s="87"/>
      <c r="E146" s="87"/>
      <c r="F146" s="87"/>
      <c r="G146" s="87"/>
      <c r="H146" s="642">
        <f>H60+H77+H94+H111+H128</f>
        <v>314789876280.86621</v>
      </c>
      <c r="I146" s="197"/>
    </row>
    <row r="147" spans="2:9" ht="13.5" thickTop="1" x14ac:dyDescent="0.2">
      <c r="B147" s="153" t="s">
        <v>330</v>
      </c>
    </row>
    <row r="148" spans="2:9" x14ac:dyDescent="0.2">
      <c r="B148" s="157" t="s">
        <v>331</v>
      </c>
    </row>
    <row r="149" spans="2:9" x14ac:dyDescent="0.2">
      <c r="B149" s="158" t="s">
        <v>372</v>
      </c>
    </row>
    <row r="150" spans="2:9" x14ac:dyDescent="0.2">
      <c r="B150" s="159" t="s">
        <v>332</v>
      </c>
    </row>
  </sheetData>
  <phoneticPr fontId="0" type="noConversion"/>
  <printOptions horizontalCentered="1"/>
  <pageMargins left="0.25" right="0.25" top="1" bottom="0.5" header="0.75" footer="0.5"/>
  <pageSetup scale="32" orientation="portrait" horizontalDpi="36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zoomScale="70" zoomScaleNormal="70" workbookViewId="0">
      <selection activeCell="A3" sqref="A3:XFD1048576"/>
    </sheetView>
  </sheetViews>
  <sheetFormatPr defaultColWidth="0" defaultRowHeight="12.75" zeroHeight="1" x14ac:dyDescent="0.2"/>
  <cols>
    <col min="1" max="1" width="23.42578125" bestFit="1" customWidth="1"/>
    <col min="2" max="2" width="9.140625" customWidth="1"/>
    <col min="3" max="16384" width="9.140625" hidden="1"/>
  </cols>
  <sheetData>
    <row r="1" spans="1:2" x14ac:dyDescent="0.2">
      <c r="A1" s="672" t="s">
        <v>532</v>
      </c>
      <c r="B1" s="673">
        <v>4.9500000000000002E-2</v>
      </c>
    </row>
    <row r="2" spans="1:2" x14ac:dyDescent="0.2">
      <c r="A2" s="674" t="s">
        <v>533</v>
      </c>
      <c r="B2" s="675">
        <v>5.3900000000000003E-2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DHCSDOC-2129867196-5408</_dlc_DocId>
    <_dlc_DocIdUrl xmlns="69bc34b3-1921-46c7-8c7a-d18363374b4b">
      <Url>https://dhcscagovauthoring/provgovpart/_layouts/15/DocIdRedir.aspx?ID=DHCSDOC-2129867196-5408</Url>
      <Description>DHCSDOC-2129867196-5408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4543126-7CE1-49BA-B5A9-84928FD806CB}">
  <ds:schemaRefs>
    <ds:schemaRef ds:uri="http://schemas.microsoft.com/sharepoint/v3/contenttype/forms"/>
  </ds:schemaRefs>
</ds:datastoreItem>
</file>

<file path=customXml/itemProps2.xml><?xml version="1.0" encoding="utf-8"?>
<ds:datastoreItem xmlns:ds="http://schemas.openxmlformats.org/officeDocument/2006/customXml" ds:itemID="{A32D1090-B0E7-4E24-AD65-FEDA3A51ABBF}"/>
</file>

<file path=customXml/itemProps3.xml><?xml version="1.0" encoding="utf-8"?>
<ds:datastoreItem xmlns:ds="http://schemas.openxmlformats.org/officeDocument/2006/customXml" ds:itemID="{3A1684CA-1F69-4514-892C-1A272545987C}">
  <ds:schemaRefs>
    <ds:schemaRef ds:uri="http://schemas.microsoft.com/office/2006/metadata/properties"/>
    <ds:schemaRef ds:uri="23f409d0-7be4-4016-ab7e-c0eafa1744e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9576b4e2-10b9-4354-a153-79262d05c251"/>
    <ds:schemaRef ds:uri="http://www.w3.org/XML/1998/namespace"/>
    <ds:schemaRef ds:uri="http://purl.org/dc/dcmitype/"/>
  </ds:schemaRefs>
</ds:datastoreItem>
</file>

<file path=customXml/itemProps4.xml><?xml version="1.0" encoding="utf-8"?>
<ds:datastoreItem xmlns:ds="http://schemas.openxmlformats.org/officeDocument/2006/customXml" ds:itemID="{562C18FE-7E41-403B-9C77-3CE1E71A7C5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D1. Member Months</vt:lpstr>
      <vt:lpstr>D2.S Services in Waiver Cost</vt:lpstr>
      <vt:lpstr>D2.A Admin in Waiver Cost</vt:lpstr>
      <vt:lpstr>D3. Actual Waiver Cost</vt:lpstr>
      <vt:lpstr>D4. Adjustments in Projection</vt:lpstr>
      <vt:lpstr>D5. Waiver Cost Projection</vt:lpstr>
      <vt:lpstr>D6. RO Targets</vt:lpstr>
      <vt:lpstr>D7. Summary</vt:lpstr>
      <vt:lpstr>Trend</vt:lpstr>
      <vt:lpstr>'D2.S Services in Waiver Cost'!Print_Area</vt:lpstr>
      <vt:lpstr>'D3. Actual Waiver Cost'!Print_Area</vt:lpstr>
      <vt:lpstr>'D5. Waiver Cost Projection'!Print_Area</vt:lpstr>
      <vt:lpstr>'D6. RO Targets'!Print_Area</vt:lpstr>
      <vt:lpstr>'D7. Summary'!Print_Area</vt:lpstr>
      <vt:lpstr>'D2.S Services in Waiver Cost'!Print_Titles</vt:lpstr>
      <vt:lpstr>'D3. Actual Waiver Cost'!Print_Titles</vt:lpstr>
      <vt:lpstr>'D5. Waiver Cost Projection'!Print_Titles</vt:lpstr>
      <vt:lpstr>'D6. RO Targets'!Print_Titles</vt:lpstr>
      <vt:lpstr>'D7. Summary'!Print_Titles</vt:lpstr>
      <vt:lpstr>TitleRegion1.b8.f36.3</vt:lpstr>
      <vt:lpstr>TitleRegion1.b9.d15.4</vt:lpstr>
    </vt:vector>
  </TitlesOfParts>
  <Company>William M. Mercer,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1915b-Waiver-CE-Appendices-MCMC-Dental-MC</dc:title>
  <dc:creator>JMcEnaney</dc:creator>
  <cp:keywords/>
  <cp:lastModifiedBy>Weiner, Mitchell (OC)@DHCS</cp:lastModifiedBy>
  <cp:lastPrinted>2011-04-05T16:18:51Z</cp:lastPrinted>
  <dcterms:created xsi:type="dcterms:W3CDTF">2003-01-13T17:58:53Z</dcterms:created>
  <dcterms:modified xsi:type="dcterms:W3CDTF">2022-11-01T19:03:33Z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ESRI_WORKBOOK_ID">
    <vt:lpwstr>c5c64ed048d44328bfa1a2f15e5b1aa8</vt:lpwstr>
  </property>
  <property fmtid="{D5CDD505-2E9C-101B-9397-08002B2CF9AE}" pid="4" name="ContentTypeId">
    <vt:lpwstr>0x010100EEE380F46F125946A8B4C4C90D9FFCDC002BD714A348B448409FBFD44A860871DB</vt:lpwstr>
  </property>
  <property fmtid="{D5CDD505-2E9C-101B-9397-08002B2CF9AE}" pid="5" name="_dlc_DocIdItemGuid">
    <vt:lpwstr>5e80ae85-998d-4f64-9732-3edadf0531ad</vt:lpwstr>
  </property>
  <property fmtid="{D5CDD505-2E9C-101B-9397-08002B2CF9AE}" pid="6" name="Division">
    <vt:lpwstr>48;#Office of Compliance|df3a80cf-a038-4ff0-82ec-a84c6bd32647</vt:lpwstr>
  </property>
</Properties>
</file>