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comments1.xml" ContentType="application/vnd.openxmlformats-officedocument.spreadsheetml.comments+xml"/>
  <Override PartName="/xl/threadedComments/threadedComment1.xml" ContentType="application/vnd.ms-excel.threadedcomment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MMoore\Desktop\"/>
    </mc:Choice>
  </mc:AlternateContent>
  <xr:revisionPtr revIDLastSave="0" documentId="13_ncr:1_{B00C2917-9B4E-40DB-8AE4-E20B1AF86721}" xr6:coauthVersionLast="47" xr6:coauthVersionMax="47" xr10:uidLastSave="{00000000-0000-0000-0000-000000000000}"/>
  <bookViews>
    <workbookView xWindow="-110" yWindow="-110" windowWidth="25820" windowHeight="13900" tabRatio="936" xr2:uid="{96DF598B-0DA7-435D-AFE0-BD27742F3F33}"/>
  </bookViews>
  <sheets>
    <sheet name="Summary - Rates 2025" sheetId="7" r:id="rId1"/>
    <sheet name="Interim" sheetId="19" r:id="rId2"/>
    <sheet name="Methodology" sheetId="20" r:id="rId3"/>
    <sheet name="2025 Calcs" sheetId="8" r:id="rId4"/>
    <sheet name="Data" sheetId="1" r:id="rId5"/>
    <sheet name="Sub Calc" sheetId="13" state="hidden" r:id="rId6"/>
    <sheet name="Closed Facilities" sheetId="5" state="hidden" r:id="rId7"/>
    <sheet name="Inflation Factors 2025" sheetId="3" r:id="rId8"/>
    <sheet name="SWB Ratio" sheetId="12" r:id="rId9"/>
    <sheet name="Min Wage Add-Ons" sheetId="11" r:id="rId10"/>
    <sheet name="License Fees" sheetId="10" r:id="rId11"/>
    <sheet name="SB525 Add-On" sheetId="21" r:id="rId12"/>
  </sheets>
  <definedNames>
    <definedName name="_1__123Graph_ACHART_2" localSheetId="7" hidden="1">#REF!</definedName>
    <definedName name="_1__123Graph_ACHART_2" hidden="1">#REF!</definedName>
    <definedName name="_2__123Graph_ACHART_3" localSheetId="7" hidden="1">#REF!</definedName>
    <definedName name="_2__123Graph_ACHART_3" hidden="1">#REF!</definedName>
    <definedName name="_3__123Graph_BCHART_2" localSheetId="7" hidden="1">#REF!</definedName>
    <definedName name="_3__123Graph_BCHART_2" hidden="1">#REF!</definedName>
    <definedName name="_4__123Graph_CCHART_2" localSheetId="7" hidden="1">#REF!</definedName>
    <definedName name="_4__123Graph_CCHART_2" hidden="1">#REF!</definedName>
    <definedName name="_Fill" hidden="1">#REF!</definedName>
    <definedName name="_xlnm._FilterDatabase" localSheetId="3" hidden="1">'2025 Calcs'!$A$8:$AH$73</definedName>
    <definedName name="_xlnm._FilterDatabase" localSheetId="4" hidden="1">Data!$A$2:$T$67</definedName>
    <definedName name="_xlnm._FilterDatabase" localSheetId="1" hidden="1">Interim!$A$2:$K$6</definedName>
    <definedName name="_Key1" localSheetId="1" hidden="1">#REF!</definedName>
    <definedName name="_Key1" hidden="1">#REF!</definedName>
    <definedName name="_Order1" hidden="1">255</definedName>
    <definedName name="_Order2" hidden="1">255</definedName>
    <definedName name="_Regression_Out" localSheetId="7" hidden="1">#REF!</definedName>
    <definedName name="_Regression_Out" hidden="1">#REF!</definedName>
    <definedName name="_Sort" localSheetId="7" hidden="1">#REF!</definedName>
    <definedName name="_Sort" hidden="1">#REF!</definedName>
    <definedName name="ddn" hidden="1">#REF!</definedName>
    <definedName name="k" hidden="1">#REF!</definedName>
    <definedName name="TitleRegion1.a1.f3.4">'2025 Calcs'!$A$2:$F$4</definedName>
    <definedName name="TitleRegion1.a1.l9.2">Interim!$A$2:$L$10</definedName>
    <definedName name="TitleRegion1.a1.t66.5">Data!$A$2:$T$67</definedName>
    <definedName name="TitleRegion1.a2.d73.6">'Inflation Factors 2025'!$A$3:$D$74</definedName>
    <definedName name="TitleRegion1.a3.b56.3">Methodology!$A$4:$B$57</definedName>
    <definedName name="TitleRegion1.a4.e81.1">'Summary - Rates 2025'!$A$5:$E$82</definedName>
    <definedName name="TitleRegion2.a6.ah72.4">'2025 Calcs'!$A$7:$AH$73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3" l="1"/>
  <c r="F2" i="13" s="1"/>
  <c r="O3" i="13"/>
  <c r="P3" i="13" s="1"/>
  <c r="O6" i="13"/>
  <c r="P6" i="13" s="1"/>
  <c r="O7" i="13"/>
  <c r="P7" i="13" s="1"/>
  <c r="O9" i="13"/>
  <c r="P9" i="13" s="1"/>
  <c r="O10" i="13"/>
  <c r="P10" i="13" s="1"/>
  <c r="O11" i="13"/>
  <c r="P11" i="13" s="1"/>
  <c r="O12" i="13"/>
  <c r="P12" i="13" s="1"/>
  <c r="O13" i="13"/>
  <c r="P13" i="13" s="1"/>
  <c r="O15" i="13"/>
  <c r="P15" i="13" s="1"/>
  <c r="O16" i="13"/>
  <c r="P16" i="13" s="1"/>
  <c r="O18" i="13"/>
  <c r="P18" i="13" s="1"/>
  <c r="O20" i="13"/>
  <c r="P20" i="13" s="1"/>
  <c r="O22" i="13"/>
  <c r="P22" i="13" s="1"/>
  <c r="O23" i="13"/>
  <c r="P23" i="13" s="1"/>
  <c r="O24" i="13"/>
  <c r="P24" i="13" s="1"/>
  <c r="O25" i="13"/>
  <c r="P25" i="13" s="1"/>
  <c r="O26" i="13"/>
  <c r="P26" i="13" s="1"/>
  <c r="O28" i="13"/>
  <c r="P28" i="13" s="1"/>
  <c r="O29" i="13"/>
  <c r="P29" i="13" s="1"/>
  <c r="O31" i="13"/>
  <c r="P31" i="13" s="1"/>
  <c r="O33" i="13"/>
  <c r="P33" i="13" s="1"/>
  <c r="O35" i="13"/>
  <c r="P35" i="13" s="1"/>
  <c r="O37" i="13"/>
  <c r="P37" i="13" s="1"/>
  <c r="O38" i="13"/>
  <c r="P38" i="13" s="1"/>
  <c r="O40" i="13"/>
  <c r="P40" i="13" s="1"/>
  <c r="O41" i="13"/>
  <c r="P41" i="13" s="1"/>
  <c r="O42" i="13"/>
  <c r="P42" i="13" s="1"/>
  <c r="O43" i="13"/>
  <c r="P43" i="13" s="1"/>
  <c r="O44" i="13"/>
  <c r="P44" i="13" s="1"/>
  <c r="O46" i="13"/>
  <c r="P46" i="13" s="1"/>
  <c r="O47" i="13"/>
  <c r="P47" i="13" s="1"/>
  <c r="O48" i="13"/>
  <c r="P48" i="13" s="1"/>
  <c r="O49" i="13"/>
  <c r="P49" i="13" s="1"/>
  <c r="O51" i="13"/>
  <c r="P51" i="13" s="1"/>
  <c r="O52" i="13"/>
  <c r="P52" i="13" s="1"/>
  <c r="O53" i="13"/>
  <c r="P53" i="13" s="1"/>
  <c r="O54" i="13"/>
  <c r="P54" i="13" s="1"/>
  <c r="O55" i="13"/>
  <c r="P55" i="13" s="1"/>
  <c r="O59" i="13"/>
  <c r="P59" i="13" s="1"/>
  <c r="O61" i="13"/>
  <c r="P61" i="13" s="1"/>
  <c r="O62" i="13"/>
  <c r="P62" i="13" s="1"/>
  <c r="O2" i="13"/>
  <c r="P2" i="13" s="1"/>
  <c r="A3" i="13"/>
  <c r="F3" i="13" s="1"/>
  <c r="B3" i="13"/>
  <c r="A4" i="13"/>
  <c r="F4" i="13" s="1"/>
  <c r="B4" i="13"/>
  <c r="A5" i="13"/>
  <c r="F5" i="13" s="1"/>
  <c r="B5" i="13"/>
  <c r="A6" i="13"/>
  <c r="F6" i="13" s="1"/>
  <c r="B6" i="13"/>
  <c r="A7" i="13"/>
  <c r="F7" i="13" s="1"/>
  <c r="B7" i="13"/>
  <c r="A8" i="13"/>
  <c r="F8" i="13" s="1"/>
  <c r="B8" i="13"/>
  <c r="A9" i="13"/>
  <c r="F9" i="13" s="1"/>
  <c r="B9" i="13"/>
  <c r="A10" i="13"/>
  <c r="F10" i="13" s="1"/>
  <c r="B10" i="13"/>
  <c r="A11" i="13"/>
  <c r="F11" i="13" s="1"/>
  <c r="B11" i="13"/>
  <c r="A12" i="13"/>
  <c r="F12" i="13" s="1"/>
  <c r="B12" i="13"/>
  <c r="A13" i="13"/>
  <c r="F13" i="13" s="1"/>
  <c r="B13" i="13"/>
  <c r="A14" i="13"/>
  <c r="F14" i="13" s="1"/>
  <c r="B14" i="13"/>
  <c r="A15" i="13"/>
  <c r="F15" i="13" s="1"/>
  <c r="B15" i="13"/>
  <c r="A16" i="13"/>
  <c r="F16" i="13" s="1"/>
  <c r="B16" i="13"/>
  <c r="A17" i="13"/>
  <c r="F17" i="13" s="1"/>
  <c r="B17" i="13"/>
  <c r="A18" i="13"/>
  <c r="F18" i="13" s="1"/>
  <c r="B18" i="13"/>
  <c r="A19" i="13"/>
  <c r="F19" i="13" s="1"/>
  <c r="B19" i="13"/>
  <c r="A20" i="13"/>
  <c r="F20" i="13" s="1"/>
  <c r="B20" i="13"/>
  <c r="A21" i="13"/>
  <c r="F21" i="13" s="1"/>
  <c r="B21" i="13"/>
  <c r="A22" i="13"/>
  <c r="F22" i="13" s="1"/>
  <c r="B22" i="13"/>
  <c r="A23" i="13"/>
  <c r="F23" i="13" s="1"/>
  <c r="B23" i="13"/>
  <c r="A24" i="13"/>
  <c r="F24" i="13" s="1"/>
  <c r="B24" i="13"/>
  <c r="A25" i="13"/>
  <c r="F25" i="13" s="1"/>
  <c r="B25" i="13"/>
  <c r="A26" i="13"/>
  <c r="F26" i="13" s="1"/>
  <c r="B26" i="13"/>
  <c r="A27" i="13"/>
  <c r="F27" i="13" s="1"/>
  <c r="B27" i="13"/>
  <c r="A28" i="13"/>
  <c r="F28" i="13" s="1"/>
  <c r="B28" i="13"/>
  <c r="A29" i="13"/>
  <c r="F29" i="13" s="1"/>
  <c r="B29" i="13"/>
  <c r="A30" i="13"/>
  <c r="F30" i="13" s="1"/>
  <c r="B30" i="13"/>
  <c r="A31" i="13"/>
  <c r="F31" i="13" s="1"/>
  <c r="B31" i="13"/>
  <c r="A32" i="13"/>
  <c r="F32" i="13" s="1"/>
  <c r="B32" i="13"/>
  <c r="A33" i="13"/>
  <c r="F33" i="13" s="1"/>
  <c r="B33" i="13"/>
  <c r="A34" i="13"/>
  <c r="F34" i="13" s="1"/>
  <c r="B34" i="13"/>
  <c r="A35" i="13"/>
  <c r="F35" i="13" s="1"/>
  <c r="B35" i="13"/>
  <c r="A36" i="13"/>
  <c r="F36" i="13" s="1"/>
  <c r="B36" i="13"/>
  <c r="A37" i="13"/>
  <c r="F37" i="13" s="1"/>
  <c r="B37" i="13"/>
  <c r="A38" i="13"/>
  <c r="F38" i="13" s="1"/>
  <c r="B38" i="13"/>
  <c r="A39" i="13"/>
  <c r="F39" i="13" s="1"/>
  <c r="B39" i="13"/>
  <c r="A40" i="13"/>
  <c r="B40" i="13"/>
  <c r="A41" i="13"/>
  <c r="F41" i="13" s="1"/>
  <c r="B41" i="13"/>
  <c r="A42" i="13"/>
  <c r="F42" i="13" s="1"/>
  <c r="B42" i="13"/>
  <c r="A43" i="13"/>
  <c r="F43" i="13" s="1"/>
  <c r="B43" i="13"/>
  <c r="A44" i="13"/>
  <c r="F44" i="13" s="1"/>
  <c r="B44" i="13"/>
  <c r="A45" i="13"/>
  <c r="F45" i="13" s="1"/>
  <c r="B45" i="13"/>
  <c r="A46" i="13"/>
  <c r="F46" i="13" s="1"/>
  <c r="B46" i="13"/>
  <c r="A47" i="13"/>
  <c r="F47" i="13" s="1"/>
  <c r="B47" i="13"/>
  <c r="A48" i="13"/>
  <c r="F48" i="13" s="1"/>
  <c r="B48" i="13"/>
  <c r="A49" i="13"/>
  <c r="B49" i="13"/>
  <c r="A50" i="13"/>
  <c r="F50" i="13" s="1"/>
  <c r="B50" i="13"/>
  <c r="A51" i="13"/>
  <c r="F51" i="13" s="1"/>
  <c r="B51" i="13"/>
  <c r="A52" i="13"/>
  <c r="F52" i="13" s="1"/>
  <c r="B52" i="13"/>
  <c r="A53" i="13"/>
  <c r="F53" i="13" s="1"/>
  <c r="B53" i="13"/>
  <c r="A54" i="13"/>
  <c r="B54" i="13"/>
  <c r="A55" i="13"/>
  <c r="F55" i="13" s="1"/>
  <c r="B55" i="13"/>
  <c r="A56" i="13"/>
  <c r="F56" i="13" s="1"/>
  <c r="B56" i="13"/>
  <c r="A57" i="13"/>
  <c r="F57" i="13" s="1"/>
  <c r="B57" i="13"/>
  <c r="A58" i="13"/>
  <c r="F58" i="13" s="1"/>
  <c r="B58" i="13"/>
  <c r="A59" i="13"/>
  <c r="F59" i="13" s="1"/>
  <c r="B59" i="13"/>
  <c r="A60" i="13"/>
  <c r="F60" i="13" s="1"/>
  <c r="B60" i="13"/>
  <c r="A61" i="13"/>
  <c r="F61" i="13" s="1"/>
  <c r="B61" i="13"/>
  <c r="A62" i="13"/>
  <c r="F62" i="13" s="1"/>
  <c r="B62" i="13"/>
  <c r="B2" i="13"/>
  <c r="C60" i="13" l="1"/>
  <c r="D60" i="13" s="1"/>
  <c r="C52" i="13"/>
  <c r="D52" i="13" s="1"/>
  <c r="E52" i="13" s="1"/>
  <c r="C48" i="13"/>
  <c r="D48" i="13" s="1"/>
  <c r="C4" i="13"/>
  <c r="D4" i="13" s="1"/>
  <c r="C28" i="13"/>
  <c r="D28" i="13" s="1"/>
  <c r="C24" i="13"/>
  <c r="D24" i="13" s="1"/>
  <c r="C31" i="13"/>
  <c r="D31" i="13" s="1"/>
  <c r="E31" i="13" s="1"/>
  <c r="C59" i="13"/>
  <c r="D59" i="13" s="1"/>
  <c r="C51" i="13"/>
  <c r="D51" i="13" s="1"/>
  <c r="E51" i="13" s="1"/>
  <c r="C3" i="13"/>
  <c r="D3" i="13" s="1"/>
  <c r="C45" i="13"/>
  <c r="D45" i="13" s="1"/>
  <c r="E45" i="13" s="1"/>
  <c r="C37" i="13"/>
  <c r="D37" i="13" s="1"/>
  <c r="E37" i="13" s="1"/>
  <c r="C9" i="13"/>
  <c r="D9" i="13" s="1"/>
  <c r="C5" i="13"/>
  <c r="D5" i="13" s="1"/>
  <c r="C46" i="13"/>
  <c r="D46" i="13" s="1"/>
  <c r="C30" i="13"/>
  <c r="D30" i="13" s="1"/>
  <c r="C22" i="13"/>
  <c r="D22" i="13" s="1"/>
  <c r="C20" i="13"/>
  <c r="D20" i="13" s="1"/>
  <c r="C12" i="13"/>
  <c r="D12" i="13" s="1"/>
  <c r="E12" i="13" s="1"/>
  <c r="C8" i="13"/>
  <c r="D8" i="13" s="1"/>
  <c r="C38" i="13"/>
  <c r="D38" i="13" s="1"/>
  <c r="C19" i="13"/>
  <c r="D19" i="13" s="1"/>
  <c r="E19" i="13" s="1"/>
  <c r="C11" i="13"/>
  <c r="D11" i="13" s="1"/>
  <c r="E11" i="13" s="1"/>
  <c r="C14" i="13"/>
  <c r="D14" i="13" s="1"/>
  <c r="C44" i="13"/>
  <c r="D44" i="13" s="1"/>
  <c r="C36" i="13"/>
  <c r="D36" i="13" s="1"/>
  <c r="C21" i="13"/>
  <c r="D21" i="13" s="1"/>
  <c r="C6" i="13"/>
  <c r="D6" i="13" s="1"/>
  <c r="C61" i="13"/>
  <c r="D61" i="13" s="1"/>
  <c r="E61" i="13" s="1"/>
  <c r="C54" i="13"/>
  <c r="D54" i="13" s="1"/>
  <c r="C57" i="13"/>
  <c r="D57" i="13" s="1"/>
  <c r="C41" i="13"/>
  <c r="D41" i="13" s="1"/>
  <c r="C27" i="13"/>
  <c r="D27" i="13" s="1"/>
  <c r="C23" i="13"/>
  <c r="D23" i="13" s="1"/>
  <c r="C17" i="13"/>
  <c r="D17" i="13" s="1"/>
  <c r="C10" i="13"/>
  <c r="D10" i="13" s="1"/>
  <c r="C13" i="13"/>
  <c r="D13" i="13" s="1"/>
  <c r="C55" i="13"/>
  <c r="D55" i="13" s="1"/>
  <c r="C32" i="13"/>
  <c r="D32" i="13" s="1"/>
  <c r="F40" i="13"/>
  <c r="C40" i="13"/>
  <c r="D40" i="13" s="1"/>
  <c r="C49" i="13"/>
  <c r="D49" i="13" s="1"/>
  <c r="F49" i="13"/>
  <c r="C50" i="13"/>
  <c r="D50" i="13" s="1"/>
  <c r="C43" i="13"/>
  <c r="D43" i="13" s="1"/>
  <c r="C33" i="13"/>
  <c r="D33" i="13" s="1"/>
  <c r="C26" i="13"/>
  <c r="D26" i="13" s="1"/>
  <c r="C15" i="13"/>
  <c r="D15" i="13" s="1"/>
  <c r="C62" i="13"/>
  <c r="D62" i="13" s="1"/>
  <c r="C53" i="13"/>
  <c r="D53" i="13" s="1"/>
  <c r="C42" i="13"/>
  <c r="D42" i="13" s="1"/>
  <c r="C39" i="13"/>
  <c r="D39" i="13" s="1"/>
  <c r="C34" i="13"/>
  <c r="D34" i="13" s="1"/>
  <c r="C29" i="13"/>
  <c r="D29" i="13" s="1"/>
  <c r="C25" i="13"/>
  <c r="D25" i="13" s="1"/>
  <c r="C18" i="13"/>
  <c r="D18" i="13" s="1"/>
  <c r="C7" i="13"/>
  <c r="C58" i="13"/>
  <c r="D58" i="13" s="1"/>
  <c r="C47" i="13"/>
  <c r="F54" i="13"/>
  <c r="C56" i="13"/>
  <c r="D56" i="13" s="1"/>
  <c r="C35" i="13"/>
  <c r="D35" i="13" s="1"/>
  <c r="C16" i="13"/>
  <c r="D16" i="13" s="1"/>
  <c r="C2" i="13"/>
  <c r="D2" i="13" s="1"/>
  <c r="E48" i="13" l="1"/>
  <c r="E24" i="13"/>
  <c r="E4" i="13"/>
  <c r="E60" i="13"/>
  <c r="K35" i="13"/>
  <c r="K4" i="13"/>
  <c r="K12" i="13"/>
  <c r="K20" i="13"/>
  <c r="K28" i="13"/>
  <c r="K36" i="13"/>
  <c r="K44" i="13"/>
  <c r="K52" i="13"/>
  <c r="K60" i="13"/>
  <c r="K32" i="13"/>
  <c r="K48" i="13"/>
  <c r="K19" i="13"/>
  <c r="K5" i="13"/>
  <c r="K13" i="13"/>
  <c r="K21" i="13"/>
  <c r="K29" i="13"/>
  <c r="K37" i="13"/>
  <c r="K45" i="13"/>
  <c r="K53" i="13"/>
  <c r="K61" i="13"/>
  <c r="K24" i="13"/>
  <c r="K3" i="13"/>
  <c r="K43" i="13"/>
  <c r="K6" i="13"/>
  <c r="K14" i="13"/>
  <c r="K22" i="13"/>
  <c r="K30" i="13"/>
  <c r="K38" i="13"/>
  <c r="K46" i="13"/>
  <c r="K54" i="13"/>
  <c r="K62" i="13"/>
  <c r="K16" i="13"/>
  <c r="K56" i="13"/>
  <c r="K27" i="13"/>
  <c r="K7" i="13"/>
  <c r="K15" i="13"/>
  <c r="K23" i="13"/>
  <c r="K31" i="13"/>
  <c r="K39" i="13"/>
  <c r="K47" i="13"/>
  <c r="K55" i="13"/>
  <c r="K2" i="13"/>
  <c r="K8" i="13"/>
  <c r="K40" i="13"/>
  <c r="K11" i="13"/>
  <c r="K51" i="13"/>
  <c r="K9" i="13"/>
  <c r="K17" i="13"/>
  <c r="K25" i="13"/>
  <c r="K33" i="13"/>
  <c r="K41" i="13"/>
  <c r="K49" i="13"/>
  <c r="K57" i="13"/>
  <c r="K10" i="13"/>
  <c r="K26" i="13"/>
  <c r="K34" i="13"/>
  <c r="K42" i="13"/>
  <c r="K50" i="13"/>
  <c r="K58" i="13"/>
  <c r="K59" i="13"/>
  <c r="K18" i="13"/>
  <c r="E28" i="13"/>
  <c r="E6" i="13"/>
  <c r="E21" i="13"/>
  <c r="E5" i="13"/>
  <c r="E38" i="13"/>
  <c r="E46" i="13"/>
  <c r="E9" i="13"/>
  <c r="E13" i="13"/>
  <c r="E22" i="13"/>
  <c r="E36" i="13"/>
  <c r="E30" i="13"/>
  <c r="E14" i="13"/>
  <c r="E20" i="13"/>
  <c r="E44" i="13"/>
  <c r="E55" i="13"/>
  <c r="E42" i="13"/>
  <c r="E27" i="13"/>
  <c r="D7" i="13"/>
  <c r="E7" i="13" s="1"/>
  <c r="D47" i="13"/>
  <c r="E47" i="13" s="1"/>
  <c r="E32" i="13"/>
  <c r="E40" i="13"/>
  <c r="E23" i="13"/>
  <c r="E62" i="13"/>
  <c r="E58" i="13"/>
  <c r="E3" i="13"/>
  <c r="E26" i="13"/>
  <c r="E53" i="13"/>
  <c r="E59" i="13"/>
  <c r="E18" i="13"/>
  <c r="E34" i="13"/>
  <c r="E29" i="13"/>
  <c r="E8" i="13"/>
  <c r="E50" i="13"/>
  <c r="E54" i="13"/>
  <c r="E25" i="13"/>
  <c r="E56" i="13"/>
  <c r="E10" i="13"/>
  <c r="E41" i="13"/>
  <c r="E49" i="13"/>
  <c r="E17" i="13"/>
  <c r="E43" i="13"/>
  <c r="E57" i="13"/>
  <c r="E33" i="13"/>
  <c r="E15" i="13" l="1"/>
  <c r="E39" i="13"/>
  <c r="E35" i="13"/>
  <c r="E16" i="13"/>
  <c r="E2" i="13"/>
  <c r="AQ2" i="5" l="1"/>
  <c r="AL2" i="5"/>
  <c r="AH2" i="5"/>
  <c r="AI2" i="5" s="1"/>
  <c r="AG2" i="5"/>
  <c r="AA2" i="5"/>
  <c r="S2" i="5"/>
  <c r="N2" i="5"/>
  <c r="AS2" i="5" s="1"/>
  <c r="H2" i="5"/>
  <c r="AJ2" i="5" l="1"/>
  <c r="AK2" i="5" s="1"/>
  <c r="AC2" i="5"/>
  <c r="AB2" i="5" s="1"/>
  <c r="AD2" i="5" s="1"/>
  <c r="AF2" i="5" l="1"/>
  <c r="AE2" i="5"/>
  <c r="AM2" i="5" s="1"/>
  <c r="M49" i="13" l="1"/>
  <c r="N49" i="13" s="1"/>
  <c r="M15" i="13"/>
  <c r="N15" i="13" s="1"/>
  <c r="M47" i="13"/>
  <c r="N47" i="13" s="1"/>
  <c r="M12" i="13"/>
  <c r="N12" i="13" s="1"/>
  <c r="M43" i="13"/>
  <c r="N43" i="13" s="1"/>
  <c r="M10" i="13"/>
  <c r="N10" i="13" s="1"/>
  <c r="M40" i="13"/>
  <c r="N40" i="13" s="1"/>
  <c r="M9" i="13"/>
  <c r="N9" i="13" s="1"/>
  <c r="M33" i="13"/>
  <c r="N33" i="13" s="1"/>
  <c r="M61" i="13"/>
  <c r="N61" i="13" s="1"/>
  <c r="M23" i="13"/>
  <c r="N23" i="13" s="1"/>
  <c r="M54" i="13"/>
  <c r="N54" i="13" s="1"/>
  <c r="M22" i="13"/>
  <c r="N22" i="13" s="1"/>
  <c r="M53" i="13"/>
  <c r="N53" i="13" s="1"/>
  <c r="M16" i="13"/>
  <c r="N16" i="13" s="1"/>
  <c r="G59" i="13"/>
  <c r="G51" i="13"/>
  <c r="G43" i="13"/>
  <c r="G27" i="13"/>
  <c r="G19" i="13"/>
  <c r="G31" i="13"/>
  <c r="G23" i="13"/>
  <c r="G7" i="13"/>
  <c r="M62" i="13" l="1"/>
  <c r="N62" i="13" s="1"/>
  <c r="M32" i="13"/>
  <c r="M5" i="13"/>
  <c r="M3" i="13"/>
  <c r="M35" i="13"/>
  <c r="M28" i="13"/>
  <c r="M14" i="13"/>
  <c r="M60" i="13"/>
  <c r="M38" i="13"/>
  <c r="M55" i="13"/>
  <c r="M18" i="13"/>
  <c r="N18" i="13" s="1"/>
  <c r="M58" i="13"/>
  <c r="M29" i="13"/>
  <c r="M56" i="13"/>
  <c r="M48" i="13"/>
  <c r="M21" i="13"/>
  <c r="M11" i="13"/>
  <c r="M51" i="13"/>
  <c r="M36" i="13"/>
  <c r="M57" i="13"/>
  <c r="M42" i="13"/>
  <c r="N42" i="13" s="1"/>
  <c r="M6" i="13"/>
  <c r="M46" i="13"/>
  <c r="M41" i="13"/>
  <c r="N41" i="13" s="1"/>
  <c r="M26" i="13"/>
  <c r="M45" i="13"/>
  <c r="M8" i="13"/>
  <c r="M25" i="13"/>
  <c r="M4" i="13"/>
  <c r="M37" i="13"/>
  <c r="N37" i="13" s="1"/>
  <c r="M19" i="13"/>
  <c r="M59" i="13"/>
  <c r="N59" i="13" s="1"/>
  <c r="M52" i="13"/>
  <c r="M7" i="13"/>
  <c r="M34" i="13"/>
  <c r="M24" i="13"/>
  <c r="M44" i="13"/>
  <c r="M27" i="13"/>
  <c r="M20" i="13"/>
  <c r="N20" i="13" s="1"/>
  <c r="M17" i="13"/>
  <c r="M30" i="13"/>
  <c r="M31" i="13"/>
  <c r="M50" i="13"/>
  <c r="M13" i="13"/>
  <c r="N13" i="13" s="1"/>
  <c r="M39" i="13"/>
  <c r="H44" i="13"/>
  <c r="I44" i="13" s="1"/>
  <c r="H31" i="13"/>
  <c r="I31" i="13" s="1"/>
  <c r="J31" i="13" s="1"/>
  <c r="L31" i="13" s="1"/>
  <c r="G44" i="13"/>
  <c r="G8" i="13"/>
  <c r="G52" i="13"/>
  <c r="G40" i="13"/>
  <c r="G36" i="13"/>
  <c r="H52" i="13"/>
  <c r="I52" i="13" s="1"/>
  <c r="H24" i="13"/>
  <c r="I24" i="13" s="1"/>
  <c r="H51" i="13"/>
  <c r="I51" i="13" s="1"/>
  <c r="J51" i="13" s="1"/>
  <c r="L51" i="13" s="1"/>
  <c r="G4" i="13"/>
  <c r="G47" i="13"/>
  <c r="H15" i="13"/>
  <c r="I15" i="13" s="1"/>
  <c r="G15" i="13"/>
  <c r="H59" i="13"/>
  <c r="I59" i="13" s="1"/>
  <c r="J59" i="13" s="1"/>
  <c r="L59" i="13" s="1"/>
  <c r="H11" i="13"/>
  <c r="I11" i="13" s="1"/>
  <c r="H35" i="13"/>
  <c r="I35" i="13" s="1"/>
  <c r="H20" i="13"/>
  <c r="I20" i="13" s="1"/>
  <c r="H16" i="13"/>
  <c r="I16" i="13" s="1"/>
  <c r="G39" i="13"/>
  <c r="H8" i="13"/>
  <c r="I8" i="13" s="1"/>
  <c r="H43" i="13"/>
  <c r="I43" i="13" s="1"/>
  <c r="J43" i="13" s="1"/>
  <c r="L43" i="13" s="1"/>
  <c r="G55" i="13"/>
  <c r="G11" i="13"/>
  <c r="G20" i="13"/>
  <c r="G16" i="13"/>
  <c r="H23" i="13"/>
  <c r="I23" i="13" s="1"/>
  <c r="J23" i="13" s="1"/>
  <c r="L23" i="13" s="1"/>
  <c r="H27" i="13"/>
  <c r="I27" i="13" s="1"/>
  <c r="J27" i="13" s="1"/>
  <c r="L27" i="13" s="1"/>
  <c r="H55" i="13"/>
  <c r="I55" i="13" s="1"/>
  <c r="H4" i="13"/>
  <c r="I4" i="13" s="1"/>
  <c r="G24" i="13"/>
  <c r="H7" i="13"/>
  <c r="I7" i="13" s="1"/>
  <c r="J7" i="13" s="1"/>
  <c r="L7" i="13" s="1"/>
  <c r="G35" i="13"/>
  <c r="H19" i="13"/>
  <c r="I19" i="13" s="1"/>
  <c r="J19" i="13" s="1"/>
  <c r="L19" i="13" s="1"/>
  <c r="H39" i="13"/>
  <c r="I39" i="13" s="1"/>
  <c r="H47" i="13"/>
  <c r="I47" i="13" s="1"/>
  <c r="H36" i="13"/>
  <c r="I36" i="13" s="1"/>
  <c r="H48" i="13"/>
  <c r="I48" i="13" s="1"/>
  <c r="G48" i="13"/>
  <c r="G32" i="13"/>
  <c r="G30" i="13"/>
  <c r="G62" i="13"/>
  <c r="G14" i="13"/>
  <c r="G53" i="13"/>
  <c r="G6" i="13"/>
  <c r="G46" i="13"/>
  <c r="G22" i="13"/>
  <c r="G28" i="13"/>
  <c r="G45" i="13"/>
  <c r="G5" i="13"/>
  <c r="G57" i="13"/>
  <c r="G3" i="13"/>
  <c r="G18" i="13"/>
  <c r="G54" i="13"/>
  <c r="G25" i="13"/>
  <c r="G56" i="13"/>
  <c r="G58" i="13"/>
  <c r="G41" i="13"/>
  <c r="G49" i="13"/>
  <c r="G61" i="13"/>
  <c r="H61" i="13"/>
  <c r="I61" i="13" s="1"/>
  <c r="G21" i="13"/>
  <c r="G42" i="13"/>
  <c r="G26" i="13"/>
  <c r="G29" i="13"/>
  <c r="G13" i="13"/>
  <c r="H10" i="13"/>
  <c r="I10" i="13" s="1"/>
  <c r="G10" i="13"/>
  <c r="G38" i="13"/>
  <c r="G33" i="13"/>
  <c r="G17" i="13"/>
  <c r="G37" i="13"/>
  <c r="G34" i="13"/>
  <c r="H34" i="13"/>
  <c r="I34" i="13" s="1"/>
  <c r="G50" i="13"/>
  <c r="H50" i="13"/>
  <c r="I50" i="13" s="1"/>
  <c r="G12" i="13"/>
  <c r="N31" i="13" l="1"/>
  <c r="J8" i="13"/>
  <c r="L8" i="13" s="1"/>
  <c r="N8" i="13" s="1"/>
  <c r="M2" i="13"/>
  <c r="J39" i="13"/>
  <c r="L39" i="13" s="1"/>
  <c r="N39" i="13" s="1"/>
  <c r="J20" i="13"/>
  <c r="L20" i="13" s="1"/>
  <c r="J44" i="13"/>
  <c r="L44" i="13" s="1"/>
  <c r="N44" i="13" s="1"/>
  <c r="J35" i="13"/>
  <c r="L35" i="13" s="1"/>
  <c r="N35" i="13" s="1"/>
  <c r="J11" i="13"/>
  <c r="L11" i="13" s="1"/>
  <c r="N11" i="13" s="1"/>
  <c r="J48" i="13"/>
  <c r="L48" i="13" s="1"/>
  <c r="N48" i="13" s="1"/>
  <c r="J16" i="13"/>
  <c r="L16" i="13" s="1"/>
  <c r="J15" i="13"/>
  <c r="L15" i="13" s="1"/>
  <c r="J4" i="13"/>
  <c r="L4" i="13" s="1"/>
  <c r="N4" i="13" s="1"/>
  <c r="N27" i="13"/>
  <c r="N7" i="13"/>
  <c r="N19" i="13"/>
  <c r="H21" i="13"/>
  <c r="I21" i="13" s="1"/>
  <c r="J21" i="13" s="1"/>
  <c r="L21" i="13" s="1"/>
  <c r="H53" i="13"/>
  <c r="I53" i="13" s="1"/>
  <c r="J53" i="13" s="1"/>
  <c r="L53" i="13" s="1"/>
  <c r="J50" i="13"/>
  <c r="L50" i="13" s="1"/>
  <c r="H25" i="13"/>
  <c r="I25" i="13" s="1"/>
  <c r="J25" i="13" s="1"/>
  <c r="L25" i="13" s="1"/>
  <c r="H3" i="13"/>
  <c r="I3" i="13" s="1"/>
  <c r="J3" i="13" s="1"/>
  <c r="L3" i="13" s="1"/>
  <c r="H56" i="13"/>
  <c r="I56" i="13" s="1"/>
  <c r="J56" i="13" s="1"/>
  <c r="L56" i="13" s="1"/>
  <c r="H17" i="13"/>
  <c r="I17" i="13" s="1"/>
  <c r="J17" i="13" s="1"/>
  <c r="L17" i="13" s="1"/>
  <c r="H32" i="13"/>
  <c r="I32" i="13" s="1"/>
  <c r="J32" i="13" s="1"/>
  <c r="L32" i="13" s="1"/>
  <c r="G9" i="13"/>
  <c r="H60" i="13"/>
  <c r="I60" i="13" s="1"/>
  <c r="H22" i="13"/>
  <c r="I22" i="13" s="1"/>
  <c r="J22" i="13" s="1"/>
  <c r="L22" i="13" s="1"/>
  <c r="N51" i="13"/>
  <c r="H30" i="13"/>
  <c r="I30" i="13" s="1"/>
  <c r="J30" i="13" s="1"/>
  <c r="L30" i="13" s="1"/>
  <c r="H13" i="13"/>
  <c r="I13" i="13" s="1"/>
  <c r="J13" i="13" s="1"/>
  <c r="L13" i="13" s="1"/>
  <c r="H28" i="13"/>
  <c r="I28" i="13" s="1"/>
  <c r="J28" i="13" s="1"/>
  <c r="L28" i="13" s="1"/>
  <c r="H29" i="13"/>
  <c r="I29" i="13" s="1"/>
  <c r="J29" i="13" s="1"/>
  <c r="L29" i="13" s="1"/>
  <c r="H14" i="13"/>
  <c r="I14" i="13" s="1"/>
  <c r="J14" i="13" s="1"/>
  <c r="L14" i="13" s="1"/>
  <c r="G2" i="13"/>
  <c r="G60" i="13"/>
  <c r="H54" i="13"/>
  <c r="I54" i="13" s="1"/>
  <c r="J54" i="13" s="1"/>
  <c r="L54" i="13" s="1"/>
  <c r="H5" i="13"/>
  <c r="I5" i="13" s="1"/>
  <c r="J5" i="13" s="1"/>
  <c r="L5" i="13" s="1"/>
  <c r="J24" i="13"/>
  <c r="L24" i="13" s="1"/>
  <c r="H40" i="13"/>
  <c r="I40" i="13" s="1"/>
  <c r="J40" i="13" s="1"/>
  <c r="L40" i="13" s="1"/>
  <c r="H9" i="13"/>
  <c r="I9" i="13" s="1"/>
  <c r="J34" i="13"/>
  <c r="L34" i="13" s="1"/>
  <c r="H38" i="13"/>
  <c r="I38" i="13" s="1"/>
  <c r="J38" i="13" s="1"/>
  <c r="L38" i="13" s="1"/>
  <c r="H26" i="13"/>
  <c r="I26" i="13" s="1"/>
  <c r="J26" i="13" s="1"/>
  <c r="L26" i="13" s="1"/>
  <c r="J61" i="13"/>
  <c r="L61" i="13" s="1"/>
  <c r="H46" i="13"/>
  <c r="I46" i="13" s="1"/>
  <c r="J46" i="13" s="1"/>
  <c r="L46" i="13" s="1"/>
  <c r="H62" i="13"/>
  <c r="I62" i="13" s="1"/>
  <c r="J62" i="13" s="1"/>
  <c r="L62" i="13" s="1"/>
  <c r="J36" i="13"/>
  <c r="L36" i="13" s="1"/>
  <c r="J52" i="13"/>
  <c r="L52" i="13" s="1"/>
  <c r="H6" i="13"/>
  <c r="I6" i="13" s="1"/>
  <c r="J6" i="13" s="1"/>
  <c r="L6" i="13" s="1"/>
  <c r="H41" i="13"/>
  <c r="I41" i="13" s="1"/>
  <c r="J41" i="13" s="1"/>
  <c r="L41" i="13" s="1"/>
  <c r="H33" i="13"/>
  <c r="I33" i="13" s="1"/>
  <c r="J33" i="13" s="1"/>
  <c r="L33" i="13" s="1"/>
  <c r="H57" i="13"/>
  <c r="I57" i="13" s="1"/>
  <c r="J57" i="13" s="1"/>
  <c r="L57" i="13" s="1"/>
  <c r="H12" i="13"/>
  <c r="I12" i="13" s="1"/>
  <c r="J12" i="13" s="1"/>
  <c r="L12" i="13" s="1"/>
  <c r="H37" i="13"/>
  <c r="I37" i="13" s="1"/>
  <c r="J37" i="13" s="1"/>
  <c r="L37" i="13" s="1"/>
  <c r="J10" i="13"/>
  <c r="L10" i="13" s="1"/>
  <c r="H49" i="13"/>
  <c r="I49" i="13" s="1"/>
  <c r="J49" i="13" s="1"/>
  <c r="L49" i="13" s="1"/>
  <c r="H58" i="13"/>
  <c r="I58" i="13" s="1"/>
  <c r="J58" i="13" s="1"/>
  <c r="L58" i="13" s="1"/>
  <c r="N58" i="13" s="1"/>
  <c r="H18" i="13"/>
  <c r="I18" i="13" s="1"/>
  <c r="J18" i="13" s="1"/>
  <c r="L18" i="13" s="1"/>
  <c r="H45" i="13"/>
  <c r="I45" i="13" s="1"/>
  <c r="J45" i="13" s="1"/>
  <c r="L45" i="13" s="1"/>
  <c r="J55" i="13"/>
  <c r="L55" i="13" s="1"/>
  <c r="J47" i="13"/>
  <c r="L47" i="13" s="1"/>
  <c r="H42" i="13"/>
  <c r="I42" i="13" s="1"/>
  <c r="J42" i="13" s="1"/>
  <c r="L42" i="13" s="1"/>
  <c r="H2" i="13"/>
  <c r="I2" i="13" s="1"/>
  <c r="J2" i="13" l="1"/>
  <c r="L2" i="13" s="1"/>
  <c r="N2" i="13" s="1"/>
  <c r="N32" i="13"/>
  <c r="N6" i="13"/>
  <c r="N28" i="13"/>
  <c r="N38" i="13"/>
  <c r="N46" i="13"/>
  <c r="N17" i="13"/>
  <c r="N26" i="13"/>
  <c r="N14" i="13"/>
  <c r="N29" i="13"/>
  <c r="N45" i="13"/>
  <c r="N36" i="13"/>
  <c r="N21" i="13"/>
  <c r="N55" i="13"/>
  <c r="N56" i="13"/>
  <c r="N25" i="13"/>
  <c r="N3" i="13"/>
  <c r="J9" i="13"/>
  <c r="L9" i="13" s="1"/>
  <c r="N50" i="13"/>
  <c r="N30" i="13"/>
  <c r="N57" i="13"/>
  <c r="N5" i="13"/>
  <c r="N34" i="13"/>
  <c r="N24" i="13"/>
  <c r="N52" i="13"/>
  <c r="J60" i="13"/>
  <c r="L60" i="13" s="1"/>
  <c r="AN2" i="5"/>
  <c r="AO2" i="5" s="1"/>
  <c r="AP2" i="5" s="1"/>
  <c r="AR2" i="5" s="1"/>
  <c r="AU2" i="5" s="1"/>
  <c r="AV2" i="5" s="1"/>
  <c r="AW2" i="5" s="1"/>
  <c r="N60" i="13" l="1"/>
  <c r="Q66" i="13" s="1"/>
  <c r="Q65" i="13"/>
  <c r="AT2" i="5"/>
  <c r="Q27" i="13" l="1"/>
  <c r="O19" i="13"/>
  <c r="O39" i="13"/>
  <c r="Q35" i="13"/>
  <c r="O4" i="13"/>
  <c r="Q19" i="13"/>
  <c r="O27" i="13"/>
  <c r="Q51" i="13"/>
  <c r="Q15" i="13"/>
  <c r="Q7" i="13"/>
  <c r="Q8" i="13"/>
  <c r="Q48" i="13"/>
  <c r="O8" i="13"/>
  <c r="Q59" i="13"/>
  <c r="Q16" i="13"/>
  <c r="Q23" i="13"/>
  <c r="Q31" i="13"/>
  <c r="Q39" i="13"/>
  <c r="Q4" i="13"/>
  <c r="Q43" i="13"/>
  <c r="Q11" i="13"/>
  <c r="Q20" i="13"/>
  <c r="Q44" i="13"/>
  <c r="Q18" i="13"/>
  <c r="Q38" i="13"/>
  <c r="Q17" i="13"/>
  <c r="O14" i="13"/>
  <c r="Q62" i="13"/>
  <c r="Q54" i="13"/>
  <c r="Q56" i="13"/>
  <c r="O30" i="13"/>
  <c r="Q34" i="13"/>
  <c r="Q52" i="13"/>
  <c r="Q61" i="13"/>
  <c r="O17" i="13"/>
  <c r="Q21" i="13"/>
  <c r="O56" i="13"/>
  <c r="Q41" i="13"/>
  <c r="Q10" i="13"/>
  <c r="O34" i="13"/>
  <c r="Q32" i="13"/>
  <c r="Q42" i="13"/>
  <c r="Q29" i="13"/>
  <c r="Q2" i="13"/>
  <c r="O21" i="13"/>
  <c r="Q57" i="13"/>
  <c r="Q3" i="13"/>
  <c r="O32" i="13"/>
  <c r="Q46" i="13"/>
  <c r="Q37" i="13"/>
  <c r="Q47" i="13"/>
  <c r="Q25" i="13"/>
  <c r="Q50" i="13"/>
  <c r="O57" i="13"/>
  <c r="Q24" i="13"/>
  <c r="Q49" i="13"/>
  <c r="Q6" i="13"/>
  <c r="Q33" i="13"/>
  <c r="Q12" i="13"/>
  <c r="Q36" i="13"/>
  <c r="Q58" i="13"/>
  <c r="O50" i="13"/>
  <c r="Q14" i="13"/>
  <c r="Q13" i="13"/>
  <c r="Q26" i="13"/>
  <c r="Q45" i="13"/>
  <c r="O36" i="13"/>
  <c r="O58" i="13"/>
  <c r="Q53" i="13"/>
  <c r="Q5" i="13"/>
  <c r="Q30" i="13"/>
  <c r="Q28" i="13"/>
  <c r="Q40" i="13"/>
  <c r="O45" i="13"/>
  <c r="Q55" i="13"/>
  <c r="Q22" i="13"/>
  <c r="O5" i="13"/>
  <c r="O60" i="13"/>
  <c r="Q9" i="13"/>
  <c r="Q60" i="13"/>
  <c r="Q69" i="13" l="1"/>
  <c r="Q68" i="13"/>
  <c r="P50" i="13" l="1"/>
  <c r="P17" i="13"/>
  <c r="P27" i="13"/>
  <c r="P58" i="13"/>
  <c r="P14" i="13"/>
  <c r="P21" i="13"/>
  <c r="P19" i="13"/>
  <c r="P8" i="13"/>
  <c r="P36" i="13"/>
  <c r="P4" i="13"/>
  <c r="P34" i="13"/>
  <c r="P45" i="13"/>
  <c r="P5" i="13"/>
  <c r="P57" i="13"/>
  <c r="P32" i="13"/>
  <c r="P56" i="13"/>
  <c r="P30" i="13"/>
  <c r="P60" i="13"/>
  <c r="P39"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tc={9CFAED17-7578-437E-9855-E2C3B5719ED3}</author>
  </authors>
  <commentList>
    <comment ref="Z8" authorId="0" shapeId="0" xr:uid="{9CFAED17-7578-437E-9855-E2C3B5719ED3}">
      <text>
        <t xml:space="preserve">[Threaded comment]
Your version of Excel allows you to read this threaded comment; however, any edits to it will get removed if the file is opened in a newer version of Excel. Learn more: https://go.microsoft.com/fwlink/?linkid=870924
Comment:
    I fixed this column. Please fix the formulas in the other columns so that they flow as the rate study should with this column updated.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Chen, Brandon@DHCS</author>
  </authors>
  <commentList>
    <comment ref="AG1" authorId="0" shapeId="0" xr:uid="{00A278D9-BC9D-4D69-9E9A-737B1F603525}">
      <text>
        <r>
          <rPr>
            <b/>
            <sz val="9"/>
            <color indexed="81"/>
            <rFont val="Tahoma"/>
            <family val="2"/>
          </rPr>
          <t>Chen, Brandon@DHCS:</t>
        </r>
        <r>
          <rPr>
            <sz val="9"/>
            <color indexed="81"/>
            <rFont val="Tahoma"/>
            <family val="2"/>
          </rPr>
          <t xml:space="preserve">
ADJUSTED CAPITAL COSTS</t>
        </r>
      </text>
    </comment>
    <comment ref="AH1" authorId="0" shapeId="0" xr:uid="{26225626-78D9-4C99-88DB-DC7D68FDC468}">
      <text>
        <r>
          <rPr>
            <b/>
            <sz val="9"/>
            <color indexed="81"/>
            <rFont val="Tahoma"/>
            <family val="2"/>
          </rPr>
          <t>Chen, Brandon@DHCS:</t>
        </r>
        <r>
          <rPr>
            <sz val="9"/>
            <color indexed="81"/>
            <rFont val="Tahoma"/>
            <family val="2"/>
          </rPr>
          <t xml:space="preserve">
ADJUSTED TOTAL COSTS
</t>
        </r>
      </text>
    </comment>
    <comment ref="AI1" authorId="0" shapeId="0" xr:uid="{638C3B31-DE8D-42DD-BCD3-42290231840D}">
      <text>
        <r>
          <rPr>
            <b/>
            <sz val="9"/>
            <color indexed="81"/>
            <rFont val="Tahoma"/>
            <family val="2"/>
          </rPr>
          <t>Chen, Brandon@DHCS:</t>
        </r>
        <r>
          <rPr>
            <sz val="9"/>
            <color indexed="81"/>
            <rFont val="Tahoma"/>
            <family val="2"/>
          </rPr>
          <t xml:space="preserve">
ADJUSTED NON-CAPITAL COSTS=ADJUSTED TOTAL COSTS minus ADJUSTED CAPITAL COSTS</t>
        </r>
      </text>
    </comment>
    <comment ref="AJ1" authorId="0" shapeId="0" xr:uid="{15FA5F29-F0CB-42C7-9149-361BD17AD364}">
      <text>
        <r>
          <rPr>
            <b/>
            <sz val="9"/>
            <color indexed="81"/>
            <rFont val="Tahoma"/>
            <family val="2"/>
          </rPr>
          <t>Chen, Brandon@DHCS:</t>
        </r>
        <r>
          <rPr>
            <sz val="9"/>
            <color indexed="81"/>
            <rFont val="Tahoma"/>
            <family val="2"/>
          </rPr>
          <t xml:space="preserve">
ADJUSTED SWB COSTS=ADJUSTED NON-CAPITAL COSTS times SWB PERCENT OF ADJUSTED NON-CAPITAL COSTS</t>
        </r>
      </text>
    </comment>
    <comment ref="AK1" authorId="0" shapeId="0" xr:uid="{0BEDD96B-BB82-4659-A53B-6D8150094696}">
      <text>
        <r>
          <rPr>
            <b/>
            <sz val="9"/>
            <color indexed="81"/>
            <rFont val="Tahoma"/>
            <family val="2"/>
          </rPr>
          <t>Chen, Brandon@DHCS:</t>
        </r>
        <r>
          <rPr>
            <sz val="9"/>
            <color indexed="81"/>
            <rFont val="Tahoma"/>
            <family val="2"/>
          </rPr>
          <t xml:space="preserve">
ADJUSTED ALL OTHER (AO) COSTS=ADJUSTED NON-CAPITAL COSTS minus ADJUSTED SWB COSTS</t>
        </r>
      </text>
    </comment>
    <comment ref="AL1" authorId="0" shapeId="0" xr:uid="{421E0BFD-7BBF-4CC2-911F-A122E7192B57}">
      <text>
        <r>
          <rPr>
            <b/>
            <sz val="9"/>
            <color indexed="81"/>
            <rFont val="Tahoma"/>
            <family val="2"/>
          </rPr>
          <t>Chen, Brandon@DHCS:</t>
        </r>
        <r>
          <rPr>
            <sz val="9"/>
            <color indexed="81"/>
            <rFont val="Tahoma"/>
            <family val="2"/>
          </rPr>
          <t xml:space="preserve">
PROJECTED CAPITAL COSTS=ADJUSTED CAPITAL COSTS times the CAPITAL COST UPDATE</t>
        </r>
      </text>
    </comment>
    <comment ref="AM1" authorId="0" shapeId="0" xr:uid="{DD3E32DF-FA30-47C8-BB8F-92057A65BF5E}">
      <text>
        <r>
          <rPr>
            <b/>
            <sz val="9"/>
            <color indexed="81"/>
            <rFont val="Tahoma"/>
            <family val="2"/>
          </rPr>
          <t>Chen, Brandon@DHCS:</t>
        </r>
        <r>
          <rPr>
            <sz val="9"/>
            <color indexed="81"/>
            <rFont val="Tahoma"/>
            <family val="2"/>
          </rPr>
          <t xml:space="preserve">
PROJECTED SWB COSTS=ADJUSTED SWB COSTS times the SWB UPDATE</t>
        </r>
      </text>
    </comment>
    <comment ref="AN1" authorId="0" shapeId="0" xr:uid="{EC8D725B-C1B6-4BE8-AC98-F5D37D2FB01D}">
      <text>
        <r>
          <rPr>
            <b/>
            <sz val="9"/>
            <color indexed="81"/>
            <rFont val="Tahoma"/>
            <family val="2"/>
          </rPr>
          <t>Chen, Brandon@DHCS:</t>
        </r>
        <r>
          <rPr>
            <sz val="9"/>
            <color indexed="81"/>
            <rFont val="Tahoma"/>
            <family val="2"/>
          </rPr>
          <t xml:space="preserve">
UPDATED AO COST without PRIOR LICENSE FEES=ADJUSTED AO COSTS less PRIOR LICENSE FEES, times the AO UPDATE</t>
        </r>
      </text>
    </comment>
    <comment ref="AO1" authorId="0" shapeId="0" xr:uid="{50D00959-1A73-492A-A231-1F1DF132CE4F}">
      <text>
        <r>
          <rPr>
            <b/>
            <sz val="9"/>
            <color indexed="81"/>
            <rFont val="Tahoma"/>
            <family val="2"/>
          </rPr>
          <t>Chen, Brandon@DHCS:</t>
        </r>
        <r>
          <rPr>
            <sz val="9"/>
            <color indexed="81"/>
            <rFont val="Tahoma"/>
            <family val="2"/>
          </rPr>
          <t xml:space="preserve">
PROJECTED ALL OTHER COSTS=ITEM 17 plus REVISED LICENSE FEES</t>
        </r>
      </text>
    </comment>
    <comment ref="AP1" authorId="0" shapeId="0" xr:uid="{8729D132-C52B-4C2F-9B74-EF6717E7A9B7}">
      <text>
        <r>
          <rPr>
            <b/>
            <sz val="9"/>
            <color indexed="81"/>
            <rFont val="Tahoma"/>
            <family val="2"/>
          </rPr>
          <t>Chen, Brandon@DHCS:</t>
        </r>
        <r>
          <rPr>
            <sz val="9"/>
            <color indexed="81"/>
            <rFont val="Tahoma"/>
            <family val="2"/>
          </rPr>
          <t xml:space="preserve">
PROJECTED COMBINED DAILY COST=COMBINED PROJECTED COSTS divided by TOTAL PATIENT DAYS</t>
        </r>
      </text>
    </comment>
    <comment ref="AQ1" authorId="0" shapeId="0" xr:uid="{640C7EA6-DC22-40AD-9E53-3FE93388A732}">
      <text>
        <r>
          <rPr>
            <b/>
            <sz val="9"/>
            <color indexed="81"/>
            <rFont val="Tahoma"/>
            <family val="2"/>
          </rPr>
          <t>Chen, Brandon@DHCS:</t>
        </r>
        <r>
          <rPr>
            <sz val="9"/>
            <color indexed="81"/>
            <rFont val="Tahoma"/>
            <family val="2"/>
          </rPr>
          <t xml:space="preserve">
SUM OF PER DIEM ADD-ONs</t>
        </r>
      </text>
    </comment>
    <comment ref="AR1" authorId="0" shapeId="0" xr:uid="{7A6F927F-957D-42C1-BDB2-68E2343C36D0}">
      <text>
        <r>
          <rPr>
            <b/>
            <sz val="9"/>
            <color indexed="81"/>
            <rFont val="Tahoma"/>
            <family val="2"/>
          </rPr>
          <t>Chen, Brandon@DHCS:</t>
        </r>
        <r>
          <rPr>
            <sz val="9"/>
            <color indexed="81"/>
            <rFont val="Tahoma"/>
            <family val="2"/>
          </rPr>
          <t xml:space="preserve">
PROJECTED TOTAL DAILY COSTS=ITEM 19+ITEM 20</t>
        </r>
      </text>
    </comment>
  </commentList>
</comments>
</file>

<file path=xl/sharedStrings.xml><?xml version="1.0" encoding="utf-8"?>
<sst xmlns="http://schemas.openxmlformats.org/spreadsheetml/2006/main" count="916" uniqueCount="454">
  <si>
    <t>CY 2025 Median</t>
  </si>
  <si>
    <t>Hold Harmless Median</t>
  </si>
  <si>
    <t>2025 DPNF-B Rates</t>
  </si>
  <si>
    <t xml:space="preserve">FACILITY NAME </t>
  </si>
  <si>
    <t>NPI</t>
  </si>
  <si>
    <t>Rev CD/Value CD Amt (0101-01)</t>
  </si>
  <si>
    <t>Rev CD/Value CD Amt (0180-02)</t>
  </si>
  <si>
    <t>Rev CD/Value CD Amt (0180-03)</t>
  </si>
  <si>
    <t>ALAMEDA CO MEDICAL CENTER</t>
  </si>
  <si>
    <t>ALAMEDA HOSPITAL</t>
  </si>
  <si>
    <t>BARTON MEMORIAL HOSPITAL</t>
  </si>
  <si>
    <t>BEAR VALLEY COMM HOSP</t>
  </si>
  <si>
    <t>BRUCEVILLE TERRACE of METHODIST HOSPITAL</t>
  </si>
  <si>
    <t>CALIFORNIA PACIFIC M C-DAVIES CAMPUS</t>
  </si>
  <si>
    <t>CATALINA ISLAND MEDICAL CENTER</t>
  </si>
  <si>
    <t xml:space="preserve">CHAPMAN MEDICAL CENTER </t>
  </si>
  <si>
    <t>COALINGA REGIONAL MEDICAL CENTER</t>
  </si>
  <si>
    <t>COLUSA MEDICAL CENTER</t>
  </si>
  <si>
    <t>COMMUNITY HOSPITAL SAN BERNARDINO</t>
  </si>
  <si>
    <t>COMMUNITY SUBACUTE AND TRANSITIONAL CARE</t>
  </si>
  <si>
    <t>DELANO COMMUNITY HOSPITAL</t>
  </si>
  <si>
    <t>DESERT REGIONAL MED CNTR</t>
  </si>
  <si>
    <t>EASTERN PLUMAS DISTRICT</t>
  </si>
  <si>
    <t>EDGEMOOR GERIATRIC HOSP</t>
  </si>
  <si>
    <t xml:space="preserve">ENCINO-TARZANA REG M C  </t>
  </si>
  <si>
    <t>GEORGE L. MEE HOSPITAL</t>
  </si>
  <si>
    <t>GROSSMONT HOSPITAL</t>
  </si>
  <si>
    <t>HAZEL HAWKINS CONVALESCENT HOSP</t>
  </si>
  <si>
    <t>HEMET VALLEY MED CNTR</t>
  </si>
  <si>
    <t>HI-DESERT MED CTR-JOSHUA</t>
  </si>
  <si>
    <t>HOLLYWOOD PRESBYTERIAN</t>
  </si>
  <si>
    <t>HOLY CROSS HOSPITAL (Providence)</t>
  </si>
  <si>
    <t>JEWISH HOME FOR THE AGED</t>
  </si>
  <si>
    <t>JOHN C. FREMONT HEALTHCARE DIST</t>
  </si>
  <si>
    <t>JOYCE EISENBERG KEEFER MEDICAL CTR</t>
  </si>
  <si>
    <t>KAWEAH DELTA DIST HOSP</t>
  </si>
  <si>
    <t>KERN VALLEY HOSP DISTRICT</t>
  </si>
  <si>
    <t>KINDRED HOSPITAL BREA</t>
  </si>
  <si>
    <t>LAGUNA HONDA HOSPITAL</t>
  </si>
  <si>
    <t>LOMPOC VALLEY MEDICAL CENTER</t>
  </si>
  <si>
    <t>MARIAN MEDICAL CENTER</t>
  </si>
  <si>
    <t>MAYERS MEMORIAL HOSPITAL</t>
  </si>
  <si>
    <t>MEMORIAL HOSPITAL OF GARDENA</t>
  </si>
  <si>
    <t>MODOC MEDICAL CENTER</t>
  </si>
  <si>
    <t>MOTION PICTURE &amp; TV HOSP</t>
  </si>
  <si>
    <t>MOUNTAINS COMMUNITY HOSP</t>
  </si>
  <si>
    <t>NORTHERN CALIFORNIA REHAB HOSPITAL</t>
  </si>
  <si>
    <t>OAKDALE NURSING AND REHABILITATION CENTER</t>
  </si>
  <si>
    <t>OJAI VALLEY COMM HOSPITAL</t>
  </si>
  <si>
    <t>OROVILLE HOSPITAL</t>
  </si>
  <si>
    <t xml:space="preserve">PACIFICA HOSPITAL-VALLEY </t>
  </si>
  <si>
    <t>PALOMAR POMERADO HEALTH VILLA POMERADO</t>
  </si>
  <si>
    <t>PROVIDENCE LITTLE CO. OF MARY HOSP TRANS CARE CTR</t>
  </si>
  <si>
    <t>PROVIDENCE LITTLE CO. OF MARY S/A CARE CTR</t>
  </si>
  <si>
    <t xml:space="preserve">RADY CHILDREN'S HOSPITAL </t>
  </si>
  <si>
    <t>RIDGECREST REGIONAL TRANSITIONAL CARE</t>
  </si>
  <si>
    <t>SAN FRANCISCO GENERAL HOSP (Zuckerberg)</t>
  </si>
  <si>
    <t>SAN GABRIEL VALLEY MED</t>
  </si>
  <si>
    <t>SAN MATEO MEDICAL CENTER</t>
  </si>
  <si>
    <t>SANTA CLARA VALLEY MEDICAL CENTER</t>
  </si>
  <si>
    <t>SENECA DISTRICT HOSPITAL</t>
  </si>
  <si>
    <t>SETON MEDICAL CENTER</t>
  </si>
  <si>
    <t>SHARP CHULA VISTA MEDICAL CENTER</t>
  </si>
  <si>
    <t>SHARP CORONADO HOSPITAL</t>
  </si>
  <si>
    <t xml:space="preserve">SHERMAN OAKS HOSPITAL </t>
  </si>
  <si>
    <t>SIERRA VIEW MEDICAL CENTER</t>
  </si>
  <si>
    <t>SONOMA VALLEY HOSP DIST</t>
  </si>
  <si>
    <t>SONORA REGIONAL MEDICAL CENTER</t>
  </si>
  <si>
    <t>SOUTHERN CALIFORNIA HOSPITAL</t>
  </si>
  <si>
    <t>TAHOE FOREST HOSPITAL</t>
  </si>
  <si>
    <t>TORRANCE MEM MED CNTR</t>
  </si>
  <si>
    <t>TRINITY HOSPITAL SKILLED NURSING FACILITY</t>
  </si>
  <si>
    <t>WHITE MEMORIAL HOSPITAL</t>
  </si>
  <si>
    <t>Interim</t>
  </si>
  <si>
    <t>SURPRISE VALLEY HOSPITAL</t>
  </si>
  <si>
    <t>JEROLD PHELPS COMMUNITY HOSPITAL</t>
  </si>
  <si>
    <t>ST. FRANCIS MEDICAL CENTER</t>
  </si>
  <si>
    <t>PIONEERS MEMORIAL HEALTH</t>
  </si>
  <si>
    <t>SOUTHERN INYO HOSPITAL</t>
  </si>
  <si>
    <t>WEST COVINA MEDICAL CENTER</t>
  </si>
  <si>
    <t>PIH HEALTH GOOD SAMARITAN</t>
  </si>
  <si>
    <t>CHINESE HOSPITAL</t>
  </si>
  <si>
    <t>CITY</t>
  </si>
  <si>
    <t xml:space="preserve">COUNTY CODE </t>
  </si>
  <si>
    <t>Admin Day NPI</t>
  </si>
  <si>
    <t>FYBEG</t>
  </si>
  <si>
    <t>FYEND</t>
  </si>
  <si>
    <t xml:space="preserve">Rural
(Y/N) </t>
  </si>
  <si>
    <t>Prior Year Rate (1-1-2024)</t>
  </si>
  <si>
    <t>Final DPNF-B Rate 2025</t>
  </si>
  <si>
    <t>Final Swing Bed Rate 2025</t>
  </si>
  <si>
    <t>SB525 Add-On</t>
  </si>
  <si>
    <t xml:space="preserve">CEDARVILLE </t>
  </si>
  <si>
    <t>Y</t>
  </si>
  <si>
    <t>GARBERVILLE</t>
  </si>
  <si>
    <t>LYNWOOD</t>
  </si>
  <si>
    <t>BRAWLEY</t>
  </si>
  <si>
    <t>LONE PINE</t>
  </si>
  <si>
    <t>WEST COVINA</t>
  </si>
  <si>
    <t>LOS ANGELES</t>
  </si>
  <si>
    <t>SAN FRANCISCO</t>
  </si>
  <si>
    <t>CY 2025 DP/NF-B Ratesetting Data Sources &amp; Calculations</t>
  </si>
  <si>
    <t>The DP/NF-B rate is the lower of a facility's calculated cost per day or the 2025 hold harmless median of the calculated cost per day of all facilities that have at least 20 percent Medi-Cal days.  This page describes the data sources and calculation steps used to develop facility rates in accordance with the Medi-Cal Long-Term Care Reimbursement Act (Welfare &amp; Institutions Code Section 14105) and the California Medicaid State Plan (Attachment 4.19-D).</t>
  </si>
  <si>
    <t>Section 1. Facility Data</t>
  </si>
  <si>
    <t>Column</t>
  </si>
  <si>
    <t>Description</t>
  </si>
  <si>
    <t>A</t>
  </si>
  <si>
    <t>Facility Name.</t>
  </si>
  <si>
    <t>B</t>
  </si>
  <si>
    <t>National Provider Identifier (NPI).</t>
  </si>
  <si>
    <t>C</t>
  </si>
  <si>
    <t>Rural Swing Bed Indicator.</t>
  </si>
  <si>
    <t>D</t>
  </si>
  <si>
    <t>Fiscal Year Beginning.</t>
  </si>
  <si>
    <t>E</t>
  </si>
  <si>
    <t>Fiscal Year End (FYE).</t>
  </si>
  <si>
    <t>F</t>
  </si>
  <si>
    <t>Months Update – months to update from midpoint of Audit/Cost report to midpoint of rate period.</t>
  </si>
  <si>
    <t>G</t>
  </si>
  <si>
    <t>Total Days from Audit/Cost Report (DPNF Sch 1 – Line 4).</t>
  </si>
  <si>
    <t>H</t>
  </si>
  <si>
    <t>Medi-Cal Days Fee For Service Days (DPNF Sch 1 – Line 15).</t>
  </si>
  <si>
    <t>I</t>
  </si>
  <si>
    <t>Medi-Cal Managed Care Days (DPNF Sch 1 – Line 16).</t>
  </si>
  <si>
    <t>J</t>
  </si>
  <si>
    <t>Other Days (Total Days – FFS Days – Managed Care Days).</t>
  </si>
  <si>
    <t>K</t>
  </si>
  <si>
    <t>Licensed Beds.</t>
  </si>
  <si>
    <t>Section 2. Capital Costs</t>
  </si>
  <si>
    <t>L</t>
  </si>
  <si>
    <t>Sum of Capital Costs consists of Direct Capital Related Costs (DPNF Sch 1 Line 17), and Indirect Capital Related Cost (DPNF Sch 1 Line 18).</t>
  </si>
  <si>
    <t>Section 3. Salaries, Wages, Benefits (SWB), SB616</t>
  </si>
  <si>
    <t>M</t>
  </si>
  <si>
    <t>Sum of SWB Costs consists of Facility Cost x SWB Ratio (SWB as a % of the Total Cost). Capital Cost excluded.</t>
  </si>
  <si>
    <t>N</t>
  </si>
  <si>
    <t>SWB Inflation Factor from DOF Economic Forecast for Labor.</t>
  </si>
  <si>
    <t>O</t>
  </si>
  <si>
    <t>SWB Inflated Cost - Multiply SWB by the SWB Inflation Factor.</t>
  </si>
  <si>
    <t>P</t>
  </si>
  <si>
    <t>SB 616 Adjustment - Additional 16 hours per 2080 hours in a 12-month period,   effective 1/1/2024.  Inflated SWB Cost times .0076.</t>
  </si>
  <si>
    <t>Section 4. All Other Costs</t>
  </si>
  <si>
    <t>Q</t>
  </si>
  <si>
    <t xml:space="preserve">All Other Costs (Facility Cost less SWB, less Capital Cost). </t>
  </si>
  <si>
    <t>R</t>
  </si>
  <si>
    <t>All Other Cost Inflation factor based on the California Consumer Price Index (CCPI).</t>
  </si>
  <si>
    <t>S</t>
  </si>
  <si>
    <t>Prior Year License Fee.</t>
  </si>
  <si>
    <t>T</t>
  </si>
  <si>
    <t>Revised License Fee.</t>
  </si>
  <si>
    <t>U</t>
  </si>
  <si>
    <t>All Other Cost inflated.  All other Cost less prior year license fee, plus current license fee times inflation factor.</t>
  </si>
  <si>
    <t>Section 5. Total Projected Costs</t>
  </si>
  <si>
    <t>V</t>
  </si>
  <si>
    <t>Sum of Capital Costs (Not Inflated), SWB Inflated &amp; All Other Cost inflated.</t>
  </si>
  <si>
    <t>Section 6. Mini Wage Add-On</t>
  </si>
  <si>
    <t>W</t>
  </si>
  <si>
    <t xml:space="preserve">Taken from Minimum wage add-on table. </t>
  </si>
  <si>
    <t>Section 7. SB 616 Adjustment</t>
  </si>
  <si>
    <t>X</t>
  </si>
  <si>
    <t>Adding 16 hours per 12 months as a SWB cost (SB616 Adjustment/Days).</t>
  </si>
  <si>
    <t>Total projected cost divided by total days, plus Mini Wage Add-on, plus SB616 Add-on.</t>
  </si>
  <si>
    <t>Z</t>
  </si>
  <si>
    <t>Medi-Cal Days Percentage (Medi-Cal Days divided by Total Days).</t>
  </si>
  <si>
    <t>AA</t>
  </si>
  <si>
    <t>20% or above Medi-Cal Days facilities are included in the median calculation.</t>
  </si>
  <si>
    <t>AB</t>
  </si>
  <si>
    <t>Compare the projected rate with the median to get the lesser of.</t>
  </si>
  <si>
    <t>AC</t>
  </si>
  <si>
    <t>Apply projected rate if the facility has Rural Swing Beds.</t>
  </si>
  <si>
    <t>AD</t>
  </si>
  <si>
    <t>Final Swing Bed Rate (the median of all RSB rates).</t>
  </si>
  <si>
    <t>AE</t>
  </si>
  <si>
    <t>Hold Harmless Rates (the highest historic rate for a facility).</t>
  </si>
  <si>
    <t>AF</t>
  </si>
  <si>
    <t>Final DP/NF-B Per Diem Rate.</t>
  </si>
  <si>
    <t>AG</t>
  </si>
  <si>
    <t>Final DP/NF-B Bedhold Per Diem Rate.</t>
  </si>
  <si>
    <t>Prior Year 2024 Hold Harmless Median</t>
  </si>
  <si>
    <t>2025 Median</t>
  </si>
  <si>
    <t>2025 Hold Harmless Median</t>
  </si>
  <si>
    <t>Count</t>
  </si>
  <si>
    <t>Bedhold</t>
  </si>
  <si>
    <t>DPNF-B Class Median</t>
  </si>
  <si>
    <t>RSB Median</t>
  </si>
  <si>
    <t>Median</t>
  </si>
  <si>
    <t>Rural Swing Bed Median</t>
  </si>
  <si>
    <t>DPNF-B Per Diem Rate Calculations for CY 2025</t>
  </si>
  <si>
    <t>Rate Period Midpoint</t>
  </si>
  <si>
    <t>Capital Costs (Not Inflated)</t>
  </si>
  <si>
    <t>Salaries, Wages and Benefits (Inflated: Labor Study Factor)</t>
  </si>
  <si>
    <t>All Other Costs (Inflated: CCPI)</t>
  </si>
  <si>
    <t>Total Projected Costs</t>
  </si>
  <si>
    <t>Projected Cost</t>
  </si>
  <si>
    <t>Class Median Calculation</t>
  </si>
  <si>
    <t>Hold Harmless</t>
  </si>
  <si>
    <t>Final DPNF-B Per Diem Rate</t>
  </si>
  <si>
    <t>Final DPNF-B Bedhold Per Diem Rate</t>
  </si>
  <si>
    <t>Rural Swing Bed</t>
  </si>
  <si>
    <t>Fiscal Year Beginning</t>
  </si>
  <si>
    <t>Fiscal Year Ending</t>
  </si>
  <si>
    <t>Months Update</t>
  </si>
  <si>
    <t xml:space="preserve">Total Days
</t>
  </si>
  <si>
    <t xml:space="preserve">Medi-Cal Fee For Service Days
</t>
  </si>
  <si>
    <t xml:space="preserve">Medi-Cal Managed Care Days
</t>
  </si>
  <si>
    <t xml:space="preserve">Other Days 
</t>
  </si>
  <si>
    <t>License Beds</t>
  </si>
  <si>
    <r>
      <t xml:space="preserve">Capital Cost </t>
    </r>
    <r>
      <rPr>
        <sz val="10"/>
        <rFont val="Segoe UI"/>
        <family val="2"/>
      </rPr>
      <t>(DPNF Sch 1, Line 19)</t>
    </r>
  </si>
  <si>
    <t>Labor Costs</t>
  </si>
  <si>
    <t>Labor Inflation Factor</t>
  </si>
  <si>
    <t>Inflated Labor Cost</t>
  </si>
  <si>
    <r>
      <t xml:space="preserve">SB 616 Adjustment
</t>
    </r>
    <r>
      <rPr>
        <b/>
        <i/>
        <sz val="10"/>
        <rFont val="Segoe UI"/>
        <family val="2"/>
      </rPr>
      <t xml:space="preserve"> (Addtl 16 hours per 2,080 hours in 12 month period=0.0076)</t>
    </r>
  </si>
  <si>
    <t>ALL OTHER COSTS</t>
  </si>
  <si>
    <t>All Other Costs Inflation Factor (CCPI)</t>
  </si>
  <si>
    <t>License Fee - Prior</t>
  </si>
  <si>
    <t>License Fee - Revised</t>
  </si>
  <si>
    <t>All Other Costs Inflated with License Fee</t>
  </si>
  <si>
    <t>Sum of Inflated Costs</t>
  </si>
  <si>
    <t>Minimum Wage Add-On</t>
  </si>
  <si>
    <t>SB 616 Adjustment Per Day</t>
  </si>
  <si>
    <t>Calculated Cost Per Day</t>
  </si>
  <si>
    <t>Medi-Cal Days %</t>
  </si>
  <si>
    <t>20% Medi-Cal Days</t>
  </si>
  <si>
    <t>Projected DPNF-B Rate</t>
  </si>
  <si>
    <t>Swing Bed Projected Rate</t>
  </si>
  <si>
    <t>Final Swing Bed Rate</t>
  </si>
  <si>
    <t>Hold Harmless Rate
 (2024)</t>
  </si>
  <si>
    <t>Final DPNF-B Rate</t>
  </si>
  <si>
    <t>Final DPNF-B Bedhold Rate</t>
  </si>
  <si>
    <t>J=G-H-I</t>
  </si>
  <si>
    <t>Refer to Methodology Section 3, Column M</t>
  </si>
  <si>
    <t>O=M*N</t>
  </si>
  <si>
    <t>P=O*0.0076</t>
  </si>
  <si>
    <t>Refer to Methodology Section 4, All Other Cost</t>
  </si>
  <si>
    <t>U=((Q-(S*K))*R)+(T*K)</t>
  </si>
  <si>
    <t>V=L+O+U</t>
  </si>
  <si>
    <t>Z = (V/G)+W+X+Y</t>
  </si>
  <si>
    <t>AB=IF(Z&gt;=20%,Y,0)</t>
  </si>
  <si>
    <t>AC=IF(Z&gt;Median,Median,Z)</t>
  </si>
  <si>
    <t>AD=IF(C="Y" and  Z&gt;0%,AB,0)</t>
  </si>
  <si>
    <t>AE=IF(AD&lt;&gt;0 or C="Y",RSB Median,0)</t>
  </si>
  <si>
    <t>AH</t>
  </si>
  <si>
    <r>
      <t xml:space="preserve">DP PATIENT DAYS </t>
    </r>
    <r>
      <rPr>
        <sz val="10"/>
        <color theme="1"/>
        <rFont val="Segoe UI"/>
        <family val="2"/>
      </rPr>
      <t>(DPNF Sch 1, Line 4)</t>
    </r>
  </si>
  <si>
    <r>
      <t xml:space="preserve">Medi-Cal Days </t>
    </r>
    <r>
      <rPr>
        <sz val="10"/>
        <color theme="1"/>
        <rFont val="Segoe UI"/>
        <family val="2"/>
      </rPr>
      <t>(DPNF Sch 1, Line 15, 16)</t>
    </r>
  </si>
  <si>
    <r>
      <t xml:space="preserve">Lic Beds </t>
    </r>
    <r>
      <rPr>
        <sz val="10"/>
        <color theme="1"/>
        <rFont val="Segoe UI"/>
        <family val="2"/>
      </rPr>
      <t>(DPNF Sch 1, Line 13)</t>
    </r>
  </si>
  <si>
    <r>
      <t xml:space="preserve">CAPITAL COST </t>
    </r>
    <r>
      <rPr>
        <sz val="10"/>
        <color theme="1"/>
        <rFont val="Segoe UI"/>
        <family val="2"/>
      </rPr>
      <t>(DPNF Sch 1, Line 19)</t>
    </r>
  </si>
  <si>
    <r>
      <t xml:space="preserve">SNFCOST </t>
    </r>
    <r>
      <rPr>
        <sz val="10"/>
        <color theme="1"/>
        <rFont val="Segoe UI"/>
        <family val="2"/>
      </rPr>
      <t>(DPNF Sch 1, Line 3)</t>
    </r>
  </si>
  <si>
    <r>
      <t xml:space="preserve">SALARY </t>
    </r>
    <r>
      <rPr>
        <sz val="10"/>
        <color theme="1"/>
        <rFont val="Segoe UI"/>
        <family val="2"/>
      </rPr>
      <t>(DPNF Sch 1, Line 22)</t>
    </r>
  </si>
  <si>
    <t>DPADJ</t>
  </si>
  <si>
    <t>DP Code</t>
  </si>
  <si>
    <t>Other DP Codes</t>
  </si>
  <si>
    <r>
      <t xml:space="preserve">Total Medi-Cal Fee-For-Service Patient Days </t>
    </r>
    <r>
      <rPr>
        <sz val="10"/>
        <rFont val="Segoe UI"/>
        <family val="2"/>
      </rPr>
      <t>(DPNF Sch 1, Line 15)</t>
    </r>
  </si>
  <si>
    <r>
      <t xml:space="preserve">Total Medi-Cal Managed Care Patient Days </t>
    </r>
    <r>
      <rPr>
        <sz val="10"/>
        <rFont val="Segoe UI"/>
        <family val="2"/>
      </rPr>
      <t>(DPNF Sch 1, Line 16)</t>
    </r>
  </si>
  <si>
    <t>Cert Date</t>
  </si>
  <si>
    <t>Prior Year Rate (2024 1/1)</t>
  </si>
  <si>
    <t>OAKLAND</t>
  </si>
  <si>
    <t>01/01/79</t>
  </si>
  <si>
    <t>ALAMEDA</t>
  </si>
  <si>
    <t>SO. LAKE TAHOE</t>
  </si>
  <si>
    <t>BIG BEAR LAKE</t>
  </si>
  <si>
    <t>06/26/91</t>
  </si>
  <si>
    <t xml:space="preserve">SACRAMENTO </t>
  </si>
  <si>
    <t>03/10/89</t>
  </si>
  <si>
    <t xml:space="preserve">SAN FRANCISCO </t>
  </si>
  <si>
    <t>11/01/78</t>
  </si>
  <si>
    <t xml:space="preserve">AVALON </t>
  </si>
  <si>
    <t>03/06/85</t>
  </si>
  <si>
    <t>ORANGE</t>
  </si>
  <si>
    <t>08/01/97</t>
  </si>
  <si>
    <t>COALINGA</t>
  </si>
  <si>
    <t>COLUSA</t>
  </si>
  <si>
    <t>SAN BERNARDINO</t>
  </si>
  <si>
    <t xml:space="preserve">FRESNO </t>
  </si>
  <si>
    <t>11/01/79</t>
  </si>
  <si>
    <t xml:space="preserve">DELANO </t>
  </si>
  <si>
    <t>05/01/79</t>
  </si>
  <si>
    <t>PALM SPRINGS</t>
  </si>
  <si>
    <t>PORTOLA</t>
  </si>
  <si>
    <t>09/11/90</t>
  </si>
  <si>
    <t xml:space="preserve">SANTEE </t>
  </si>
  <si>
    <t>04/30/88</t>
  </si>
  <si>
    <t>ENCINO</t>
  </si>
  <si>
    <t>01/16/98</t>
  </si>
  <si>
    <t xml:space="preserve">KING CITY </t>
  </si>
  <si>
    <t>09/30/85</t>
  </si>
  <si>
    <t>LA MESA</t>
  </si>
  <si>
    <t>11/19/93</t>
  </si>
  <si>
    <t xml:space="preserve">HOLLISTER </t>
  </si>
  <si>
    <t>02/13/86</t>
  </si>
  <si>
    <t>HEMET VALLEY MEDICAL CENTER</t>
  </si>
  <si>
    <t>HEMET</t>
  </si>
  <si>
    <t>JOSHUA TREE</t>
  </si>
  <si>
    <t xml:space="preserve"> </t>
  </si>
  <si>
    <t>01/11/91</t>
  </si>
  <si>
    <t xml:space="preserve">LOS ANGELES </t>
  </si>
  <si>
    <t xml:space="preserve">SAN FERNANDO </t>
  </si>
  <si>
    <t>10/01/79</t>
  </si>
  <si>
    <t>09/16/87</t>
  </si>
  <si>
    <t xml:space="preserve">MARIPOSA </t>
  </si>
  <si>
    <t>RESEDA</t>
  </si>
  <si>
    <t>VISALIA</t>
  </si>
  <si>
    <t>LAKE ISABELLA</t>
  </si>
  <si>
    <t>07/30/92</t>
  </si>
  <si>
    <t>BREA</t>
  </si>
  <si>
    <t>08/01/79</t>
  </si>
  <si>
    <t xml:space="preserve">LOMPOC </t>
  </si>
  <si>
    <t>SANTA MARIA</t>
  </si>
  <si>
    <t xml:space="preserve">FALL RIVER MILLS </t>
  </si>
  <si>
    <t>06/01/79</t>
  </si>
  <si>
    <t>GARDENA</t>
  </si>
  <si>
    <t>11/29/90</t>
  </si>
  <si>
    <t>MODOC</t>
  </si>
  <si>
    <t>05/04/90</t>
  </si>
  <si>
    <t xml:space="preserve">WOODLAND HILLS </t>
  </si>
  <si>
    <t>09/01/79</t>
  </si>
  <si>
    <t>LAKE ARROWHEAD</t>
  </si>
  <si>
    <t>05/03/91</t>
  </si>
  <si>
    <t>REDDING</t>
  </si>
  <si>
    <t xml:space="preserve">OAKDALE </t>
  </si>
  <si>
    <t>07/31/87</t>
  </si>
  <si>
    <t xml:space="preserve">OJAI </t>
  </si>
  <si>
    <t>OROVILLE</t>
  </si>
  <si>
    <t xml:space="preserve">SUN VALLEY </t>
  </si>
  <si>
    <t>02/04/86</t>
  </si>
  <si>
    <t xml:space="preserve">POWAY </t>
  </si>
  <si>
    <t>05/05/88</t>
  </si>
  <si>
    <t xml:space="preserve">TORRANCE </t>
  </si>
  <si>
    <t>03/17/87</t>
  </si>
  <si>
    <t>SAN PEDRO</t>
  </si>
  <si>
    <t>SAN DIEGO</t>
  </si>
  <si>
    <t>12/01/86</t>
  </si>
  <si>
    <t>RIDGECREST</t>
  </si>
  <si>
    <t xml:space="preserve">SAN GABRIEL </t>
  </si>
  <si>
    <t>10/10/86</t>
  </si>
  <si>
    <t>SAN MATEO</t>
  </si>
  <si>
    <t>07/01/79</t>
  </si>
  <si>
    <t>SAN JOSE</t>
  </si>
  <si>
    <t xml:space="preserve">CHESTER </t>
  </si>
  <si>
    <t>10/01/78</t>
  </si>
  <si>
    <t>DALY CITY</t>
  </si>
  <si>
    <t xml:space="preserve">CHULA VISTA </t>
  </si>
  <si>
    <t>01/02/86</t>
  </si>
  <si>
    <t xml:space="preserve">CORONADO </t>
  </si>
  <si>
    <t>04/01/78</t>
  </si>
  <si>
    <t>SHERMAN OAKS</t>
  </si>
  <si>
    <t>PORTERVILLE</t>
  </si>
  <si>
    <t xml:space="preserve">SONOMA </t>
  </si>
  <si>
    <t>12/19/86</t>
  </si>
  <si>
    <t xml:space="preserve">SONORA </t>
  </si>
  <si>
    <t>10/07/85</t>
  </si>
  <si>
    <t>CULVER CITY</t>
  </si>
  <si>
    <t xml:space="preserve">TRUCKEE </t>
  </si>
  <si>
    <t>06/05/86</t>
  </si>
  <si>
    <t>TORRANCE</t>
  </si>
  <si>
    <t>03/23/94</t>
  </si>
  <si>
    <t>WEAVERVILLE</t>
  </si>
  <si>
    <t>08/19/88</t>
  </si>
  <si>
    <t>ADJUSTED CAPITAL COSTS (Item 1)</t>
  </si>
  <si>
    <t>ADJUSTED TOTAL COSTS (Item 2)</t>
  </si>
  <si>
    <t>ADJUSTED NON-CAPITAL COSTS (Item 3)</t>
  </si>
  <si>
    <t>ADJUSTED SWB COSTS (Item 4)</t>
  </si>
  <si>
    <t>ADJUSTED ALL OTHER (AO) COSTS (Item 5)</t>
  </si>
  <si>
    <t>PROJECTED CAPITAL COSTS (Item 6)</t>
  </si>
  <si>
    <t>PROJECTED SWB COSTS (Item 9)</t>
  </si>
  <si>
    <t>UPDATED AO COST without PRIOR LICENSE FEES (Item 17)</t>
  </si>
  <si>
    <t>PROJECTED ALL OTHER COST (Item 18)</t>
  </si>
  <si>
    <t>PROJECTED COMBINED DAILY COST (Item 19)</t>
  </si>
  <si>
    <t>SUM OF PER DIEM ADD-Ons (Item 20)</t>
  </si>
  <si>
    <t>PROJECTED TOTAL DAILY COSTS (Item 21)</t>
  </si>
  <si>
    <t>M-Cal %</t>
  </si>
  <si>
    <t>20% M-Cal Days</t>
  </si>
  <si>
    <t>SwingBeds</t>
  </si>
  <si>
    <t>SwingBed Rate</t>
  </si>
  <si>
    <t>DPNF-B Class Median =</t>
  </si>
  <si>
    <t>Count =</t>
  </si>
  <si>
    <t xml:space="preserve">Count = </t>
  </si>
  <si>
    <t>DP PATIENT DAYS</t>
  </si>
  <si>
    <t>Medi-Cal Days</t>
  </si>
  <si>
    <t>Lic Beds</t>
  </si>
  <si>
    <t>CAPITAL COST</t>
  </si>
  <si>
    <t>SNFCOST</t>
  </si>
  <si>
    <t>SALARY</t>
  </si>
  <si>
    <t>Total Medi-Cal Fee-For-Service SA Patient Days</t>
  </si>
  <si>
    <t>Total Medi-Cal Managed Care SA Patient Days</t>
  </si>
  <si>
    <t>Prior Year Rate</t>
  </si>
  <si>
    <t>Notes</t>
  </si>
  <si>
    <t>New SA Facility</t>
  </si>
  <si>
    <t>Ancillaries</t>
  </si>
  <si>
    <t>8-1-99 WPT (inc $.14 on 1-1-00)</t>
  </si>
  <si>
    <t>8-1-00
WPT</t>
  </si>
  <si>
    <t>8-1-23
PROJ.
COST</t>
  </si>
  <si>
    <t>Midpoint to 10/15/2023</t>
  </si>
  <si>
    <t>Account for Decimals</t>
  </si>
  <si>
    <t>Truncate Midpoint</t>
  </si>
  <si>
    <t>Midpoint to the Nearest Half Month</t>
  </si>
  <si>
    <t>SWB Update</t>
  </si>
  <si>
    <t>All Other (AO) Costs Update</t>
  </si>
  <si>
    <t>ITEM 1</t>
  </si>
  <si>
    <t>ITEM 2</t>
  </si>
  <si>
    <t>ITEM 3</t>
  </si>
  <si>
    <t>ITEM 4</t>
  </si>
  <si>
    <t>ITEM 5</t>
  </si>
  <si>
    <t>ITEM 6</t>
  </si>
  <si>
    <t>ITEM 9</t>
  </si>
  <si>
    <t>ITEM 17</t>
  </si>
  <si>
    <t>ITEM 18</t>
  </si>
  <si>
    <t>ITEM 19</t>
  </si>
  <si>
    <t>ITEM 20</t>
  </si>
  <si>
    <t>ITEM 21</t>
  </si>
  <si>
    <t>Final Rate</t>
  </si>
  <si>
    <t>BIGGS GRIDLEY MEM HOSP</t>
  </si>
  <si>
    <t>GRIDLEY</t>
  </si>
  <si>
    <t>2025 Labor &amp; Non-Labor Inflation Factors</t>
  </si>
  <si>
    <t>Months To Update</t>
  </si>
  <si>
    <t>Property Tax</t>
  </si>
  <si>
    <t>DOF (Labor) Economic Forecast</t>
  </si>
  <si>
    <t>All Other
(CCPI)</t>
  </si>
  <si>
    <t>Notes:</t>
  </si>
  <si>
    <t>Property Tax same as previous years. Does not change year to year.</t>
  </si>
  <si>
    <t>Labor factor from Table 4 in annual labor study.</t>
  </si>
  <si>
    <t>All Other from CCPI from the non-labor inflation table.</t>
  </si>
  <si>
    <t>Salaries and Wages</t>
  </si>
  <si>
    <t>Employee Benefits</t>
  </si>
  <si>
    <t>Total Health Care Expenses</t>
  </si>
  <si>
    <t>Salary %</t>
  </si>
  <si>
    <t>Benefit %</t>
  </si>
  <si>
    <t>SWB Ratio</t>
  </si>
  <si>
    <t>Note: Data from HCAI</t>
  </si>
  <si>
    <t>Minimum Wage Add-Ons</t>
  </si>
  <si>
    <t>2023 SB 3 Min Wage Increase</t>
  </si>
  <si>
    <t>Total Add-On</t>
  </si>
  <si>
    <t>License Fees</t>
  </si>
  <si>
    <t>Prior Year</t>
  </si>
  <si>
    <t>Current Year</t>
  </si>
  <si>
    <t>LA County Prior Year</t>
  </si>
  <si>
    <t>LA County Current Year</t>
  </si>
  <si>
    <t>CY2025 SB525 Add-On</t>
  </si>
  <si>
    <t>10/15/2024-12/31/2025</t>
  </si>
  <si>
    <t>Mayers Memorial Hospital District</t>
  </si>
  <si>
    <t>Eastern Plumas Health Care</t>
  </si>
  <si>
    <t>Oak Valley Hospital District - Oak Valley Nursing &amp; Rehab Center</t>
  </si>
  <si>
    <t>Kern Valley Healthcare District</t>
  </si>
  <si>
    <t>Burlingame Skilled Nursing</t>
  </si>
  <si>
    <t>LAST FRONTIER HEALTHCARE DISTRICT</t>
  </si>
  <si>
    <t>John C Fremont Healthcare District</t>
  </si>
  <si>
    <t>Palomar Health dba The Villas at Poway</t>
  </si>
  <si>
    <t>Sierra View Medical Center</t>
  </si>
  <si>
    <t>Surprise Valley Health Care District</t>
  </si>
  <si>
    <t>SB525 survey data received from facilities.</t>
  </si>
  <si>
    <t>Section 8. SB 525 Adjustment</t>
  </si>
  <si>
    <t>Section 9. Projected Cost per Day</t>
  </si>
  <si>
    <t>Section 10. Class Median Calculation</t>
  </si>
  <si>
    <t/>
  </si>
  <si>
    <t>0</t>
  </si>
  <si>
    <t>Press TAB to advance to the next cell. Press UP, DOWN, LEFT, or RIGHT ARROW to move cell by cell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</si>
</sst>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0.00000"/>
    <numFmt numFmtId="166" formatCode="0.000"/>
    <numFmt numFmtId="167" formatCode="&quot;$&quot;#,##0.00"/>
    <numFmt numFmtId="168" formatCode="&quot;$&quot;\ #,###.00"/>
    <numFmt numFmtId="169" formatCode="_(* #,##0_);_(* \(#,##0\);_(* &quot;-&quot;??_);_(@_)"/>
    <numFmt numFmtId="170" formatCode="#,###.00"/>
    <numFmt numFmtId="171" formatCode="&quot;$&quot;#,##0"/>
    <numFmt numFmtId="172" formatCode="_(* #,##0.000000_);_(* \(#,##0.000000\);_(* &quot;-&quot;??_);_(@_)"/>
    <numFmt numFmtId="173" formatCode="0.0000"/>
    <numFmt numFmtId="174" formatCode="m/d/yy;@"/>
    <numFmt numFmtId="175" formatCode="_(* #,##0.00000_);_(* \(#,##0.00000\);_(* &quot;-&quot;??_);_(@_)"/>
    <numFmt numFmtId="176" formatCode="mm/dd/yy"/>
  </numFmts>
  <fonts count="25" x14ac:knownFonts="1">
    <font>
      <sz val="11"/>
      <color theme="1"/>
      <name val="Calibri"/>
      <family val="2"/>
      <scheme val="minor"/>
    </font>
    <font>
      <sz val="11"/>
      <color theme="1"/>
      <name val="Calibri"/>
      <family val="2"/>
      <scheme val="minor"/>
    </font>
    <font>
      <b/>
      <sz val="10"/>
      <name val="Segoe UI"/>
      <family val="2"/>
    </font>
    <font>
      <sz val="10"/>
      <name val="Arial"/>
      <family val="2"/>
    </font>
    <font>
      <sz val="12"/>
      <name val="Times New Roman"/>
      <family val="1"/>
    </font>
    <font>
      <b/>
      <sz val="10"/>
      <color indexed="8"/>
      <name val="Segoe UI"/>
      <family val="2"/>
    </font>
    <font>
      <sz val="10"/>
      <name val="Segoe UI"/>
      <family val="2"/>
    </font>
    <font>
      <sz val="10"/>
      <color indexed="8"/>
      <name val="Arial"/>
      <family val="2"/>
    </font>
    <font>
      <sz val="9"/>
      <color theme="1"/>
      <name val="Segoe UI"/>
      <family val="2"/>
    </font>
    <font>
      <sz val="10"/>
      <color theme="1"/>
      <name val="Segoe UI"/>
      <family val="2"/>
    </font>
    <font>
      <b/>
      <sz val="10"/>
      <color rgb="FF0070C0"/>
      <name val="Segoe UI"/>
      <family val="2"/>
    </font>
    <font>
      <b/>
      <sz val="10"/>
      <color theme="1"/>
      <name val="Segoe UI"/>
      <family val="2"/>
    </font>
    <font>
      <b/>
      <sz val="9"/>
      <color indexed="81"/>
      <name val="Tahoma"/>
      <family val="2"/>
    </font>
    <font>
      <sz val="9"/>
      <color indexed="81"/>
      <name val="Tahoma"/>
      <family val="2"/>
    </font>
    <font>
      <sz val="8"/>
      <name val="Calibri"/>
      <family val="2"/>
      <scheme val="minor"/>
    </font>
    <font>
      <b/>
      <sz val="11"/>
      <name val="Segoe UI"/>
      <family val="2"/>
    </font>
    <font>
      <b/>
      <i/>
      <sz val="10"/>
      <name val="Segoe UI"/>
      <family val="2"/>
    </font>
    <font>
      <sz val="11"/>
      <color theme="1"/>
      <name val="Segoe UI"/>
      <family val="2"/>
    </font>
    <font>
      <sz val="11"/>
      <name val="Segoe UI"/>
      <family val="2"/>
    </font>
    <font>
      <b/>
      <sz val="14"/>
      <color theme="1"/>
      <name val="Segoe UI"/>
      <family val="2"/>
    </font>
    <font>
      <b/>
      <sz val="12"/>
      <color theme="1"/>
      <name val="Segoe UI"/>
      <family val="2"/>
    </font>
    <font>
      <sz val="12"/>
      <color theme="1"/>
      <name val="Segoe UI"/>
      <family val="2"/>
    </font>
    <font>
      <b/>
      <sz val="11"/>
      <color theme="1"/>
      <name val="Segoe UI"/>
      <family val="2"/>
    </font>
    <font>
      <b/>
      <sz val="10"/>
      <color theme="1"/>
      <name val="Segoe UI"/>
    </font>
    <font>
      <sz val="10"/>
      <color theme="0"/>
      <name val="Segoe UI"/>
      <family val="2"/>
    </font>
  </fonts>
  <fills count="6">
    <fill>
      <patternFill patternType="none"/>
    </fill>
    <fill>
      <patternFill patternType="gray125"/>
    </fill>
    <fill>
      <patternFill patternType="solid">
        <fgColor rgb="FFCCECFF"/>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12">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theme="1" tint="0.499984740745262"/>
      </bottom>
      <diagonal/>
    </border>
    <border>
      <left style="thin">
        <color theme="1" tint="0.499984740745262"/>
      </left>
      <right style="thin">
        <color auto="1"/>
      </right>
      <top style="thin">
        <color theme="1" tint="0.499984740745262"/>
      </top>
      <bottom style="thin">
        <color auto="1"/>
      </bottom>
      <diagonal/>
    </border>
    <border>
      <left/>
      <right style="thin">
        <color indexed="64"/>
      </right>
      <top style="thin">
        <color indexed="64"/>
      </top>
      <bottom style="thin">
        <color indexed="64"/>
      </bottom>
      <diagonal/>
    </border>
    <border>
      <left/>
      <right style="thin">
        <color theme="1" tint="0.499984740745262"/>
      </right>
      <top style="thin">
        <color theme="1" tint="0.499984740745262"/>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7" fillId="0" borderId="0"/>
    <xf numFmtId="0" fontId="1" fillId="0" borderId="0"/>
    <xf numFmtId="44" fontId="1" fillId="0" borderId="0" applyFont="0" applyFill="0" applyBorder="0" applyAlignment="0" applyProtection="0"/>
    <xf numFmtId="0" fontId="1" fillId="0" borderId="1" applyNumberFormat="0" applyFont="0" applyAlignment="0"/>
  </cellStyleXfs>
  <cellXfs count="191">
    <xf numFmtId="0" fontId="0" fillId="0" borderId="0" xfId="0"/>
    <xf numFmtId="0" fontId="11" fillId="0" borderId="0" xfId="0" applyFont="1" applyAlignment="1">
      <alignment horizontal="center" vertical="center" wrapText="1"/>
    </xf>
    <xf numFmtId="0" fontId="9" fillId="0" borderId="0" xfId="0" applyFont="1"/>
    <xf numFmtId="167" fontId="9" fillId="0" borderId="0" xfId="0" applyNumberFormat="1" applyFont="1"/>
    <xf numFmtId="0" fontId="9" fillId="0" borderId="2" xfId="0" applyFont="1" applyBorder="1" applyAlignment="1">
      <alignment horizontal="center"/>
    </xf>
    <xf numFmtId="0" fontId="11" fillId="5" borderId="2" xfId="0" applyFont="1" applyFill="1" applyBorder="1" applyAlignment="1">
      <alignment horizontal="center" vertical="center" wrapText="1"/>
    </xf>
    <xf numFmtId="0" fontId="9" fillId="0" borderId="2" xfId="0" applyFont="1" applyBorder="1"/>
    <xf numFmtId="0" fontId="11" fillId="0" borderId="2" xfId="0" applyFont="1" applyBorder="1" applyAlignment="1">
      <alignment horizontal="center" vertical="center" wrapText="1"/>
    </xf>
    <xf numFmtId="3" fontId="6" fillId="4" borderId="2" xfId="0" applyNumberFormat="1" applyFont="1" applyFill="1" applyBorder="1"/>
    <xf numFmtId="0" fontId="19" fillId="0" borderId="0" xfId="0" applyFont="1" applyAlignment="1" applyProtection="1">
      <alignment vertical="center"/>
      <protection locked="0"/>
    </xf>
    <xf numFmtId="0" fontId="20" fillId="0" borderId="0" xfId="0" applyFont="1" applyProtection="1">
      <protection locked="0"/>
    </xf>
    <xf numFmtId="0" fontId="20" fillId="0" borderId="7" xfId="0" applyFont="1" applyBorder="1" applyProtection="1">
      <protection locked="0"/>
    </xf>
    <xf numFmtId="0" fontId="20" fillId="0" borderId="7" xfId="0" applyFont="1" applyBorder="1" applyAlignment="1" applyProtection="1">
      <alignment wrapText="1"/>
      <protection locked="0"/>
    </xf>
    <xf numFmtId="0" fontId="21" fillId="0" borderId="8" xfId="0" applyFont="1" applyBorder="1" applyAlignment="1" applyProtection="1">
      <alignment vertical="center"/>
      <protection locked="0"/>
    </xf>
    <xf numFmtId="0" fontId="21" fillId="0" borderId="2" xfId="0" applyFont="1" applyBorder="1" applyAlignment="1" applyProtection="1">
      <alignment vertical="center"/>
      <protection locked="0"/>
    </xf>
    <xf numFmtId="0" fontId="21" fillId="0" borderId="2" xfId="0" applyFont="1" applyBorder="1" applyAlignment="1" applyProtection="1">
      <alignment vertical="center" wrapText="1"/>
      <protection locked="0"/>
    </xf>
    <xf numFmtId="0" fontId="21" fillId="0" borderId="9" xfId="0" applyFont="1" applyBorder="1" applyAlignment="1" applyProtection="1">
      <alignment vertical="center"/>
      <protection locked="0"/>
    </xf>
    <xf numFmtId="0" fontId="21" fillId="0" borderId="10" xfId="0" applyFont="1" applyBorder="1" applyAlignment="1" applyProtection="1">
      <alignment vertical="center" wrapText="1"/>
      <protection locked="0"/>
    </xf>
    <xf numFmtId="0" fontId="20" fillId="0" borderId="11" xfId="0" applyFont="1" applyBorder="1" applyAlignment="1" applyProtection="1">
      <alignment wrapText="1"/>
      <protection locked="0"/>
    </xf>
    <xf numFmtId="0" fontId="20" fillId="0" borderId="2" xfId="0" applyFont="1" applyBorder="1" applyProtection="1">
      <protection locked="0"/>
    </xf>
    <xf numFmtId="0" fontId="20" fillId="0" borderId="2" xfId="0" applyFont="1" applyBorder="1" applyAlignment="1" applyProtection="1">
      <alignment wrapText="1"/>
      <protection locked="0"/>
    </xf>
    <xf numFmtId="14" fontId="9" fillId="0" borderId="2" xfId="0" applyNumberFormat="1" applyFont="1" applyBorder="1"/>
    <xf numFmtId="169" fontId="9" fillId="0" borderId="2" xfId="1" applyNumberFormat="1" applyFont="1" applyBorder="1"/>
    <xf numFmtId="3" fontId="9" fillId="0" borderId="2" xfId="0" applyNumberFormat="1" applyFont="1" applyBorder="1"/>
    <xf numFmtId="10" fontId="9" fillId="0" borderId="2" xfId="0" applyNumberFormat="1" applyFont="1" applyBorder="1"/>
    <xf numFmtId="0" fontId="9" fillId="0" borderId="2" xfId="0" applyFont="1" applyBorder="1" applyAlignment="1">
      <alignment horizontal="center" vertical="center"/>
    </xf>
    <xf numFmtId="0" fontId="5" fillId="0" borderId="2" xfId="0" applyFont="1" applyBorder="1" applyAlignment="1">
      <alignment horizontal="center" vertical="center" wrapText="1"/>
    </xf>
    <xf numFmtId="3" fontId="2" fillId="0" borderId="2" xfId="0" applyNumberFormat="1" applyFont="1" applyBorder="1" applyAlignment="1">
      <alignment horizontal="center" vertical="center" wrapText="1"/>
    </xf>
    <xf numFmtId="170" fontId="2" fillId="0" borderId="2" xfId="0" applyNumberFormat="1" applyFont="1" applyBorder="1" applyAlignment="1">
      <alignment horizontal="center" vertical="center" wrapText="1"/>
    </xf>
    <xf numFmtId="168" fontId="2" fillId="0" borderId="2" xfId="0" quotePrefix="1" applyNumberFormat="1" applyFont="1" applyBorder="1" applyAlignment="1">
      <alignment horizontal="center" vertical="center" wrapText="1"/>
    </xf>
    <xf numFmtId="0" fontId="2" fillId="0" borderId="2"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171" fontId="9" fillId="0" borderId="2" xfId="0" applyNumberFormat="1" applyFont="1" applyBorder="1"/>
    <xf numFmtId="171" fontId="6" fillId="0" borderId="2" xfId="0" applyNumberFormat="1" applyFont="1" applyBorder="1"/>
    <xf numFmtId="171" fontId="6" fillId="0" borderId="2" xfId="8" applyNumberFormat="1" applyFont="1" applyBorder="1" applyAlignment="1">
      <alignment horizontal="right"/>
    </xf>
    <xf numFmtId="171" fontId="6" fillId="0" borderId="2" xfId="8" applyNumberFormat="1" applyFont="1" applyBorder="1"/>
    <xf numFmtId="5" fontId="6" fillId="0" borderId="2" xfId="0" applyNumberFormat="1" applyFont="1" applyBorder="1"/>
    <xf numFmtId="2" fontId="6" fillId="0" borderId="2" xfId="0" applyNumberFormat="1" applyFont="1" applyBorder="1"/>
    <xf numFmtId="167" fontId="6" fillId="0" borderId="2" xfId="0" applyNumberFormat="1" applyFont="1" applyBorder="1"/>
    <xf numFmtId="167" fontId="9" fillId="0" borderId="2" xfId="0" applyNumberFormat="1" applyFont="1" applyBorder="1"/>
    <xf numFmtId="7" fontId="9" fillId="0" borderId="2" xfId="0" applyNumberFormat="1" applyFont="1" applyBorder="1"/>
    <xf numFmtId="3" fontId="10" fillId="3"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170" fontId="2" fillId="2" borderId="2" xfId="0" applyNumberFormat="1" applyFont="1" applyFill="1" applyBorder="1" applyAlignment="1">
      <alignment horizontal="center" vertical="center" wrapText="1"/>
    </xf>
    <xf numFmtId="168" fontId="2" fillId="2" borderId="2" xfId="0" quotePrefix="1"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2" borderId="2" xfId="0" applyFont="1" applyFill="1" applyBorder="1" applyAlignment="1" applyProtection="1">
      <alignment horizontal="center" vertical="center" wrapText="1"/>
      <protection locked="0"/>
    </xf>
    <xf numFmtId="14" fontId="9" fillId="0" borderId="2" xfId="0" applyNumberFormat="1" applyFont="1" applyBorder="1" applyAlignment="1">
      <alignment horizontal="right"/>
    </xf>
    <xf numFmtId="0" fontId="9" fillId="5" borderId="2" xfId="0" applyFont="1" applyFill="1" applyBorder="1"/>
    <xf numFmtId="3" fontId="9" fillId="5" borderId="2" xfId="0" applyNumberFormat="1" applyFont="1" applyFill="1" applyBorder="1"/>
    <xf numFmtId="172" fontId="9" fillId="5" borderId="2" xfId="0" applyNumberFormat="1" applyFont="1" applyFill="1" applyBorder="1"/>
    <xf numFmtId="172" fontId="6" fillId="5" borderId="2" xfId="0" applyNumberFormat="1" applyFont="1" applyFill="1" applyBorder="1"/>
    <xf numFmtId="171" fontId="8" fillId="2" borderId="2" xfId="0" applyNumberFormat="1" applyFont="1" applyFill="1" applyBorder="1"/>
    <xf numFmtId="171" fontId="6" fillId="2" borderId="2" xfId="0" applyNumberFormat="1" applyFont="1" applyFill="1" applyBorder="1"/>
    <xf numFmtId="171" fontId="6" fillId="2" borderId="2" xfId="8" applyNumberFormat="1" applyFont="1" applyFill="1" applyBorder="1" applyAlignment="1">
      <alignment horizontal="right"/>
    </xf>
    <xf numFmtId="171" fontId="6" fillId="2" borderId="2" xfId="8" applyNumberFormat="1" applyFont="1" applyFill="1" applyBorder="1"/>
    <xf numFmtId="5" fontId="6" fillId="2" borderId="2" xfId="0" applyNumberFormat="1" applyFont="1" applyFill="1" applyBorder="1"/>
    <xf numFmtId="2" fontId="6" fillId="2" borderId="2" xfId="0" applyNumberFormat="1" applyFont="1" applyFill="1" applyBorder="1"/>
    <xf numFmtId="167" fontId="6" fillId="2" borderId="2" xfId="0" applyNumberFormat="1" applyFont="1" applyFill="1" applyBorder="1"/>
    <xf numFmtId="0" fontId="11" fillId="0" borderId="2" xfId="0" applyFont="1" applyBorder="1" applyProtection="1">
      <protection locked="0"/>
    </xf>
    <xf numFmtId="0" fontId="11" fillId="0" borderId="2" xfId="0" applyFont="1" applyBorder="1" applyAlignment="1" applyProtection="1">
      <alignment horizontal="center"/>
      <protection locked="0"/>
    </xf>
    <xf numFmtId="0" fontId="11" fillId="0" borderId="0" xfId="0" applyFont="1" applyProtection="1">
      <protection locked="0"/>
    </xf>
    <xf numFmtId="44" fontId="9" fillId="0" borderId="2" xfId="0" applyNumberFormat="1" applyFont="1" applyBorder="1" applyAlignment="1" applyProtection="1">
      <alignment horizontal="left"/>
      <protection locked="0"/>
    </xf>
    <xf numFmtId="44" fontId="9" fillId="0" borderId="2" xfId="0" applyNumberFormat="1" applyFont="1" applyBorder="1" applyAlignment="1" applyProtection="1">
      <alignment horizontal="center"/>
      <protection locked="0"/>
    </xf>
    <xf numFmtId="0" fontId="9" fillId="0" borderId="0" xfId="0" applyFont="1" applyProtection="1">
      <protection locked="0"/>
    </xf>
    <xf numFmtId="0" fontId="11" fillId="0" borderId="2" xfId="0" applyFont="1" applyBorder="1" applyAlignment="1" applyProtection="1">
      <alignment horizontal="left"/>
      <protection locked="0"/>
    </xf>
    <xf numFmtId="44" fontId="11" fillId="0" borderId="2" xfId="0" applyNumberFormat="1" applyFont="1" applyBorder="1" applyAlignment="1" applyProtection="1">
      <alignment horizontal="center" wrapText="1"/>
      <protection locked="0"/>
    </xf>
    <xf numFmtId="0" fontId="9" fillId="0" borderId="2" xfId="0" applyFont="1" applyBorder="1" applyProtection="1">
      <protection locked="0"/>
    </xf>
    <xf numFmtId="0" fontId="9" fillId="0" borderId="2" xfId="0" applyFont="1" applyBorder="1" applyAlignment="1" applyProtection="1">
      <alignment horizontal="center"/>
      <protection locked="0"/>
    </xf>
    <xf numFmtId="44" fontId="9" fillId="0" borderId="2" xfId="0" applyNumberFormat="1" applyFont="1" applyBorder="1" applyProtection="1">
      <protection locked="0"/>
    </xf>
    <xf numFmtId="0" fontId="6" fillId="3" borderId="2" xfId="0" applyFont="1" applyFill="1" applyBorder="1" applyProtection="1">
      <protection locked="0"/>
    </xf>
    <xf numFmtId="1" fontId="6" fillId="3" borderId="2" xfId="0" applyNumberFormat="1" applyFont="1" applyFill="1" applyBorder="1" applyAlignment="1" applyProtection="1">
      <alignment horizontal="center"/>
      <protection locked="0"/>
    </xf>
    <xf numFmtId="1" fontId="6" fillId="0" borderId="2" xfId="0" applyNumberFormat="1" applyFont="1" applyBorder="1" applyAlignment="1" applyProtection="1">
      <alignment horizontal="center"/>
      <protection locked="0"/>
    </xf>
    <xf numFmtId="0" fontId="9" fillId="3" borderId="2" xfId="0" applyFont="1" applyFill="1" applyBorder="1" applyProtection="1">
      <protection locked="0"/>
    </xf>
    <xf numFmtId="1" fontId="9" fillId="3" borderId="2" xfId="0" applyNumberFormat="1" applyFont="1" applyFill="1" applyBorder="1" applyAlignment="1" applyProtection="1">
      <alignment horizontal="center"/>
      <protection locked="0"/>
    </xf>
    <xf numFmtId="0" fontId="6" fillId="0" borderId="2" xfId="0" applyFont="1" applyBorder="1" applyAlignment="1" applyProtection="1">
      <alignment horizontal="center"/>
      <protection locked="0"/>
    </xf>
    <xf numFmtId="44" fontId="6" fillId="0" borderId="2" xfId="0" applyNumberFormat="1" applyFont="1" applyBorder="1" applyAlignment="1" applyProtection="1">
      <alignment horizontal="center"/>
      <protection locked="0"/>
    </xf>
    <xf numFmtId="0" fontId="11" fillId="0" borderId="0" xfId="0" applyFont="1"/>
    <xf numFmtId="44" fontId="9" fillId="0" borderId="0" xfId="0" applyNumberFormat="1" applyFont="1"/>
    <xf numFmtId="44" fontId="11" fillId="0" borderId="0" xfId="0" applyNumberFormat="1" applyFont="1"/>
    <xf numFmtId="7" fontId="11" fillId="0" borderId="0" xfId="0" applyNumberFormat="1" applyFont="1"/>
    <xf numFmtId="0" fontId="9" fillId="0" borderId="0" xfId="0" applyFont="1" applyAlignment="1">
      <alignment horizontal="center"/>
    </xf>
    <xf numFmtId="0" fontId="24" fillId="0" borderId="0" xfId="0" applyFont="1"/>
    <xf numFmtId="0" fontId="24" fillId="0" borderId="0" xfId="0" applyFont="1" applyProtection="1">
      <protection locked="0"/>
    </xf>
    <xf numFmtId="0" fontId="11" fillId="0" borderId="2" xfId="0" applyFont="1" applyBorder="1" applyAlignment="1" applyProtection="1">
      <alignment horizontal="center" vertical="center" wrapText="1"/>
      <protection locked="0"/>
    </xf>
    <xf numFmtId="44" fontId="2" fillId="0" borderId="2" xfId="0" applyNumberFormat="1" applyFont="1" applyBorder="1" applyAlignment="1" applyProtection="1">
      <alignment horizontal="center" vertical="center" wrapText="1"/>
      <protection locked="0"/>
    </xf>
    <xf numFmtId="3" fontId="6" fillId="3" borderId="2" xfId="0" applyNumberFormat="1" applyFont="1" applyFill="1" applyBorder="1" applyProtection="1">
      <protection locked="0"/>
    </xf>
    <xf numFmtId="3" fontId="6" fillId="3" borderId="2" xfId="0" applyNumberFormat="1" applyFont="1" applyFill="1" applyBorder="1" applyAlignment="1" applyProtection="1">
      <alignment horizontal="center"/>
      <protection locked="0"/>
    </xf>
    <xf numFmtId="176" fontId="6" fillId="3" borderId="2" xfId="0" applyNumberFormat="1" applyFont="1" applyFill="1" applyBorder="1" applyProtection="1">
      <protection locked="0"/>
    </xf>
    <xf numFmtId="168" fontId="6" fillId="0" borderId="2" xfId="5" applyNumberFormat="1" applyFont="1" applyFill="1" applyBorder="1" applyAlignment="1" applyProtection="1">
      <alignment horizontal="center"/>
      <protection locked="0"/>
    </xf>
    <xf numFmtId="167" fontId="6" fillId="0" borderId="2" xfId="0" applyNumberFormat="1" applyFont="1" applyBorder="1" applyAlignment="1" applyProtection="1">
      <alignment horizontal="center"/>
      <protection locked="0"/>
    </xf>
    <xf numFmtId="44" fontId="9" fillId="0" borderId="2" xfId="2" applyFont="1" applyBorder="1" applyProtection="1">
      <protection locked="0"/>
    </xf>
    <xf numFmtId="3" fontId="9" fillId="3" borderId="2" xfId="0" applyNumberFormat="1" applyFont="1" applyFill="1" applyBorder="1" applyProtection="1">
      <protection locked="0"/>
    </xf>
    <xf numFmtId="3" fontId="9" fillId="3" borderId="2" xfId="0" applyNumberFormat="1" applyFont="1" applyFill="1" applyBorder="1" applyAlignment="1" applyProtection="1">
      <alignment horizontal="center"/>
      <protection locked="0"/>
    </xf>
    <xf numFmtId="0" fontId="21" fillId="0" borderId="0" xfId="0" applyFont="1" applyAlignment="1">
      <alignment wrapText="1"/>
    </xf>
    <xf numFmtId="0" fontId="21" fillId="0" borderId="0" xfId="0" applyFont="1" applyAlignment="1">
      <alignment vertical="center" wrapText="1"/>
    </xf>
    <xf numFmtId="0" fontId="21" fillId="0" borderId="2" xfId="0" applyFont="1" applyBorder="1" applyAlignment="1" applyProtection="1">
      <alignment horizontal="left"/>
      <protection locked="0"/>
    </xf>
    <xf numFmtId="0" fontId="21" fillId="0" borderId="2" xfId="0" applyFont="1" applyBorder="1" applyAlignment="1" applyProtection="1">
      <alignment horizontal="left" vertical="center" wrapText="1"/>
      <protection locked="0"/>
    </xf>
    <xf numFmtId="0" fontId="21" fillId="0" borderId="0" xfId="0" applyFont="1" applyAlignment="1" applyProtection="1">
      <alignment horizontal="left"/>
      <protection locked="0"/>
    </xf>
    <xf numFmtId="0" fontId="21" fillId="0" borderId="2" xfId="0" applyFont="1" applyBorder="1" applyAlignment="1" applyProtection="1">
      <alignment wrapText="1"/>
      <protection locked="0"/>
    </xf>
    <xf numFmtId="0" fontId="21" fillId="0" borderId="2" xfId="0" applyFont="1" applyBorder="1" applyProtection="1">
      <protection locked="0"/>
    </xf>
    <xf numFmtId="44" fontId="11" fillId="0" borderId="2" xfId="0" applyNumberFormat="1" applyFont="1" applyBorder="1" applyProtection="1">
      <protection locked="0"/>
    </xf>
    <xf numFmtId="44" fontId="11" fillId="0" borderId="2" xfId="3" applyNumberFormat="1" applyFont="1" applyBorder="1" applyProtection="1">
      <protection locked="0"/>
    </xf>
    <xf numFmtId="44" fontId="11" fillId="0" borderId="2" xfId="2" applyFont="1" applyBorder="1" applyProtection="1">
      <protection locked="0"/>
    </xf>
    <xf numFmtId="14" fontId="2" fillId="3" borderId="2" xfId="0" applyNumberFormat="1" applyFont="1" applyFill="1" applyBorder="1" applyAlignment="1" applyProtection="1">
      <alignment horizontal="center" vertical="center" wrapText="1"/>
      <protection locked="0"/>
    </xf>
    <xf numFmtId="14" fontId="2" fillId="3" borderId="2" xfId="0" applyNumberFormat="1" applyFont="1" applyFill="1" applyBorder="1" applyAlignment="1" applyProtection="1">
      <alignment horizontal="center" vertical="center"/>
      <protection locked="0"/>
    </xf>
    <xf numFmtId="0" fontId="2" fillId="3" borderId="2" xfId="9" applyFont="1" applyFill="1" applyBorder="1" applyAlignment="1" applyProtection="1">
      <alignment horizontal="center" vertical="center"/>
      <protection locked="0"/>
    </xf>
    <xf numFmtId="44" fontId="2" fillId="3" borderId="2" xfId="10" applyFont="1" applyFill="1" applyBorder="1" applyAlignment="1" applyProtection="1">
      <alignment horizontal="center" vertical="center"/>
      <protection locked="0"/>
    </xf>
    <xf numFmtId="44" fontId="6" fillId="3" borderId="2" xfId="10" applyFont="1" applyFill="1" applyBorder="1" applyAlignment="1" applyProtection="1">
      <alignment horizontal="center" vertical="center"/>
      <protection locked="0"/>
    </xf>
    <xf numFmtId="44" fontId="2" fillId="3" borderId="2" xfId="11" applyNumberFormat="1"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protection locked="0"/>
    </xf>
    <xf numFmtId="44" fontId="2" fillId="3" borderId="2" xfId="0" applyNumberFormat="1"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3" fontId="11" fillId="3" borderId="2" xfId="0" applyNumberFormat="1" applyFont="1" applyFill="1" applyBorder="1" applyAlignment="1" applyProtection="1">
      <alignment horizontal="center" vertical="center"/>
      <protection locked="0"/>
    </xf>
    <xf numFmtId="0" fontId="2" fillId="3" borderId="2" xfId="9" applyFont="1" applyFill="1" applyBorder="1" applyAlignment="1" applyProtection="1">
      <alignment horizontal="center" vertical="center" wrapText="1"/>
      <protection locked="0"/>
    </xf>
    <xf numFmtId="169" fontId="2" fillId="3" borderId="2" xfId="1" applyNumberFormat="1" applyFont="1" applyFill="1" applyBorder="1" applyAlignment="1" applyProtection="1">
      <alignment horizontal="center" vertical="center" wrapText="1"/>
      <protection locked="0"/>
    </xf>
    <xf numFmtId="44" fontId="2" fillId="3" borderId="2" xfId="9" applyNumberFormat="1" applyFont="1" applyFill="1" applyBorder="1" applyAlignment="1" applyProtection="1">
      <alignment horizontal="center" vertical="center" wrapText="1"/>
      <protection locked="0"/>
    </xf>
    <xf numFmtId="0" fontId="15" fillId="3" borderId="2" xfId="0" applyFont="1" applyFill="1" applyBorder="1" applyAlignment="1" applyProtection="1">
      <alignment horizontal="center" vertical="center" wrapText="1"/>
      <protection locked="0"/>
    </xf>
    <xf numFmtId="44" fontId="15" fillId="3" borderId="2" xfId="2" applyFont="1" applyFill="1" applyBorder="1" applyAlignment="1" applyProtection="1">
      <alignment horizontal="center" vertical="center" wrapText="1"/>
      <protection locked="0"/>
    </xf>
    <xf numFmtId="44" fontId="2" fillId="3" borderId="2" xfId="10" applyFont="1" applyFill="1" applyBorder="1" applyAlignment="1" applyProtection="1">
      <alignment horizontal="center" vertical="center" wrapText="1"/>
      <protection locked="0"/>
    </xf>
    <xf numFmtId="10" fontId="2" fillId="3" borderId="2" xfId="0" applyNumberFormat="1"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wrapText="1"/>
      <protection locked="0"/>
    </xf>
    <xf numFmtId="3" fontId="2" fillId="3" borderId="2" xfId="0" applyNumberFormat="1" applyFont="1" applyFill="1" applyBorder="1" applyAlignment="1" applyProtection="1">
      <alignment horizontal="center" vertical="center"/>
      <protection locked="0"/>
    </xf>
    <xf numFmtId="44" fontId="23" fillId="3" borderId="2" xfId="10" applyFont="1" applyFill="1" applyBorder="1" applyAlignment="1" applyProtection="1">
      <alignment horizontal="center" vertical="center" wrapText="1"/>
      <protection locked="0"/>
    </xf>
    <xf numFmtId="14" fontId="9" fillId="0" borderId="2" xfId="0" applyNumberFormat="1" applyFont="1" applyBorder="1" applyProtection="1">
      <protection locked="0"/>
    </xf>
    <xf numFmtId="169" fontId="9" fillId="0" borderId="2" xfId="1" applyNumberFormat="1" applyFont="1" applyBorder="1" applyProtection="1">
      <protection locked="0"/>
    </xf>
    <xf numFmtId="3" fontId="9" fillId="0" borderId="2" xfId="0" applyNumberFormat="1" applyFont="1" applyBorder="1" applyProtection="1">
      <protection locked="0"/>
    </xf>
    <xf numFmtId="175" fontId="9" fillId="0" borderId="2" xfId="0" applyNumberFormat="1" applyFont="1" applyBorder="1" applyProtection="1">
      <protection locked="0"/>
    </xf>
    <xf numFmtId="10" fontId="9" fillId="0" borderId="2" xfId="0" applyNumberFormat="1" applyFont="1" applyBorder="1" applyProtection="1">
      <protection locked="0"/>
    </xf>
    <xf numFmtId="44" fontId="11" fillId="0" borderId="2" xfId="0" applyNumberFormat="1" applyFont="1" applyBorder="1"/>
    <xf numFmtId="0" fontId="2" fillId="3" borderId="2" xfId="9" applyFont="1" applyFill="1" applyBorder="1" applyAlignment="1">
      <alignment horizontal="center" vertical="center"/>
    </xf>
    <xf numFmtId="169" fontId="2" fillId="3" borderId="2" xfId="1" applyNumberFormat="1" applyFont="1" applyFill="1" applyBorder="1" applyAlignment="1" applyProtection="1">
      <alignment horizontal="center" vertical="center"/>
    </xf>
    <xf numFmtId="169" fontId="9" fillId="0" borderId="0" xfId="1" applyNumberFormat="1" applyFont="1" applyProtection="1"/>
    <xf numFmtId="0" fontId="6" fillId="3" borderId="0" xfId="0" applyFont="1" applyFill="1" applyAlignment="1">
      <alignment horizontal="center" vertical="center"/>
    </xf>
    <xf numFmtId="0" fontId="9" fillId="3" borderId="0" xfId="0" applyFont="1" applyFill="1"/>
    <xf numFmtId="169" fontId="9" fillId="0" borderId="0" xfId="0" applyNumberFormat="1" applyFont="1"/>
    <xf numFmtId="0" fontId="11" fillId="3" borderId="2" xfId="0" applyFont="1" applyFill="1" applyBorder="1" applyAlignment="1" applyProtection="1">
      <alignment horizontal="center" vertical="center" wrapText="1"/>
      <protection locked="0"/>
    </xf>
    <xf numFmtId="3" fontId="2" fillId="3" borderId="2" xfId="0" applyNumberFormat="1" applyFont="1" applyFill="1" applyBorder="1" applyAlignment="1" applyProtection="1">
      <alignment horizontal="center" vertical="center" wrapText="1"/>
      <protection locked="0"/>
    </xf>
    <xf numFmtId="0" fontId="9" fillId="3" borderId="2" xfId="0" applyFont="1" applyFill="1" applyBorder="1" applyAlignment="1" applyProtection="1">
      <alignment horizontal="center"/>
      <protection locked="0"/>
    </xf>
    <xf numFmtId="14" fontId="9" fillId="3" borderId="2" xfId="0" applyNumberFormat="1" applyFont="1" applyFill="1" applyBorder="1" applyProtection="1">
      <protection locked="0"/>
    </xf>
    <xf numFmtId="169" fontId="9" fillId="3" borderId="2" xfId="1" applyNumberFormat="1" applyFont="1" applyFill="1" applyBorder="1" applyProtection="1">
      <protection locked="0"/>
    </xf>
    <xf numFmtId="171" fontId="9" fillId="3" borderId="2" xfId="0" applyNumberFormat="1" applyFont="1" applyFill="1" applyBorder="1" applyProtection="1">
      <protection locked="0"/>
    </xf>
    <xf numFmtId="0" fontId="9" fillId="3" borderId="2" xfId="0" applyFont="1" applyFill="1" applyBorder="1" applyAlignment="1" applyProtection="1">
      <alignment horizontal="center" vertical="center"/>
      <protection locked="0"/>
    </xf>
    <xf numFmtId="174" fontId="9" fillId="3" borderId="2" xfId="0" applyNumberFormat="1" applyFont="1" applyFill="1" applyBorder="1" applyAlignment="1" applyProtection="1">
      <alignment horizontal="right"/>
      <protection locked="0"/>
    </xf>
    <xf numFmtId="44" fontId="9" fillId="3" borderId="2" xfId="0" applyNumberFormat="1" applyFont="1" applyFill="1" applyBorder="1" applyProtection="1">
      <protection locked="0"/>
    </xf>
    <xf numFmtId="1" fontId="6" fillId="3" borderId="2" xfId="0" applyNumberFormat="1" applyFont="1" applyFill="1" applyBorder="1" applyProtection="1">
      <protection locked="0"/>
    </xf>
    <xf numFmtId="3" fontId="6" fillId="3" borderId="2" xfId="0" applyNumberFormat="1" applyFont="1" applyFill="1" applyBorder="1" applyAlignment="1" applyProtection="1">
      <alignment horizontal="right"/>
      <protection locked="0"/>
    </xf>
    <xf numFmtId="1" fontId="9" fillId="3" borderId="2" xfId="0" applyNumberFormat="1" applyFont="1" applyFill="1" applyBorder="1" applyProtection="1">
      <protection locked="0"/>
    </xf>
    <xf numFmtId="0" fontId="9" fillId="3" borderId="0" xfId="0" applyFont="1" applyFill="1" applyAlignment="1">
      <alignment horizontal="center"/>
    </xf>
    <xf numFmtId="0" fontId="11" fillId="3" borderId="0" xfId="0" applyFont="1" applyFill="1" applyAlignment="1">
      <alignment horizontal="center" vertical="center" wrapText="1"/>
    </xf>
    <xf numFmtId="169" fontId="9" fillId="3" borderId="0" xfId="0" applyNumberFormat="1" applyFont="1" applyFill="1"/>
    <xf numFmtId="0" fontId="11" fillId="3" borderId="0" xfId="0" applyFont="1" applyFill="1"/>
    <xf numFmtId="0" fontId="11" fillId="0" borderId="0" xfId="0" applyFont="1" applyAlignment="1" applyProtection="1">
      <alignment horizontal="left" vertical="center"/>
      <protection locked="0"/>
    </xf>
    <xf numFmtId="0" fontId="11" fillId="0" borderId="5"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164" fontId="6" fillId="0" borderId="2" xfId="0" applyNumberFormat="1" applyFont="1" applyBorder="1" applyProtection="1">
      <protection locked="0"/>
    </xf>
    <xf numFmtId="165" fontId="6" fillId="0" borderId="2" xfId="0" applyNumberFormat="1" applyFont="1" applyBorder="1" applyProtection="1">
      <protection locked="0"/>
    </xf>
    <xf numFmtId="165" fontId="17" fillId="0" borderId="2" xfId="0" applyNumberFormat="1" applyFont="1" applyBorder="1" applyProtection="1">
      <protection locked="0"/>
    </xf>
    <xf numFmtId="164" fontId="6" fillId="0" borderId="2" xfId="0" applyNumberFormat="1" applyFont="1" applyBorder="1"/>
    <xf numFmtId="165" fontId="6" fillId="0" borderId="2" xfId="0" applyNumberFormat="1" applyFont="1" applyBorder="1"/>
    <xf numFmtId="165" fontId="6" fillId="0" borderId="6" xfId="1" applyNumberFormat="1" applyFont="1" applyFill="1" applyBorder="1" applyProtection="1"/>
    <xf numFmtId="165" fontId="18" fillId="0" borderId="4" xfId="0" applyNumberFormat="1" applyFont="1" applyBorder="1"/>
    <xf numFmtId="164" fontId="6" fillId="0" borderId="0" xfId="0" applyNumberFormat="1" applyFont="1"/>
    <xf numFmtId="165" fontId="6" fillId="0" borderId="0" xfId="0" applyNumberFormat="1" applyFont="1"/>
    <xf numFmtId="165" fontId="6" fillId="0" borderId="0" xfId="1" applyNumberFormat="1" applyFont="1" applyFill="1" applyBorder="1" applyProtection="1"/>
    <xf numFmtId="166" fontId="6" fillId="0" borderId="0" xfId="0" applyNumberFormat="1" applyFont="1"/>
    <xf numFmtId="44" fontId="0" fillId="0" borderId="0" xfId="2" applyFont="1" applyProtection="1">
      <protection locked="0"/>
    </xf>
    <xf numFmtId="0" fontId="3" fillId="0" borderId="0" xfId="0" applyFont="1" applyProtection="1">
      <protection locked="0"/>
    </xf>
    <xf numFmtId="173" fontId="9" fillId="0" borderId="0" xfId="0" applyNumberFormat="1" applyFont="1" applyProtection="1">
      <protection locked="0"/>
    </xf>
    <xf numFmtId="10" fontId="9" fillId="0" borderId="0" xfId="0" applyNumberFormat="1" applyFont="1" applyProtection="1">
      <protection locked="0"/>
    </xf>
    <xf numFmtId="0" fontId="11" fillId="0" borderId="1" xfId="0" applyFont="1" applyBorder="1" applyAlignment="1" applyProtection="1">
      <alignment horizontal="center" vertical="center" wrapText="1"/>
      <protection locked="0"/>
    </xf>
    <xf numFmtId="167" fontId="9" fillId="0" borderId="1" xfId="0" applyNumberFormat="1" applyFont="1" applyBorder="1" applyProtection="1">
      <protection locked="0"/>
    </xf>
    <xf numFmtId="167" fontId="6" fillId="0" borderId="1" xfId="2" applyNumberFormat="1" applyFont="1" applyFill="1" applyBorder="1" applyProtection="1">
      <protection locked="0"/>
    </xf>
    <xf numFmtId="167" fontId="9" fillId="0" borderId="1" xfId="2" applyNumberFormat="1" applyFont="1" applyFill="1" applyBorder="1" applyProtection="1">
      <protection locked="0"/>
    </xf>
    <xf numFmtId="0" fontId="22" fillId="3" borderId="2" xfId="0" applyFont="1" applyFill="1" applyBorder="1" applyAlignment="1" applyProtection="1">
      <alignment horizontal="center"/>
      <protection locked="0"/>
    </xf>
    <xf numFmtId="0" fontId="17" fillId="0" borderId="2" xfId="0" applyFont="1" applyBorder="1" applyAlignment="1" applyProtection="1">
      <alignment horizontal="center"/>
      <protection locked="0"/>
    </xf>
    <xf numFmtId="0" fontId="17" fillId="0" borderId="2" xfId="0" applyFont="1" applyBorder="1" applyProtection="1">
      <protection locked="0"/>
    </xf>
    <xf numFmtId="1" fontId="17" fillId="0" borderId="2" xfId="0" applyNumberFormat="1" applyFont="1" applyBorder="1" applyAlignment="1" applyProtection="1">
      <alignment horizontal="left"/>
      <protection locked="0"/>
    </xf>
    <xf numFmtId="44" fontId="17" fillId="0" borderId="2" xfId="0" applyNumberFormat="1" applyFont="1" applyBorder="1" applyProtection="1">
      <protection locked="0"/>
    </xf>
    <xf numFmtId="1" fontId="17" fillId="3" borderId="2" xfId="0" applyNumberFormat="1" applyFont="1" applyFill="1" applyBorder="1" applyAlignment="1" applyProtection="1">
      <alignment horizontal="left"/>
      <protection locked="0"/>
    </xf>
    <xf numFmtId="0" fontId="17" fillId="0" borderId="0" xfId="0" applyFont="1"/>
    <xf numFmtId="7" fontId="11" fillId="0" borderId="0" xfId="0" applyNumberFormat="1" applyFont="1" applyAlignment="1" applyProtection="1">
      <alignment horizontal="center"/>
      <protection locked="0"/>
    </xf>
    <xf numFmtId="0" fontId="21" fillId="0" borderId="0" xfId="0" applyFont="1" applyAlignment="1" applyProtection="1">
      <alignment horizontal="left" vertical="center" wrapText="1"/>
      <protection locked="0"/>
    </xf>
    <xf numFmtId="14" fontId="2" fillId="3" borderId="2" xfId="9" applyNumberFormat="1" applyFont="1" applyFill="1" applyBorder="1" applyAlignment="1">
      <alignment horizontal="center" vertical="center" wrapText="1"/>
    </xf>
    <xf numFmtId="44" fontId="2" fillId="3" borderId="2" xfId="1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9" fillId="0" borderId="2" xfId="0" applyFont="1" applyBorder="1" applyProtection="1"/>
    <xf numFmtId="44" fontId="9" fillId="0" borderId="2" xfId="2" applyFont="1" applyBorder="1" applyProtection="1"/>
    <xf numFmtId="0" fontId="9" fillId="0" borderId="2" xfId="0" applyFont="1" applyBorder="1" applyAlignment="1" applyProtection="1">
      <alignment horizontal="center"/>
    </xf>
    <xf numFmtId="1" fontId="6" fillId="3" borderId="2" xfId="0" applyNumberFormat="1" applyFont="1" applyFill="1" applyBorder="1" applyAlignment="1" applyProtection="1">
      <alignment horizontal="center"/>
    </xf>
  </cellXfs>
  <cellStyles count="12">
    <cellStyle name="Comma" xfId="1" builtinId="3"/>
    <cellStyle name="Comma 2" xfId="6" xr:uid="{CF6010DB-7713-4CBD-918F-224B5574F86D}"/>
    <cellStyle name="Currency" xfId="2" builtinId="4"/>
    <cellStyle name="Currency 2" xfId="5" xr:uid="{FA57FF74-3374-4BA4-9256-B11F90C4E295}"/>
    <cellStyle name="Currency 3" xfId="10" xr:uid="{F06BBC7C-420C-42F8-BD02-2848840D2D7E}"/>
    <cellStyle name="KenBorder" xfId="11" xr:uid="{6529530C-EF80-4AD2-8BA9-DD047D1DC325}"/>
    <cellStyle name="Normal" xfId="0" builtinId="0"/>
    <cellStyle name="Normal 2" xfId="4" xr:uid="{290AB0E3-5816-4B83-BA9B-FE596A68BDE4}"/>
    <cellStyle name="Normal 6" xfId="9" xr:uid="{ED60C067-5C86-4084-A74F-776D80DE364C}"/>
    <cellStyle name="Normal_Sheet1" xfId="8" xr:uid="{493C6199-C6C1-4840-818E-44880C882551}"/>
    <cellStyle name="Percent" xfId="3" builtinId="5"/>
    <cellStyle name="Percent 2" xfId="7" xr:uid="{C6E58215-0ED9-479A-82D1-6575E869E6DA}"/>
  </cellStyles>
  <dxfs count="0"/>
  <tableStyles count="0" defaultTableStyle="TableStyleMedium2" defaultPivotStyle="PivotStyleLight16"/>
  <colors>
    <mruColors>
      <color rgb="FF961DB3"/>
      <color rgb="FFAD20B0"/>
      <color rgb="FF952DA3"/>
      <color rgb="FFA62A9A"/>
      <color rgb="FF9A2AA6"/>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Voleti, Aditya@DHCS" id="{6D2142F3-C082-49DE-8A6B-F3DF97BCFB0A}" userId="S::aditya.voleti@dhcs.ca.gov::d7605428-d212-4864-8a0d-544eb3492cc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Z8" dT="2025-09-05T16:11:34.55" personId="{6D2142F3-C082-49DE-8A6B-F3DF97BCFB0A}" id="{9CFAED17-7578-437E-9855-E2C3B5719ED3}" done="1">
    <text xml:space="preserve">I fixed this column. Please fix the formulas in the other columns so that they flow as the rate study should with this column updated.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932DA-3547-4717-8115-5AEFF781CD56}">
  <sheetPr codeName="Sheet1"/>
  <dimension ref="A1:F83"/>
  <sheetViews>
    <sheetView tabSelected="1" zoomScale="80" zoomScaleNormal="80" workbookViewId="0"/>
  </sheetViews>
  <sheetFormatPr defaultColWidth="0" defaultRowHeight="16" zeroHeight="1" x14ac:dyDescent="0.45"/>
  <cols>
    <col min="1" max="1" width="48.26953125" style="2" customWidth="1"/>
    <col min="2" max="2" width="21.1796875" style="82" bestFit="1" customWidth="1"/>
    <col min="3" max="3" width="20.54296875" style="79" customWidth="1"/>
    <col min="4" max="4" width="20.81640625" style="2" customWidth="1"/>
    <col min="5" max="5" width="21.1796875" style="2" customWidth="1"/>
    <col min="6" max="6" width="12.26953125" style="2" hidden="1" customWidth="1"/>
    <col min="7" max="16384" width="8.7265625" style="2" hidden="1"/>
  </cols>
  <sheetData>
    <row r="1" spans="1:6" x14ac:dyDescent="0.45">
      <c r="A1" s="84" t="s">
        <v>453</v>
      </c>
    </row>
    <row r="2" spans="1:6" s="78" customFormat="1" x14ac:dyDescent="0.45">
      <c r="A2" s="60" t="s">
        <v>0</v>
      </c>
      <c r="B2" s="61" t="s">
        <v>1</v>
      </c>
    </row>
    <row r="3" spans="1:6" x14ac:dyDescent="0.45">
      <c r="A3" s="63">
        <v>771.22</v>
      </c>
      <c r="B3" s="64">
        <v>771.22</v>
      </c>
      <c r="C3" s="78"/>
    </row>
    <row r="4" spans="1:6" s="78" customFormat="1" ht="25.5" customHeight="1" x14ac:dyDescent="0.45">
      <c r="A4" s="182" t="s">
        <v>2</v>
      </c>
      <c r="B4" s="182"/>
      <c r="C4" s="80"/>
      <c r="D4" s="81"/>
    </row>
    <row r="5" spans="1:6" s="78" customFormat="1" ht="35.25" customHeight="1" x14ac:dyDescent="0.45">
      <c r="A5" s="66" t="s">
        <v>3</v>
      </c>
      <c r="B5" s="61" t="s">
        <v>4</v>
      </c>
      <c r="C5" s="67" t="s">
        <v>5</v>
      </c>
      <c r="D5" s="67" t="s">
        <v>6</v>
      </c>
      <c r="E5" s="67" t="s">
        <v>7</v>
      </c>
    </row>
    <row r="6" spans="1:6" x14ac:dyDescent="0.45">
      <c r="A6" s="68" t="s">
        <v>8</v>
      </c>
      <c r="B6" s="69">
        <v>1235261652</v>
      </c>
      <c r="C6" s="70">
        <v>771.22</v>
      </c>
      <c r="D6" s="70">
        <v>761.45</v>
      </c>
      <c r="E6" s="70">
        <v>761.45</v>
      </c>
      <c r="F6" s="79"/>
    </row>
    <row r="7" spans="1:6" x14ac:dyDescent="0.45">
      <c r="A7" s="68" t="s">
        <v>9</v>
      </c>
      <c r="B7" s="69">
        <v>1396176160</v>
      </c>
      <c r="C7" s="70">
        <v>643.57539537493437</v>
      </c>
      <c r="D7" s="70">
        <v>633.80539537493439</v>
      </c>
      <c r="E7" s="70">
        <v>633.80539537493439</v>
      </c>
      <c r="F7" s="79"/>
    </row>
    <row r="8" spans="1:6" x14ac:dyDescent="0.45">
      <c r="A8" s="68" t="s">
        <v>10</v>
      </c>
      <c r="B8" s="69">
        <v>1891759502</v>
      </c>
      <c r="C8" s="70">
        <v>771.22</v>
      </c>
      <c r="D8" s="70">
        <v>761.45</v>
      </c>
      <c r="E8" s="70">
        <v>761.45</v>
      </c>
      <c r="F8" s="79"/>
    </row>
    <row r="9" spans="1:6" x14ac:dyDescent="0.45">
      <c r="A9" s="68" t="s">
        <v>11</v>
      </c>
      <c r="B9" s="69">
        <v>1073553756</v>
      </c>
      <c r="C9" s="70">
        <v>771.22</v>
      </c>
      <c r="D9" s="70">
        <v>761.45</v>
      </c>
      <c r="E9" s="70">
        <v>761.45</v>
      </c>
      <c r="F9" s="79"/>
    </row>
    <row r="10" spans="1:6" x14ac:dyDescent="0.45">
      <c r="A10" s="68" t="s">
        <v>12</v>
      </c>
      <c r="B10" s="69">
        <v>1467560599</v>
      </c>
      <c r="C10" s="70">
        <v>771.22</v>
      </c>
      <c r="D10" s="70">
        <v>761.45</v>
      </c>
      <c r="E10" s="70">
        <v>761.45</v>
      </c>
      <c r="F10" s="79"/>
    </row>
    <row r="11" spans="1:6" x14ac:dyDescent="0.45">
      <c r="A11" s="68" t="s">
        <v>13</v>
      </c>
      <c r="B11" s="69">
        <v>1215095419</v>
      </c>
      <c r="C11" s="70">
        <v>771.22</v>
      </c>
      <c r="D11" s="70">
        <v>761.45</v>
      </c>
      <c r="E11" s="70">
        <v>761.45</v>
      </c>
      <c r="F11" s="79"/>
    </row>
    <row r="12" spans="1:6" x14ac:dyDescent="0.45">
      <c r="A12" s="68" t="s">
        <v>14</v>
      </c>
      <c r="B12" s="69">
        <v>1346250347</v>
      </c>
      <c r="C12" s="70">
        <v>704.86</v>
      </c>
      <c r="D12" s="70">
        <v>695.09</v>
      </c>
      <c r="E12" s="70">
        <v>695.09</v>
      </c>
      <c r="F12" s="79"/>
    </row>
    <row r="13" spans="1:6" x14ac:dyDescent="0.45">
      <c r="A13" s="68" t="s">
        <v>15</v>
      </c>
      <c r="B13" s="69">
        <v>1477672665</v>
      </c>
      <c r="C13" s="70">
        <v>771.22</v>
      </c>
      <c r="D13" s="70">
        <v>761.45</v>
      </c>
      <c r="E13" s="70">
        <v>761.45</v>
      </c>
      <c r="F13" s="79"/>
    </row>
    <row r="14" spans="1:6" x14ac:dyDescent="0.45">
      <c r="A14" s="68" t="s">
        <v>16</v>
      </c>
      <c r="B14" s="69">
        <v>1801452941</v>
      </c>
      <c r="C14" s="70">
        <v>557.88441387764328</v>
      </c>
      <c r="D14" s="70">
        <v>548.1144138776433</v>
      </c>
      <c r="E14" s="70">
        <v>548.1144138776433</v>
      </c>
      <c r="F14" s="79"/>
    </row>
    <row r="15" spans="1:6" x14ac:dyDescent="0.45">
      <c r="A15" s="68" t="s">
        <v>17</v>
      </c>
      <c r="B15" s="69">
        <v>1215476734</v>
      </c>
      <c r="C15" s="70">
        <v>636.04</v>
      </c>
      <c r="D15" s="70">
        <v>626.27</v>
      </c>
      <c r="E15" s="70">
        <v>626.27</v>
      </c>
      <c r="F15" s="79"/>
    </row>
    <row r="16" spans="1:6" x14ac:dyDescent="0.45">
      <c r="A16" s="68" t="s">
        <v>18</v>
      </c>
      <c r="B16" s="69">
        <v>1235290818</v>
      </c>
      <c r="C16" s="70">
        <v>771.22</v>
      </c>
      <c r="D16" s="70">
        <v>761.45</v>
      </c>
      <c r="E16" s="70">
        <v>761.45</v>
      </c>
      <c r="F16" s="79"/>
    </row>
    <row r="17" spans="1:6" x14ac:dyDescent="0.45">
      <c r="A17" s="68" t="s">
        <v>19</v>
      </c>
      <c r="B17" s="69">
        <v>1295816569</v>
      </c>
      <c r="C17" s="70">
        <v>485.20741463837794</v>
      </c>
      <c r="D17" s="70">
        <v>475.43741463837796</v>
      </c>
      <c r="E17" s="70">
        <v>475.43741463837796</v>
      </c>
      <c r="F17" s="79"/>
    </row>
    <row r="18" spans="1:6" x14ac:dyDescent="0.45">
      <c r="A18" s="68" t="s">
        <v>20</v>
      </c>
      <c r="B18" s="69">
        <v>1033247622</v>
      </c>
      <c r="C18" s="70">
        <v>771.22</v>
      </c>
      <c r="D18" s="70">
        <v>761.45</v>
      </c>
      <c r="E18" s="70">
        <v>761.45</v>
      </c>
      <c r="F18" s="79"/>
    </row>
    <row r="19" spans="1:6" x14ac:dyDescent="0.45">
      <c r="A19" s="68" t="s">
        <v>21</v>
      </c>
      <c r="B19" s="69">
        <v>1104856095</v>
      </c>
      <c r="C19" s="70">
        <v>771.22</v>
      </c>
      <c r="D19" s="70">
        <v>761.45</v>
      </c>
      <c r="E19" s="70">
        <v>761.45</v>
      </c>
      <c r="F19" s="79"/>
    </row>
    <row r="20" spans="1:6" x14ac:dyDescent="0.45">
      <c r="A20" s="68" t="s">
        <v>22</v>
      </c>
      <c r="B20" s="69">
        <v>1609872415</v>
      </c>
      <c r="C20" s="70">
        <v>603.56727880663504</v>
      </c>
      <c r="D20" s="70">
        <v>593.79727880663506</v>
      </c>
      <c r="E20" s="70">
        <v>593.79727880663506</v>
      </c>
      <c r="F20" s="79"/>
    </row>
    <row r="21" spans="1:6" x14ac:dyDescent="0.45">
      <c r="A21" s="68" t="s">
        <v>23</v>
      </c>
      <c r="B21" s="69">
        <v>1962556290</v>
      </c>
      <c r="C21" s="70">
        <v>814.98</v>
      </c>
      <c r="D21" s="70">
        <v>805.21</v>
      </c>
      <c r="E21" s="70">
        <v>805.21</v>
      </c>
      <c r="F21" s="79"/>
    </row>
    <row r="22" spans="1:6" x14ac:dyDescent="0.45">
      <c r="A22" s="68" t="s">
        <v>24</v>
      </c>
      <c r="B22" s="69">
        <v>1619141298</v>
      </c>
      <c r="C22" s="70">
        <v>771.22</v>
      </c>
      <c r="D22" s="70">
        <v>761.45</v>
      </c>
      <c r="E22" s="70">
        <v>761.45</v>
      </c>
      <c r="F22" s="79"/>
    </row>
    <row r="23" spans="1:6" x14ac:dyDescent="0.45">
      <c r="A23" s="68" t="s">
        <v>25</v>
      </c>
      <c r="B23" s="69">
        <v>1225228646</v>
      </c>
      <c r="C23" s="70">
        <v>651.96457225474694</v>
      </c>
      <c r="D23" s="70">
        <v>642.19457225474696</v>
      </c>
      <c r="E23" s="70">
        <v>642.19457225474696</v>
      </c>
      <c r="F23" s="79"/>
    </row>
    <row r="24" spans="1:6" x14ac:dyDescent="0.45">
      <c r="A24" s="68" t="s">
        <v>26</v>
      </c>
      <c r="B24" s="69">
        <v>1417930249</v>
      </c>
      <c r="C24" s="70">
        <v>771.22</v>
      </c>
      <c r="D24" s="70">
        <v>761.45</v>
      </c>
      <c r="E24" s="70">
        <v>761.45</v>
      </c>
      <c r="F24" s="79"/>
    </row>
    <row r="25" spans="1:6" x14ac:dyDescent="0.45">
      <c r="A25" s="68" t="s">
        <v>27</v>
      </c>
      <c r="B25" s="69">
        <v>1467585471</v>
      </c>
      <c r="C25" s="70">
        <v>771.22</v>
      </c>
      <c r="D25" s="70">
        <v>761.45</v>
      </c>
      <c r="E25" s="70">
        <v>761.45</v>
      </c>
      <c r="F25" s="79"/>
    </row>
    <row r="26" spans="1:6" x14ac:dyDescent="0.45">
      <c r="A26" s="68" t="s">
        <v>28</v>
      </c>
      <c r="B26" s="69">
        <v>1184936023</v>
      </c>
      <c r="C26" s="70">
        <v>704.86</v>
      </c>
      <c r="D26" s="70">
        <v>695.09</v>
      </c>
      <c r="E26" s="70">
        <v>695.09</v>
      </c>
      <c r="F26" s="79"/>
    </row>
    <row r="27" spans="1:6" x14ac:dyDescent="0.45">
      <c r="A27" s="68" t="s">
        <v>29</v>
      </c>
      <c r="B27" s="69">
        <v>1639565088</v>
      </c>
      <c r="C27" s="70">
        <v>497.2409374796004</v>
      </c>
      <c r="D27" s="70">
        <v>487.47093747960042</v>
      </c>
      <c r="E27" s="70">
        <v>487.47093747960042</v>
      </c>
      <c r="F27" s="79"/>
    </row>
    <row r="28" spans="1:6" x14ac:dyDescent="0.45">
      <c r="A28" s="68" t="s">
        <v>30</v>
      </c>
      <c r="B28" s="69">
        <v>1336164151</v>
      </c>
      <c r="C28" s="70">
        <v>771.22</v>
      </c>
      <c r="D28" s="70">
        <v>761.45</v>
      </c>
      <c r="E28" s="70">
        <v>761.45</v>
      </c>
      <c r="F28" s="79"/>
    </row>
    <row r="29" spans="1:6" ht="15.75" customHeight="1" x14ac:dyDescent="0.45">
      <c r="A29" s="68" t="s">
        <v>31</v>
      </c>
      <c r="B29" s="69">
        <v>1750309837</v>
      </c>
      <c r="C29" s="70">
        <v>771.22</v>
      </c>
      <c r="D29" s="70">
        <v>761.45</v>
      </c>
      <c r="E29" s="70">
        <v>761.45</v>
      </c>
      <c r="F29" s="79"/>
    </row>
    <row r="30" spans="1:6" ht="15.75" customHeight="1" x14ac:dyDescent="0.45">
      <c r="A30" s="68" t="s">
        <v>32</v>
      </c>
      <c r="B30" s="69">
        <v>1275525115</v>
      </c>
      <c r="C30" s="70">
        <v>681.66594362202932</v>
      </c>
      <c r="D30" s="70">
        <v>671.89594362202934</v>
      </c>
      <c r="E30" s="70">
        <v>671.89594362202934</v>
      </c>
      <c r="F30" s="79"/>
    </row>
    <row r="31" spans="1:6" ht="15.75" customHeight="1" x14ac:dyDescent="0.45">
      <c r="A31" s="68" t="s">
        <v>33</v>
      </c>
      <c r="B31" s="69">
        <v>1841342334</v>
      </c>
      <c r="C31" s="70">
        <v>705.62139420257563</v>
      </c>
      <c r="D31" s="70">
        <v>695.85139420257565</v>
      </c>
      <c r="E31" s="70">
        <v>695.85139420257565</v>
      </c>
      <c r="F31" s="79"/>
    </row>
    <row r="32" spans="1:6" x14ac:dyDescent="0.45">
      <c r="A32" s="68" t="s">
        <v>34</v>
      </c>
      <c r="B32" s="69">
        <v>1487681631</v>
      </c>
      <c r="C32" s="70">
        <v>563.06552878797879</v>
      </c>
      <c r="D32" s="70">
        <v>553.29552878797881</v>
      </c>
      <c r="E32" s="70">
        <v>553.29552878797881</v>
      </c>
      <c r="F32" s="79"/>
    </row>
    <row r="33" spans="1:6" x14ac:dyDescent="0.45">
      <c r="A33" s="68" t="s">
        <v>35</v>
      </c>
      <c r="B33" s="69">
        <v>1093776338</v>
      </c>
      <c r="C33" s="70">
        <v>771.22</v>
      </c>
      <c r="D33" s="70">
        <v>761.45</v>
      </c>
      <c r="E33" s="70">
        <v>761.45</v>
      </c>
      <c r="F33" s="79"/>
    </row>
    <row r="34" spans="1:6" x14ac:dyDescent="0.45">
      <c r="A34" s="68" t="s">
        <v>36</v>
      </c>
      <c r="B34" s="69">
        <v>1427049964</v>
      </c>
      <c r="C34" s="70">
        <v>500.06001447595969</v>
      </c>
      <c r="D34" s="70">
        <v>490.29001447595971</v>
      </c>
      <c r="E34" s="70">
        <v>490.29001447595971</v>
      </c>
      <c r="F34" s="79"/>
    </row>
    <row r="35" spans="1:6" x14ac:dyDescent="0.45">
      <c r="A35" s="68" t="s">
        <v>37</v>
      </c>
      <c r="B35" s="69">
        <v>1629240577</v>
      </c>
      <c r="C35" s="70">
        <v>771.22</v>
      </c>
      <c r="D35" s="70">
        <v>761.45</v>
      </c>
      <c r="E35" s="70">
        <v>761.45</v>
      </c>
      <c r="F35" s="79"/>
    </row>
    <row r="36" spans="1:6" x14ac:dyDescent="0.45">
      <c r="A36" s="68" t="s">
        <v>38</v>
      </c>
      <c r="B36" s="69">
        <v>1417997370</v>
      </c>
      <c r="C36" s="70">
        <v>771.22</v>
      </c>
      <c r="D36" s="70">
        <v>761.45</v>
      </c>
      <c r="E36" s="70">
        <v>761.45</v>
      </c>
      <c r="F36" s="79"/>
    </row>
    <row r="37" spans="1:6" x14ac:dyDescent="0.45">
      <c r="A37" s="68" t="s">
        <v>39</v>
      </c>
      <c r="B37" s="69">
        <v>1376539130</v>
      </c>
      <c r="C37" s="70">
        <v>600.99611663360974</v>
      </c>
      <c r="D37" s="70">
        <v>591.22611663360976</v>
      </c>
      <c r="E37" s="70">
        <v>591.22611663360976</v>
      </c>
      <c r="F37" s="79"/>
    </row>
    <row r="38" spans="1:6" x14ac:dyDescent="0.45">
      <c r="A38" s="68" t="s">
        <v>40</v>
      </c>
      <c r="B38" s="69">
        <v>1144358953</v>
      </c>
      <c r="C38" s="70">
        <v>641.84326042750024</v>
      </c>
      <c r="D38" s="70">
        <v>632.07326042750026</v>
      </c>
      <c r="E38" s="70">
        <v>632.07326042750026</v>
      </c>
      <c r="F38" s="79"/>
    </row>
    <row r="39" spans="1:6" x14ac:dyDescent="0.45">
      <c r="A39" s="68" t="s">
        <v>41</v>
      </c>
      <c r="B39" s="69">
        <v>1386763456</v>
      </c>
      <c r="C39" s="70">
        <v>609.16702777146395</v>
      </c>
      <c r="D39" s="70">
        <v>599.39702777146397</v>
      </c>
      <c r="E39" s="70">
        <v>599.39702777146397</v>
      </c>
      <c r="F39" s="79"/>
    </row>
    <row r="40" spans="1:6" x14ac:dyDescent="0.45">
      <c r="A40" s="68" t="s">
        <v>42</v>
      </c>
      <c r="B40" s="69">
        <v>1811107410</v>
      </c>
      <c r="C40" s="70">
        <v>771.22</v>
      </c>
      <c r="D40" s="70">
        <v>761.45</v>
      </c>
      <c r="E40" s="70">
        <v>761.45</v>
      </c>
      <c r="F40" s="79"/>
    </row>
    <row r="41" spans="1:6" x14ac:dyDescent="0.45">
      <c r="A41" s="68" t="s">
        <v>43</v>
      </c>
      <c r="B41" s="69">
        <v>1326146333</v>
      </c>
      <c r="C41" s="70">
        <v>602.68294803935896</v>
      </c>
      <c r="D41" s="70">
        <v>592.91294803935898</v>
      </c>
      <c r="E41" s="70">
        <v>592.91294803935898</v>
      </c>
      <c r="F41" s="79"/>
    </row>
    <row r="42" spans="1:6" x14ac:dyDescent="0.45">
      <c r="A42" s="68" t="s">
        <v>44</v>
      </c>
      <c r="B42" s="69">
        <v>1336289966</v>
      </c>
      <c r="C42" s="70">
        <v>704.86</v>
      </c>
      <c r="D42" s="70">
        <v>695.09</v>
      </c>
      <c r="E42" s="70">
        <v>695.09</v>
      </c>
      <c r="F42" s="79"/>
    </row>
    <row r="43" spans="1:6" x14ac:dyDescent="0.45">
      <c r="A43" s="68" t="s">
        <v>45</v>
      </c>
      <c r="B43" s="69">
        <v>1174674246</v>
      </c>
      <c r="C43" s="70">
        <v>709.00579418760265</v>
      </c>
      <c r="D43" s="70">
        <v>699.23579418760266</v>
      </c>
      <c r="E43" s="70">
        <v>699.23579418760266</v>
      </c>
      <c r="F43" s="79"/>
    </row>
    <row r="44" spans="1:6" x14ac:dyDescent="0.45">
      <c r="A44" s="68" t="s">
        <v>46</v>
      </c>
      <c r="B44" s="69">
        <v>1770524928</v>
      </c>
      <c r="C44" s="70">
        <v>771.21824834643292</v>
      </c>
      <c r="D44" s="70">
        <v>761.44824834643293</v>
      </c>
      <c r="E44" s="70">
        <v>761.44824834643293</v>
      </c>
      <c r="F44" s="79"/>
    </row>
    <row r="45" spans="1:6" x14ac:dyDescent="0.45">
      <c r="A45" s="68" t="s">
        <v>47</v>
      </c>
      <c r="B45" s="69">
        <v>1861533648</v>
      </c>
      <c r="C45" s="70">
        <v>637.77538587689526</v>
      </c>
      <c r="D45" s="70">
        <v>628.00538587689528</v>
      </c>
      <c r="E45" s="70">
        <v>628.00538587689528</v>
      </c>
      <c r="F45" s="79"/>
    </row>
    <row r="46" spans="1:6" x14ac:dyDescent="0.45">
      <c r="A46" s="68" t="s">
        <v>48</v>
      </c>
      <c r="B46" s="69">
        <v>1770659153</v>
      </c>
      <c r="C46" s="70">
        <v>771.22</v>
      </c>
      <c r="D46" s="70">
        <v>761.45</v>
      </c>
      <c r="E46" s="70">
        <v>761.45</v>
      </c>
      <c r="F46" s="79"/>
    </row>
    <row r="47" spans="1:6" x14ac:dyDescent="0.45">
      <c r="A47" s="68" t="s">
        <v>49</v>
      </c>
      <c r="B47" s="69">
        <v>1427006485</v>
      </c>
      <c r="C47" s="70">
        <v>582.74249299206542</v>
      </c>
      <c r="D47" s="70">
        <v>572.97249299206544</v>
      </c>
      <c r="E47" s="70">
        <v>572.97249299206544</v>
      </c>
      <c r="F47" s="79"/>
    </row>
    <row r="48" spans="1:6" x14ac:dyDescent="0.45">
      <c r="A48" s="68" t="s">
        <v>50</v>
      </c>
      <c r="B48" s="69">
        <v>1891872883</v>
      </c>
      <c r="C48" s="70">
        <v>771.22</v>
      </c>
      <c r="D48" s="70">
        <v>761.45</v>
      </c>
      <c r="E48" s="70">
        <v>761.45</v>
      </c>
      <c r="F48" s="79"/>
    </row>
    <row r="49" spans="1:6" x14ac:dyDescent="0.45">
      <c r="A49" s="68" t="s">
        <v>51</v>
      </c>
      <c r="B49" s="69">
        <v>1619947090</v>
      </c>
      <c r="C49" s="70">
        <v>704.86</v>
      </c>
      <c r="D49" s="70">
        <v>695.09</v>
      </c>
      <c r="E49" s="70">
        <v>695.09</v>
      </c>
      <c r="F49" s="79"/>
    </row>
    <row r="50" spans="1:6" x14ac:dyDescent="0.45">
      <c r="A50" s="68" t="s">
        <v>52</v>
      </c>
      <c r="B50" s="69">
        <v>1952348518</v>
      </c>
      <c r="C50" s="70">
        <v>771.22</v>
      </c>
      <c r="D50" s="70">
        <v>761.45</v>
      </c>
      <c r="E50" s="70">
        <v>761.45</v>
      </c>
      <c r="F50" s="79"/>
    </row>
    <row r="51" spans="1:6" x14ac:dyDescent="0.45">
      <c r="A51" s="68" t="s">
        <v>53</v>
      </c>
      <c r="B51" s="69">
        <v>1770639809</v>
      </c>
      <c r="C51" s="70">
        <v>771.22</v>
      </c>
      <c r="D51" s="70">
        <v>761.45</v>
      </c>
      <c r="E51" s="70">
        <v>761.45</v>
      </c>
      <c r="F51" s="79"/>
    </row>
    <row r="52" spans="1:6" x14ac:dyDescent="0.45">
      <c r="A52" s="68" t="s">
        <v>54</v>
      </c>
      <c r="B52" s="69">
        <v>1114091055</v>
      </c>
      <c r="C52" s="70">
        <v>771.22</v>
      </c>
      <c r="D52" s="70">
        <v>761.45</v>
      </c>
      <c r="E52" s="70">
        <v>761.45</v>
      </c>
      <c r="F52" s="79"/>
    </row>
    <row r="53" spans="1:6" x14ac:dyDescent="0.45">
      <c r="A53" s="68" t="s">
        <v>55</v>
      </c>
      <c r="B53" s="69">
        <v>1669734653</v>
      </c>
      <c r="C53" s="70">
        <v>771.22</v>
      </c>
      <c r="D53" s="70">
        <v>761.45</v>
      </c>
      <c r="E53" s="70">
        <v>761.45</v>
      </c>
      <c r="F53" s="79"/>
    </row>
    <row r="54" spans="1:6" x14ac:dyDescent="0.45">
      <c r="A54" s="68" t="s">
        <v>56</v>
      </c>
      <c r="B54" s="69">
        <v>1285677518</v>
      </c>
      <c r="C54" s="70">
        <v>771.22</v>
      </c>
      <c r="D54" s="70">
        <v>761.45</v>
      </c>
      <c r="E54" s="70">
        <v>761.45</v>
      </c>
      <c r="F54" s="79"/>
    </row>
    <row r="55" spans="1:6" x14ac:dyDescent="0.45">
      <c r="A55" s="68" t="s">
        <v>57</v>
      </c>
      <c r="B55" s="69">
        <v>1710174818</v>
      </c>
      <c r="C55" s="70">
        <v>771.22</v>
      </c>
      <c r="D55" s="70">
        <v>761.45</v>
      </c>
      <c r="E55" s="70">
        <v>761.45</v>
      </c>
      <c r="F55" s="79"/>
    </row>
    <row r="56" spans="1:6" x14ac:dyDescent="0.45">
      <c r="A56" s="68" t="s">
        <v>58</v>
      </c>
      <c r="B56" s="69">
        <v>1710066634</v>
      </c>
      <c r="C56" s="70">
        <v>771.22</v>
      </c>
      <c r="D56" s="70">
        <v>761.45</v>
      </c>
      <c r="E56" s="70">
        <v>761.45</v>
      </c>
      <c r="F56" s="79"/>
    </row>
    <row r="57" spans="1:6" x14ac:dyDescent="0.45">
      <c r="A57" s="68" t="s">
        <v>59</v>
      </c>
      <c r="B57" s="69">
        <v>1447724646</v>
      </c>
      <c r="C57" s="70">
        <v>771.22</v>
      </c>
      <c r="D57" s="70">
        <v>761.45</v>
      </c>
      <c r="E57" s="70">
        <v>761.45</v>
      </c>
      <c r="F57" s="79"/>
    </row>
    <row r="58" spans="1:6" x14ac:dyDescent="0.45">
      <c r="A58" s="68" t="s">
        <v>60</v>
      </c>
      <c r="B58" s="69">
        <v>1326234022</v>
      </c>
      <c r="C58" s="70">
        <v>771.22</v>
      </c>
      <c r="D58" s="70">
        <v>761.45</v>
      </c>
      <c r="E58" s="70">
        <v>761.45</v>
      </c>
      <c r="F58" s="79"/>
    </row>
    <row r="59" spans="1:6" x14ac:dyDescent="0.45">
      <c r="A59" s="68" t="s">
        <v>61</v>
      </c>
      <c r="B59" s="69">
        <v>1386252112</v>
      </c>
      <c r="C59" s="70">
        <v>636.04</v>
      </c>
      <c r="D59" s="70">
        <v>626.27</v>
      </c>
      <c r="E59" s="70">
        <v>626.27</v>
      </c>
      <c r="F59" s="79"/>
    </row>
    <row r="60" spans="1:6" x14ac:dyDescent="0.45">
      <c r="A60" s="68" t="s">
        <v>62</v>
      </c>
      <c r="B60" s="69">
        <v>1538142369</v>
      </c>
      <c r="C60" s="70">
        <v>771.22</v>
      </c>
      <c r="D60" s="70">
        <v>761.45</v>
      </c>
      <c r="E60" s="70">
        <v>761.45</v>
      </c>
      <c r="F60" s="79"/>
    </row>
    <row r="61" spans="1:6" x14ac:dyDescent="0.45">
      <c r="A61" s="68" t="s">
        <v>63</v>
      </c>
      <c r="B61" s="69">
        <v>1184607418</v>
      </c>
      <c r="C61" s="70">
        <v>771.22</v>
      </c>
      <c r="D61" s="70">
        <v>761.45</v>
      </c>
      <c r="E61" s="70">
        <v>761.45</v>
      </c>
      <c r="F61" s="79"/>
    </row>
    <row r="62" spans="1:6" x14ac:dyDescent="0.45">
      <c r="A62" s="68" t="s">
        <v>64</v>
      </c>
      <c r="B62" s="69">
        <v>1396031639</v>
      </c>
      <c r="C62" s="70">
        <v>771.22</v>
      </c>
      <c r="D62" s="70">
        <v>761.45</v>
      </c>
      <c r="E62" s="70">
        <v>761.45</v>
      </c>
      <c r="F62" s="79"/>
    </row>
    <row r="63" spans="1:6" x14ac:dyDescent="0.45">
      <c r="A63" s="68" t="s">
        <v>65</v>
      </c>
      <c r="B63" s="69">
        <v>1235352618</v>
      </c>
      <c r="C63" s="70">
        <v>771.22</v>
      </c>
      <c r="D63" s="70">
        <v>761.45</v>
      </c>
      <c r="E63" s="70">
        <v>761.45</v>
      </c>
      <c r="F63" s="79"/>
    </row>
    <row r="64" spans="1:6" x14ac:dyDescent="0.45">
      <c r="A64" s="68" t="s">
        <v>66</v>
      </c>
      <c r="B64" s="69">
        <v>1407938574</v>
      </c>
      <c r="C64" s="70">
        <v>771.22</v>
      </c>
      <c r="D64" s="70">
        <v>761.45</v>
      </c>
      <c r="E64" s="70">
        <v>761.45</v>
      </c>
      <c r="F64" s="79"/>
    </row>
    <row r="65" spans="1:6" x14ac:dyDescent="0.45">
      <c r="A65" s="68" t="s">
        <v>67</v>
      </c>
      <c r="B65" s="69">
        <v>1801887401</v>
      </c>
      <c r="C65" s="70">
        <v>771.22</v>
      </c>
      <c r="D65" s="70">
        <v>761.45</v>
      </c>
      <c r="E65" s="70">
        <v>761.45</v>
      </c>
      <c r="F65" s="79"/>
    </row>
    <row r="66" spans="1:6" x14ac:dyDescent="0.45">
      <c r="A66" s="68" t="s">
        <v>68</v>
      </c>
      <c r="B66" s="69">
        <v>1922350206</v>
      </c>
      <c r="C66" s="70">
        <v>771.22</v>
      </c>
      <c r="D66" s="70">
        <v>761.45</v>
      </c>
      <c r="E66" s="70">
        <v>761.45</v>
      </c>
      <c r="F66" s="79"/>
    </row>
    <row r="67" spans="1:6" x14ac:dyDescent="0.45">
      <c r="A67" s="68" t="s">
        <v>69</v>
      </c>
      <c r="B67" s="69">
        <v>1295897395</v>
      </c>
      <c r="C67" s="70">
        <v>771.22</v>
      </c>
      <c r="D67" s="70">
        <v>761.45</v>
      </c>
      <c r="E67" s="70">
        <v>761.45</v>
      </c>
      <c r="F67" s="79"/>
    </row>
    <row r="68" spans="1:6" x14ac:dyDescent="0.45">
      <c r="A68" s="68" t="s">
        <v>70</v>
      </c>
      <c r="B68" s="69">
        <v>1740268713</v>
      </c>
      <c r="C68" s="70">
        <v>771.22</v>
      </c>
      <c r="D68" s="70">
        <v>761.45</v>
      </c>
      <c r="E68" s="70">
        <v>761.45</v>
      </c>
      <c r="F68" s="79"/>
    </row>
    <row r="69" spans="1:6" x14ac:dyDescent="0.45">
      <c r="A69" s="68" t="s">
        <v>71</v>
      </c>
      <c r="B69" s="69">
        <v>1154404010</v>
      </c>
      <c r="C69" s="70">
        <v>771.22</v>
      </c>
      <c r="D69" s="70">
        <v>761.45</v>
      </c>
      <c r="E69" s="70">
        <v>761.45</v>
      </c>
      <c r="F69" s="79"/>
    </row>
    <row r="70" spans="1:6" x14ac:dyDescent="0.45">
      <c r="A70" s="68" t="s">
        <v>72</v>
      </c>
      <c r="B70" s="69">
        <v>1942281936</v>
      </c>
      <c r="C70" s="70">
        <v>771.22</v>
      </c>
      <c r="D70" s="70">
        <v>761.45</v>
      </c>
      <c r="E70" s="70">
        <v>761.45</v>
      </c>
      <c r="F70" s="79"/>
    </row>
    <row r="71" spans="1:6" x14ac:dyDescent="0.45">
      <c r="F71" s="79"/>
    </row>
    <row r="72" spans="1:6" x14ac:dyDescent="0.45">
      <c r="F72" s="79"/>
    </row>
    <row r="73" spans="1:6" x14ac:dyDescent="0.45">
      <c r="A73" s="62" t="s">
        <v>73</v>
      </c>
      <c r="F73" s="79"/>
    </row>
    <row r="74" spans="1:6" ht="31.5" customHeight="1" x14ac:dyDescent="0.45">
      <c r="A74" s="66" t="s">
        <v>3</v>
      </c>
      <c r="B74" s="61" t="s">
        <v>4</v>
      </c>
      <c r="C74" s="67" t="s">
        <v>5</v>
      </c>
      <c r="D74" s="67" t="s">
        <v>6</v>
      </c>
      <c r="E74" s="67" t="s">
        <v>7</v>
      </c>
      <c r="F74" s="79"/>
    </row>
    <row r="75" spans="1:6" x14ac:dyDescent="0.45">
      <c r="A75" s="71" t="s">
        <v>74</v>
      </c>
      <c r="B75" s="72">
        <v>1700963956</v>
      </c>
      <c r="C75" s="70">
        <v>452.34999999999997</v>
      </c>
      <c r="D75" s="70">
        <v>442.58</v>
      </c>
      <c r="E75" s="70">
        <v>442.58</v>
      </c>
      <c r="F75" s="79"/>
    </row>
    <row r="76" spans="1:6" x14ac:dyDescent="0.45">
      <c r="A76" s="71" t="s">
        <v>75</v>
      </c>
      <c r="B76" s="73">
        <v>1245458421</v>
      </c>
      <c r="C76" s="70">
        <v>538.24</v>
      </c>
      <c r="D76" s="70">
        <v>528.47</v>
      </c>
      <c r="E76" s="70">
        <v>528.47</v>
      </c>
      <c r="F76" s="79"/>
    </row>
    <row r="77" spans="1:6" x14ac:dyDescent="0.45">
      <c r="A77" s="74" t="s">
        <v>76</v>
      </c>
      <c r="B77" s="75">
        <v>1114547114</v>
      </c>
      <c r="C77" s="70">
        <v>704.86</v>
      </c>
      <c r="D77" s="70">
        <v>695.09</v>
      </c>
      <c r="E77" s="70">
        <v>695.09</v>
      </c>
      <c r="F77" s="79"/>
    </row>
    <row r="78" spans="1:6" x14ac:dyDescent="0.45">
      <c r="A78" s="74" t="s">
        <v>77</v>
      </c>
      <c r="B78" s="76">
        <v>1073519443</v>
      </c>
      <c r="C78" s="70">
        <v>704.86</v>
      </c>
      <c r="D78" s="70">
        <v>695.09</v>
      </c>
      <c r="E78" s="70">
        <v>695.09</v>
      </c>
      <c r="F78" s="79"/>
    </row>
    <row r="79" spans="1:6" x14ac:dyDescent="0.45">
      <c r="A79" s="68" t="s">
        <v>78</v>
      </c>
      <c r="B79" s="69">
        <v>1831128602</v>
      </c>
      <c r="C79" s="77">
        <v>478.21</v>
      </c>
      <c r="D79" s="70">
        <v>468.44</v>
      </c>
      <c r="E79" s="70">
        <v>468.44</v>
      </c>
      <c r="F79" s="79"/>
    </row>
    <row r="80" spans="1:6" x14ac:dyDescent="0.45">
      <c r="A80" s="68" t="s">
        <v>79</v>
      </c>
      <c r="B80" s="69">
        <v>1255723490</v>
      </c>
      <c r="C80" s="77">
        <v>636.04</v>
      </c>
      <c r="D80" s="70">
        <v>626.27</v>
      </c>
      <c r="E80" s="70">
        <v>626.27</v>
      </c>
      <c r="F80" s="79"/>
    </row>
    <row r="81" spans="1:6" x14ac:dyDescent="0.45">
      <c r="A81" s="68" t="s">
        <v>80</v>
      </c>
      <c r="B81" s="69">
        <v>1083895627</v>
      </c>
      <c r="C81" s="70">
        <v>704.86</v>
      </c>
      <c r="D81" s="70">
        <v>695.09</v>
      </c>
      <c r="E81" s="70">
        <v>695.09</v>
      </c>
      <c r="F81" s="79"/>
    </row>
    <row r="82" spans="1:6" x14ac:dyDescent="0.45">
      <c r="A82" s="68" t="s">
        <v>81</v>
      </c>
      <c r="B82" s="69">
        <v>1073298196</v>
      </c>
      <c r="C82" s="70">
        <v>704.86</v>
      </c>
      <c r="D82" s="70">
        <v>695.09</v>
      </c>
      <c r="E82" s="70">
        <v>695.09</v>
      </c>
      <c r="F82" s="79"/>
    </row>
    <row r="83" spans="1:6" hidden="1" x14ac:dyDescent="0.45">
      <c r="D83" s="79"/>
      <c r="E83" s="79"/>
    </row>
  </sheetData>
  <sheetProtection sheet="1" objects="1" scenarios="1" selectLockedCells="1"/>
  <mergeCells count="1">
    <mergeCell ref="A4:B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4A357-CD7F-470B-8A3D-564C4E2E980C}">
  <sheetPr codeName="Sheet9"/>
  <dimension ref="A1:B4"/>
  <sheetViews>
    <sheetView zoomScale="89" zoomScaleNormal="89" workbookViewId="0"/>
  </sheetViews>
  <sheetFormatPr defaultColWidth="0" defaultRowHeight="16" zeroHeight="1" x14ac:dyDescent="0.45"/>
  <cols>
    <col min="1" max="1" width="14.7265625" style="2" customWidth="1"/>
    <col min="2" max="2" width="10.26953125" style="2" customWidth="1"/>
    <col min="3" max="16384" width="8.7265625" style="2" hidden="1"/>
  </cols>
  <sheetData>
    <row r="1" spans="1:2" x14ac:dyDescent="0.45">
      <c r="A1" s="84" t="s">
        <v>453</v>
      </c>
    </row>
    <row r="2" spans="1:2" x14ac:dyDescent="0.45">
      <c r="A2" s="153" t="s">
        <v>427</v>
      </c>
      <c r="B2" s="65"/>
    </row>
    <row r="3" spans="1:2" ht="46.5" customHeight="1" x14ac:dyDescent="0.45">
      <c r="A3" s="171" t="s">
        <v>428</v>
      </c>
      <c r="B3" s="171" t="s">
        <v>429</v>
      </c>
    </row>
    <row r="4" spans="1:2" x14ac:dyDescent="0.45">
      <c r="A4" s="172">
        <v>0.45</v>
      </c>
      <c r="B4" s="172">
        <v>0.45</v>
      </c>
    </row>
  </sheetData>
  <sheetProtection sheet="1" objects="1" scenarios="1" selectLockedCell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D209B-5F70-49EF-AFDC-2D3046BE016A}">
  <sheetPr codeName="Sheet10"/>
  <dimension ref="A1:D4"/>
  <sheetViews>
    <sheetView zoomScale="92" zoomScaleNormal="92" workbookViewId="0">
      <selection activeCell="A3" sqref="A3"/>
    </sheetView>
  </sheetViews>
  <sheetFormatPr defaultColWidth="0" defaultRowHeight="16" zeroHeight="1" x14ac:dyDescent="0.45"/>
  <cols>
    <col min="1" max="1" width="12.453125" style="2" bestFit="1" customWidth="1"/>
    <col min="2" max="2" width="10.26953125" style="2" bestFit="1" customWidth="1"/>
    <col min="3" max="3" width="10.54296875" style="2" bestFit="1" customWidth="1"/>
    <col min="4" max="4" width="12.7265625" style="2" bestFit="1" customWidth="1"/>
    <col min="5" max="16384" width="8.7265625" style="2" hidden="1"/>
  </cols>
  <sheetData>
    <row r="1" spans="1:4" x14ac:dyDescent="0.45">
      <c r="A1" s="84" t="s">
        <v>453</v>
      </c>
    </row>
    <row r="2" spans="1:4" x14ac:dyDescent="0.45">
      <c r="A2" s="153" t="s">
        <v>430</v>
      </c>
    </row>
    <row r="3" spans="1:4" ht="36" customHeight="1" x14ac:dyDescent="0.45">
      <c r="A3" s="171" t="s">
        <v>431</v>
      </c>
      <c r="B3" s="171" t="s">
        <v>432</v>
      </c>
      <c r="C3" s="171" t="s">
        <v>433</v>
      </c>
      <c r="D3" s="171" t="s">
        <v>434</v>
      </c>
    </row>
    <row r="4" spans="1:4" x14ac:dyDescent="0.45">
      <c r="A4" s="173">
        <v>1061</v>
      </c>
      <c r="B4" s="173">
        <v>1061</v>
      </c>
      <c r="C4" s="174">
        <v>704</v>
      </c>
      <c r="D4" s="174">
        <v>281</v>
      </c>
    </row>
  </sheetData>
  <sheetProtection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CD400-8F0E-43EB-B9BD-2923A3F2FAFD}">
  <dimension ref="A1:F13"/>
  <sheetViews>
    <sheetView workbookViewId="0">
      <selection activeCell="A9" sqref="A9"/>
    </sheetView>
  </sheetViews>
  <sheetFormatPr defaultColWidth="0" defaultRowHeight="16.5" zeroHeight="1" x14ac:dyDescent="0.45"/>
  <cols>
    <col min="1" max="1" width="63.1796875" style="181" bestFit="1" customWidth="1"/>
    <col min="2" max="2" width="37" style="181" bestFit="1" customWidth="1"/>
    <col min="3" max="3" width="48.54296875" style="181" customWidth="1"/>
    <col min="4" max="4" width="43.453125" style="181" hidden="1" customWidth="1"/>
    <col min="5" max="5" width="24.81640625" style="181" hidden="1" customWidth="1"/>
    <col min="6" max="6" width="26.7265625" style="181" hidden="1" customWidth="1"/>
    <col min="7" max="16384" width="8.81640625" style="181" hidden="1"/>
  </cols>
  <sheetData>
    <row r="1" spans="1:3" x14ac:dyDescent="0.45">
      <c r="A1" s="84" t="s">
        <v>453</v>
      </c>
    </row>
    <row r="2" spans="1:3" x14ac:dyDescent="0.45">
      <c r="C2" s="175" t="s">
        <v>435</v>
      </c>
    </row>
    <row r="3" spans="1:3" x14ac:dyDescent="0.45">
      <c r="C3" s="176" t="s">
        <v>436</v>
      </c>
    </row>
    <row r="4" spans="1:3" x14ac:dyDescent="0.45">
      <c r="A4" s="177" t="s">
        <v>437</v>
      </c>
      <c r="B4" s="178">
        <v>1386763456</v>
      </c>
      <c r="C4" s="179">
        <v>0.15</v>
      </c>
    </row>
    <row r="5" spans="1:3" x14ac:dyDescent="0.45">
      <c r="A5" s="177" t="s">
        <v>438</v>
      </c>
      <c r="B5" s="178">
        <v>1609872415</v>
      </c>
      <c r="C5" s="179">
        <v>0.56999999999999995</v>
      </c>
    </row>
    <row r="6" spans="1:3" x14ac:dyDescent="0.45">
      <c r="A6" s="177" t="s">
        <v>439</v>
      </c>
      <c r="B6" s="178">
        <v>1861533648</v>
      </c>
      <c r="C6" s="179">
        <v>1.92</v>
      </c>
    </row>
    <row r="7" spans="1:3" x14ac:dyDescent="0.45">
      <c r="A7" s="177" t="s">
        <v>440</v>
      </c>
      <c r="B7" s="178">
        <v>1427049964</v>
      </c>
      <c r="C7" s="179">
        <v>1.9</v>
      </c>
    </row>
    <row r="8" spans="1:3" x14ac:dyDescent="0.45">
      <c r="A8" s="177" t="s">
        <v>441</v>
      </c>
      <c r="B8" s="178">
        <v>1710066634</v>
      </c>
      <c r="C8" s="179">
        <v>0.37</v>
      </c>
    </row>
    <row r="9" spans="1:3" x14ac:dyDescent="0.45">
      <c r="A9" s="177" t="s">
        <v>442</v>
      </c>
      <c r="B9" s="178">
        <v>1326146333</v>
      </c>
      <c r="C9" s="179">
        <v>0.66</v>
      </c>
    </row>
    <row r="10" spans="1:3" x14ac:dyDescent="0.45">
      <c r="A10" s="177" t="s">
        <v>443</v>
      </c>
      <c r="B10" s="178">
        <v>1841342334</v>
      </c>
      <c r="C10" s="179">
        <v>2.48</v>
      </c>
    </row>
    <row r="11" spans="1:3" x14ac:dyDescent="0.45">
      <c r="A11" s="177" t="s">
        <v>444</v>
      </c>
      <c r="B11" s="178">
        <v>1619947090</v>
      </c>
      <c r="C11" s="179">
        <v>0.63</v>
      </c>
    </row>
    <row r="12" spans="1:3" x14ac:dyDescent="0.45">
      <c r="A12" s="177" t="s">
        <v>445</v>
      </c>
      <c r="B12" s="178">
        <v>1235352618</v>
      </c>
      <c r="C12" s="179">
        <v>5.92</v>
      </c>
    </row>
    <row r="13" spans="1:3" x14ac:dyDescent="0.45">
      <c r="A13" s="177" t="s">
        <v>446</v>
      </c>
      <c r="B13" s="180">
        <v>1700963956</v>
      </c>
      <c r="C13" s="179">
        <v>0.7</v>
      </c>
    </row>
  </sheetData>
  <sheetProtection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9996A-AAD3-4C02-BBCE-33797D961FA3}">
  <sheetPr codeName="Sheet2"/>
  <dimension ref="A1:L10"/>
  <sheetViews>
    <sheetView zoomScale="86" zoomScaleNormal="86" workbookViewId="0"/>
  </sheetViews>
  <sheetFormatPr defaultColWidth="0" defaultRowHeight="16" zeroHeight="1" x14ac:dyDescent="0.45"/>
  <cols>
    <col min="1" max="1" width="36.453125" style="2" customWidth="1"/>
    <col min="2" max="2" width="13.26953125" style="2" bestFit="1" customWidth="1"/>
    <col min="3" max="3" width="8.7265625" style="82" bestFit="1" customWidth="1"/>
    <col min="4" max="4" width="12.26953125" style="2" bestFit="1" customWidth="1"/>
    <col min="5" max="5" width="12.26953125" style="2" customWidth="1"/>
    <col min="6" max="6" width="8.453125" style="2" customWidth="1"/>
    <col min="7" max="7" width="9" style="2" customWidth="1"/>
    <col min="8" max="8" width="8.7265625" style="82" customWidth="1"/>
    <col min="9" max="9" width="13.7265625" style="2" bestFit="1" customWidth="1"/>
    <col min="10" max="10" width="12.54296875" style="2" customWidth="1"/>
    <col min="11" max="11" width="16.26953125" style="2" bestFit="1" customWidth="1"/>
    <col min="12" max="12" width="8.7265625" style="2" customWidth="1"/>
    <col min="13" max="16384" width="8.7265625" style="2" hidden="1"/>
  </cols>
  <sheetData>
    <row r="1" spans="1:12" x14ac:dyDescent="0.45">
      <c r="A1" s="84" t="s">
        <v>453</v>
      </c>
      <c r="B1" s="83"/>
    </row>
    <row r="2" spans="1:12" s="1" customFormat="1" ht="45" customHeight="1" x14ac:dyDescent="0.35">
      <c r="A2" s="85" t="s">
        <v>3</v>
      </c>
      <c r="B2" s="85" t="s">
        <v>82</v>
      </c>
      <c r="C2" s="85" t="s">
        <v>83</v>
      </c>
      <c r="D2" s="85" t="s">
        <v>4</v>
      </c>
      <c r="E2" s="85" t="s">
        <v>84</v>
      </c>
      <c r="F2" s="85" t="s">
        <v>85</v>
      </c>
      <c r="G2" s="85" t="s">
        <v>86</v>
      </c>
      <c r="H2" s="85" t="s">
        <v>87</v>
      </c>
      <c r="I2" s="85" t="s">
        <v>88</v>
      </c>
      <c r="J2" s="86" t="s">
        <v>89</v>
      </c>
      <c r="K2" s="86" t="s">
        <v>90</v>
      </c>
      <c r="L2" s="85" t="s">
        <v>91</v>
      </c>
    </row>
    <row r="3" spans="1:12" x14ac:dyDescent="0.45">
      <c r="A3" s="71" t="s">
        <v>74</v>
      </c>
      <c r="B3" s="87" t="s">
        <v>92</v>
      </c>
      <c r="C3" s="88">
        <v>25</v>
      </c>
      <c r="D3" s="72">
        <v>1700963956</v>
      </c>
      <c r="E3" s="72">
        <v>1801973052</v>
      </c>
      <c r="F3" s="89" t="s">
        <v>73</v>
      </c>
      <c r="G3" s="89" t="s">
        <v>73</v>
      </c>
      <c r="H3" s="90" t="s">
        <v>93</v>
      </c>
      <c r="I3" s="91">
        <v>451.65</v>
      </c>
      <c r="J3" s="91">
        <v>452.34999999999997</v>
      </c>
      <c r="K3" s="92">
        <v>648.54999999999995</v>
      </c>
      <c r="L3" s="92">
        <v>0.7</v>
      </c>
    </row>
    <row r="4" spans="1:12" x14ac:dyDescent="0.45">
      <c r="A4" s="71" t="s">
        <v>75</v>
      </c>
      <c r="B4" s="87" t="s">
        <v>94</v>
      </c>
      <c r="C4" s="88">
        <v>12</v>
      </c>
      <c r="D4" s="73">
        <v>1245458421</v>
      </c>
      <c r="E4" s="72">
        <v>1003819376</v>
      </c>
      <c r="F4" s="89" t="s">
        <v>73</v>
      </c>
      <c r="G4" s="89" t="s">
        <v>73</v>
      </c>
      <c r="H4" s="69" t="s">
        <v>93</v>
      </c>
      <c r="I4" s="91">
        <v>538.24</v>
      </c>
      <c r="J4" s="91">
        <v>538.24</v>
      </c>
      <c r="K4" s="92">
        <v>648.54999999999995</v>
      </c>
      <c r="L4" s="187"/>
    </row>
    <row r="5" spans="1:12" x14ac:dyDescent="0.45">
      <c r="A5" s="74" t="s">
        <v>76</v>
      </c>
      <c r="B5" s="93" t="s">
        <v>95</v>
      </c>
      <c r="C5" s="94">
        <v>19</v>
      </c>
      <c r="D5" s="75">
        <v>1114547114</v>
      </c>
      <c r="E5" s="190"/>
      <c r="F5" s="89" t="s">
        <v>73</v>
      </c>
      <c r="G5" s="89" t="s">
        <v>73</v>
      </c>
      <c r="H5" s="189"/>
      <c r="I5" s="91">
        <v>704.86</v>
      </c>
      <c r="J5" s="91">
        <v>704.86</v>
      </c>
      <c r="K5" s="188" t="s">
        <v>451</v>
      </c>
      <c r="L5" s="187"/>
    </row>
    <row r="6" spans="1:12" x14ac:dyDescent="0.45">
      <c r="A6" s="74" t="s">
        <v>77</v>
      </c>
      <c r="B6" s="68" t="s">
        <v>96</v>
      </c>
      <c r="C6" s="69">
        <v>13</v>
      </c>
      <c r="D6" s="76">
        <v>1073519443</v>
      </c>
      <c r="E6" s="190"/>
      <c r="F6" s="89" t="s">
        <v>73</v>
      </c>
      <c r="G6" s="89" t="s">
        <v>73</v>
      </c>
      <c r="H6" s="189"/>
      <c r="I6" s="91">
        <v>704.86</v>
      </c>
      <c r="J6" s="91">
        <v>704.86</v>
      </c>
      <c r="K6" s="188" t="s">
        <v>451</v>
      </c>
      <c r="L6" s="187"/>
    </row>
    <row r="7" spans="1:12" x14ac:dyDescent="0.45">
      <c r="A7" s="68" t="s">
        <v>78</v>
      </c>
      <c r="B7" s="68" t="s">
        <v>97</v>
      </c>
      <c r="C7" s="69">
        <v>14</v>
      </c>
      <c r="D7" s="69">
        <v>1831128602</v>
      </c>
      <c r="E7" s="187"/>
      <c r="F7" s="89" t="s">
        <v>73</v>
      </c>
      <c r="G7" s="89" t="s">
        <v>73</v>
      </c>
      <c r="H7" s="69" t="s">
        <v>93</v>
      </c>
      <c r="I7" s="91">
        <v>478.21</v>
      </c>
      <c r="J7" s="91">
        <v>478.21</v>
      </c>
      <c r="K7" s="92">
        <v>705.62139420257563</v>
      </c>
      <c r="L7" s="187"/>
    </row>
    <row r="8" spans="1:12" x14ac:dyDescent="0.45">
      <c r="A8" s="68" t="s">
        <v>79</v>
      </c>
      <c r="B8" s="68" t="s">
        <v>98</v>
      </c>
      <c r="C8" s="69">
        <v>19</v>
      </c>
      <c r="D8" s="69">
        <v>1255723490</v>
      </c>
      <c r="E8" s="187"/>
      <c r="F8" s="89" t="s">
        <v>73</v>
      </c>
      <c r="G8" s="89" t="s">
        <v>73</v>
      </c>
      <c r="H8" s="189"/>
      <c r="I8" s="91">
        <v>636.04</v>
      </c>
      <c r="J8" s="91">
        <v>636.04</v>
      </c>
      <c r="K8" s="188" t="s">
        <v>451</v>
      </c>
      <c r="L8" s="187"/>
    </row>
    <row r="9" spans="1:12" x14ac:dyDescent="0.45">
      <c r="A9" s="74" t="s">
        <v>80</v>
      </c>
      <c r="B9" s="68" t="s">
        <v>99</v>
      </c>
      <c r="C9" s="69">
        <v>19</v>
      </c>
      <c r="D9" s="69">
        <v>1083895627</v>
      </c>
      <c r="E9" s="187"/>
      <c r="F9" s="89" t="s">
        <v>73</v>
      </c>
      <c r="G9" s="89" t="s">
        <v>73</v>
      </c>
      <c r="H9" s="189"/>
      <c r="I9" s="91">
        <v>704.86</v>
      </c>
      <c r="J9" s="91">
        <v>704.86</v>
      </c>
      <c r="K9" s="188" t="s">
        <v>451</v>
      </c>
      <c r="L9" s="187"/>
    </row>
    <row r="10" spans="1:12" x14ac:dyDescent="0.45">
      <c r="A10" s="68" t="s">
        <v>81</v>
      </c>
      <c r="B10" s="68" t="s">
        <v>100</v>
      </c>
      <c r="C10" s="69">
        <v>38</v>
      </c>
      <c r="D10" s="69">
        <v>1073298196</v>
      </c>
      <c r="E10" s="187"/>
      <c r="F10" s="89" t="s">
        <v>73</v>
      </c>
      <c r="G10" s="89" t="s">
        <v>73</v>
      </c>
      <c r="H10" s="189"/>
      <c r="I10" s="187"/>
      <c r="J10" s="91">
        <v>704.86</v>
      </c>
      <c r="K10" s="187"/>
      <c r="L10" s="187"/>
    </row>
  </sheetData>
  <sheetProtection sheet="1" objects="1" scenarios="1" selectLockedCells="1"/>
  <dataValidations count="1">
    <dataValidation type="date" errorStyle="warning" operator="greaterThan" allowBlank="1" showInputMessage="1" showErrorMessage="1" error="Fiscal vperiod should be greater than 6/30/96." sqref="F3:G10" xr:uid="{69F8599C-E6F2-4F04-94E1-FBA4C5CCE221}">
      <formula1>34880</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9D646-D6FC-41AB-812F-9269294E6D28}">
  <dimension ref="A1:XFB57"/>
  <sheetViews>
    <sheetView zoomScale="83" zoomScaleNormal="83" workbookViewId="0"/>
  </sheetViews>
  <sheetFormatPr defaultColWidth="0" defaultRowHeight="14.5" zeroHeight="1" x14ac:dyDescent="0.35"/>
  <cols>
    <col min="1" max="1" width="17.453125" customWidth="1"/>
    <col min="2" max="2" width="93.54296875" customWidth="1"/>
    <col min="3" max="16382" width="9.1796875" hidden="1"/>
    <col min="16383" max="16384" width="3.26953125" hidden="1"/>
  </cols>
  <sheetData>
    <row r="1" spans="1:2" ht="16" x14ac:dyDescent="0.45">
      <c r="A1" s="84" t="s">
        <v>453</v>
      </c>
    </row>
    <row r="2" spans="1:2" ht="21" x14ac:dyDescent="0.35">
      <c r="A2" s="9" t="s">
        <v>101</v>
      </c>
    </row>
    <row r="3" spans="1:2" ht="100.15" customHeight="1" x14ac:dyDescent="0.35">
      <c r="A3" s="183" t="s">
        <v>102</v>
      </c>
      <c r="B3" s="183"/>
    </row>
    <row r="4" spans="1:2" ht="34.5" customHeight="1" x14ac:dyDescent="0.45">
      <c r="A4" s="10" t="s">
        <v>103</v>
      </c>
      <c r="B4" s="95"/>
    </row>
    <row r="5" spans="1:2" ht="17.5" x14ac:dyDescent="0.45">
      <c r="A5" s="11" t="s">
        <v>104</v>
      </c>
      <c r="B5" s="18" t="s">
        <v>105</v>
      </c>
    </row>
    <row r="6" spans="1:2" ht="17.5" x14ac:dyDescent="0.45">
      <c r="A6" s="13" t="s">
        <v>106</v>
      </c>
      <c r="B6" s="97" t="s">
        <v>107</v>
      </c>
    </row>
    <row r="7" spans="1:2" ht="17.5" x14ac:dyDescent="0.35">
      <c r="A7" s="16" t="s">
        <v>108</v>
      </c>
      <c r="B7" s="98" t="s">
        <v>109</v>
      </c>
    </row>
    <row r="8" spans="1:2" ht="17.5" x14ac:dyDescent="0.35">
      <c r="A8" s="16" t="s">
        <v>110</v>
      </c>
      <c r="B8" s="98" t="s">
        <v>111</v>
      </c>
    </row>
    <row r="9" spans="1:2" ht="17.5" x14ac:dyDescent="0.35">
      <c r="A9" s="16" t="s">
        <v>112</v>
      </c>
      <c r="B9" s="98" t="s">
        <v>113</v>
      </c>
    </row>
    <row r="10" spans="1:2" ht="17.5" x14ac:dyDescent="0.35">
      <c r="A10" s="16" t="s">
        <v>114</v>
      </c>
      <c r="B10" s="98" t="s">
        <v>115</v>
      </c>
    </row>
    <row r="11" spans="1:2" ht="35" x14ac:dyDescent="0.35">
      <c r="A11" s="16" t="s">
        <v>116</v>
      </c>
      <c r="B11" s="98" t="s">
        <v>117</v>
      </c>
    </row>
    <row r="12" spans="1:2" ht="17.5" x14ac:dyDescent="0.35">
      <c r="A12" s="16" t="s">
        <v>118</v>
      </c>
      <c r="B12" s="98" t="s">
        <v>119</v>
      </c>
    </row>
    <row r="13" spans="1:2" ht="17.5" x14ac:dyDescent="0.35">
      <c r="A13" s="16" t="s">
        <v>120</v>
      </c>
      <c r="B13" s="98" t="s">
        <v>121</v>
      </c>
    </row>
    <row r="14" spans="1:2" ht="17.5" x14ac:dyDescent="0.45">
      <c r="A14" s="14" t="s">
        <v>122</v>
      </c>
      <c r="B14" s="99" t="s">
        <v>123</v>
      </c>
    </row>
    <row r="15" spans="1:2" ht="17.5" x14ac:dyDescent="0.35">
      <c r="A15" s="14" t="s">
        <v>124</v>
      </c>
      <c r="B15" s="98" t="s">
        <v>125</v>
      </c>
    </row>
    <row r="16" spans="1:2" ht="17.5" x14ac:dyDescent="0.35">
      <c r="A16" s="14" t="s">
        <v>126</v>
      </c>
      <c r="B16" s="98" t="s">
        <v>127</v>
      </c>
    </row>
    <row r="17" spans="1:2" ht="35.25" customHeight="1" x14ac:dyDescent="0.45">
      <c r="A17" s="10" t="s">
        <v>128</v>
      </c>
      <c r="B17" s="96"/>
    </row>
    <row r="18" spans="1:2" ht="17.5" x14ac:dyDescent="0.45">
      <c r="A18" s="19" t="s">
        <v>104</v>
      </c>
      <c r="B18" s="20" t="s">
        <v>105</v>
      </c>
    </row>
    <row r="19" spans="1:2" ht="35" x14ac:dyDescent="0.35">
      <c r="A19" s="14" t="s">
        <v>129</v>
      </c>
      <c r="B19" s="15" t="s">
        <v>130</v>
      </c>
    </row>
    <row r="20" spans="1:2" ht="35.25" customHeight="1" x14ac:dyDescent="0.45">
      <c r="A20" s="10" t="s">
        <v>131</v>
      </c>
      <c r="B20" s="96"/>
    </row>
    <row r="21" spans="1:2" ht="17.5" x14ac:dyDescent="0.45">
      <c r="A21" s="19" t="s">
        <v>104</v>
      </c>
      <c r="B21" s="20" t="s">
        <v>105</v>
      </c>
    </row>
    <row r="22" spans="1:2" ht="35" x14ac:dyDescent="0.35">
      <c r="A22" s="14" t="s">
        <v>132</v>
      </c>
      <c r="B22" s="15" t="s">
        <v>133</v>
      </c>
    </row>
    <row r="23" spans="1:2" ht="17.5" x14ac:dyDescent="0.35">
      <c r="A23" s="14" t="s">
        <v>134</v>
      </c>
      <c r="B23" s="17" t="s">
        <v>135</v>
      </c>
    </row>
    <row r="24" spans="1:2" ht="17.5" x14ac:dyDescent="0.35">
      <c r="A24" s="16" t="s">
        <v>136</v>
      </c>
      <c r="B24" s="15" t="s">
        <v>137</v>
      </c>
    </row>
    <row r="25" spans="1:2" ht="33.75" customHeight="1" x14ac:dyDescent="0.45">
      <c r="A25" s="14" t="s">
        <v>138</v>
      </c>
      <c r="B25" s="100" t="s">
        <v>139</v>
      </c>
    </row>
    <row r="26" spans="1:2" ht="36" customHeight="1" x14ac:dyDescent="0.45">
      <c r="A26" s="10" t="s">
        <v>140</v>
      </c>
      <c r="B26" s="95"/>
    </row>
    <row r="27" spans="1:2" ht="17.5" x14ac:dyDescent="0.45">
      <c r="A27" s="11" t="s">
        <v>104</v>
      </c>
      <c r="B27" s="18" t="s">
        <v>105</v>
      </c>
    </row>
    <row r="28" spans="1:2" ht="17.5" x14ac:dyDescent="0.35">
      <c r="A28" s="16" t="s">
        <v>141</v>
      </c>
      <c r="B28" s="15" t="s">
        <v>142</v>
      </c>
    </row>
    <row r="29" spans="1:2" ht="17.5" x14ac:dyDescent="0.35">
      <c r="A29" s="16" t="s">
        <v>143</v>
      </c>
      <c r="B29" s="15" t="s">
        <v>144</v>
      </c>
    </row>
    <row r="30" spans="1:2" ht="17.5" x14ac:dyDescent="0.35">
      <c r="A30" s="16" t="s">
        <v>145</v>
      </c>
      <c r="B30" s="15" t="s">
        <v>146</v>
      </c>
    </row>
    <row r="31" spans="1:2" ht="17.5" x14ac:dyDescent="0.35">
      <c r="A31" s="16" t="s">
        <v>147</v>
      </c>
      <c r="B31" s="15" t="s">
        <v>148</v>
      </c>
    </row>
    <row r="32" spans="1:2" ht="35" x14ac:dyDescent="0.35">
      <c r="A32" s="16" t="s">
        <v>149</v>
      </c>
      <c r="B32" s="15" t="s">
        <v>150</v>
      </c>
    </row>
    <row r="33" spans="1:2" ht="36" customHeight="1" x14ac:dyDescent="0.45">
      <c r="A33" s="10" t="s">
        <v>151</v>
      </c>
      <c r="B33" s="95"/>
    </row>
    <row r="34" spans="1:2" ht="17.5" x14ac:dyDescent="0.45">
      <c r="A34" s="11" t="s">
        <v>104</v>
      </c>
      <c r="B34" s="18" t="s">
        <v>105</v>
      </c>
    </row>
    <row r="35" spans="1:2" ht="17.5" x14ac:dyDescent="0.45">
      <c r="A35" s="14" t="s">
        <v>152</v>
      </c>
      <c r="B35" s="101" t="s">
        <v>153</v>
      </c>
    </row>
    <row r="36" spans="1:2" ht="34.5" customHeight="1" x14ac:dyDescent="0.45">
      <c r="A36" s="10" t="s">
        <v>154</v>
      </c>
      <c r="B36" s="95"/>
    </row>
    <row r="37" spans="1:2" ht="17.5" x14ac:dyDescent="0.45">
      <c r="A37" s="11" t="s">
        <v>104</v>
      </c>
      <c r="B37" s="18" t="s">
        <v>105</v>
      </c>
    </row>
    <row r="38" spans="1:2" ht="17.5" x14ac:dyDescent="0.35">
      <c r="A38" s="16" t="s">
        <v>155</v>
      </c>
      <c r="B38" s="15" t="s">
        <v>156</v>
      </c>
    </row>
    <row r="39" spans="1:2" ht="36" customHeight="1" x14ac:dyDescent="0.45">
      <c r="A39" s="10" t="s">
        <v>157</v>
      </c>
      <c r="B39" s="95"/>
    </row>
    <row r="40" spans="1:2" ht="17.5" x14ac:dyDescent="0.45">
      <c r="A40" s="11" t="s">
        <v>104</v>
      </c>
      <c r="B40" s="12" t="s">
        <v>105</v>
      </c>
    </row>
    <row r="41" spans="1:2" ht="17.5" x14ac:dyDescent="0.35">
      <c r="A41" s="14" t="s">
        <v>158</v>
      </c>
      <c r="B41" s="15" t="s">
        <v>159</v>
      </c>
    </row>
    <row r="42" spans="1:2" ht="33.75" customHeight="1" x14ac:dyDescent="0.45">
      <c r="A42" s="10" t="s">
        <v>448</v>
      </c>
      <c r="B42" s="95"/>
    </row>
    <row r="43" spans="1:2" ht="17.5" x14ac:dyDescent="0.45">
      <c r="A43" s="11" t="s">
        <v>104</v>
      </c>
      <c r="B43" s="12" t="s">
        <v>105</v>
      </c>
    </row>
    <row r="44" spans="1:2" ht="17.5" x14ac:dyDescent="0.35">
      <c r="A44" s="14" t="s">
        <v>93</v>
      </c>
      <c r="B44" s="15" t="s">
        <v>447</v>
      </c>
    </row>
    <row r="45" spans="1:2" ht="33.75" customHeight="1" x14ac:dyDescent="0.45">
      <c r="A45" s="10" t="s">
        <v>449</v>
      </c>
      <c r="B45" s="95"/>
    </row>
    <row r="46" spans="1:2" ht="17.5" x14ac:dyDescent="0.45">
      <c r="A46" s="11" t="s">
        <v>104</v>
      </c>
      <c r="B46" s="12" t="s">
        <v>105</v>
      </c>
    </row>
    <row r="47" spans="1:2" ht="17.5" x14ac:dyDescent="0.35">
      <c r="A47" s="14" t="s">
        <v>161</v>
      </c>
      <c r="B47" s="15" t="s">
        <v>160</v>
      </c>
    </row>
    <row r="48" spans="1:2" ht="34.5" customHeight="1" x14ac:dyDescent="0.45">
      <c r="A48" s="10" t="s">
        <v>450</v>
      </c>
      <c r="B48" s="95"/>
    </row>
    <row r="49" spans="1:2" ht="17.5" x14ac:dyDescent="0.45">
      <c r="A49" s="11" t="s">
        <v>104</v>
      </c>
      <c r="B49" s="18" t="s">
        <v>105</v>
      </c>
    </row>
    <row r="50" spans="1:2" ht="17.5" x14ac:dyDescent="0.35">
      <c r="A50" s="14" t="s">
        <v>163</v>
      </c>
      <c r="B50" s="15" t="s">
        <v>162</v>
      </c>
    </row>
    <row r="51" spans="1:2" ht="17.5" x14ac:dyDescent="0.35">
      <c r="A51" s="14" t="s">
        <v>165</v>
      </c>
      <c r="B51" s="15" t="s">
        <v>164</v>
      </c>
    </row>
    <row r="52" spans="1:2" ht="17.5" x14ac:dyDescent="0.35">
      <c r="A52" s="14" t="s">
        <v>167</v>
      </c>
      <c r="B52" s="15" t="s">
        <v>166</v>
      </c>
    </row>
    <row r="53" spans="1:2" ht="17.5" x14ac:dyDescent="0.35">
      <c r="A53" s="14" t="s">
        <v>169</v>
      </c>
      <c r="B53" s="15" t="s">
        <v>168</v>
      </c>
    </row>
    <row r="54" spans="1:2" ht="17.5" x14ac:dyDescent="0.35">
      <c r="A54" s="14" t="s">
        <v>171</v>
      </c>
      <c r="B54" s="15" t="s">
        <v>170</v>
      </c>
    </row>
    <row r="55" spans="1:2" ht="17.5" x14ac:dyDescent="0.35">
      <c r="A55" s="14" t="s">
        <v>173</v>
      </c>
      <c r="B55" s="15" t="s">
        <v>172</v>
      </c>
    </row>
    <row r="56" spans="1:2" ht="17.5" x14ac:dyDescent="0.35">
      <c r="A56" s="14" t="s">
        <v>175</v>
      </c>
      <c r="B56" s="15" t="s">
        <v>174</v>
      </c>
    </row>
    <row r="57" spans="1:2" ht="21" customHeight="1" x14ac:dyDescent="0.35">
      <c r="A57" s="14" t="s">
        <v>240</v>
      </c>
      <c r="B57" s="15" t="s">
        <v>176</v>
      </c>
    </row>
  </sheetData>
  <sheetProtection sheet="1" objects="1" scenarios="1" selectLockedCells="1"/>
  <mergeCells count="1">
    <mergeCell ref="A3:B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D7AD0-156C-46C1-A396-AF8B07C04E4C}">
  <sheetPr codeName="Sheet3"/>
  <dimension ref="A1:AI74"/>
  <sheetViews>
    <sheetView topLeftCell="B1" zoomScale="80" zoomScaleNormal="80" workbookViewId="0">
      <pane ySplit="8" topLeftCell="A9" activePane="bottomLeft" state="frozen"/>
      <selection pane="bottomLeft" activeCell="C28" sqref="C28"/>
    </sheetView>
  </sheetViews>
  <sheetFormatPr defaultColWidth="0" defaultRowHeight="16" zeroHeight="1" x14ac:dyDescent="0.45"/>
  <cols>
    <col min="1" max="1" width="50.26953125" style="2" bestFit="1" customWidth="1"/>
    <col min="2" max="2" width="45.81640625" style="2" customWidth="1"/>
    <col min="3" max="3" width="23.26953125" style="2" customWidth="1"/>
    <col min="4" max="4" width="26.26953125" style="2" bestFit="1" customWidth="1"/>
    <col min="5" max="5" width="11.1796875" style="2" bestFit="1" customWidth="1"/>
    <col min="6" max="6" width="10.26953125" style="2" customWidth="1"/>
    <col min="7" max="7" width="18.453125" style="133" customWidth="1"/>
    <col min="8" max="8" width="21.26953125" style="2" customWidth="1"/>
    <col min="9" max="9" width="28" style="2" customWidth="1"/>
    <col min="10" max="10" width="11.7265625" style="2" customWidth="1"/>
    <col min="11" max="11" width="15.7265625" style="2" customWidth="1"/>
    <col min="12" max="12" width="25.54296875" style="79" customWidth="1"/>
    <col min="13" max="13" width="24.54296875" style="79" customWidth="1"/>
    <col min="14" max="14" width="25.54296875" style="2" customWidth="1"/>
    <col min="15" max="16" width="21.54296875" style="79" customWidth="1"/>
    <col min="17" max="17" width="23.26953125" style="79" customWidth="1"/>
    <col min="18" max="18" width="30.26953125" style="2" customWidth="1"/>
    <col min="19" max="19" width="20.54296875" style="79" customWidth="1"/>
    <col min="20" max="20" width="19.54296875" style="79" customWidth="1"/>
    <col min="21" max="21" width="28.453125" style="79" customWidth="1"/>
    <col min="22" max="22" width="28.7265625" style="79" customWidth="1"/>
    <col min="23" max="25" width="21.7265625" style="79" customWidth="1"/>
    <col min="26" max="26" width="24.7265625" style="79" customWidth="1"/>
    <col min="27" max="27" width="23.54296875" style="2" customWidth="1"/>
    <col min="28" max="28" width="23.453125" style="79" customWidth="1"/>
    <col min="29" max="29" width="31.453125" style="79" customWidth="1"/>
    <col min="30" max="30" width="31.81640625" style="79" customWidth="1"/>
    <col min="31" max="31" width="35.7265625" style="79" customWidth="1"/>
    <col min="32" max="32" width="28.26953125" style="79" customWidth="1"/>
    <col min="33" max="33" width="35.26953125" style="79" bestFit="1" customWidth="1"/>
    <col min="34" max="34" width="33.453125" style="2" customWidth="1"/>
    <col min="35" max="35" width="4.453125" style="2" hidden="1" customWidth="1"/>
    <col min="36" max="16384" width="8.7265625" style="2" hidden="1"/>
  </cols>
  <sheetData>
    <row r="1" spans="1:35" x14ac:dyDescent="0.45">
      <c r="A1" s="84" t="s">
        <v>453</v>
      </c>
    </row>
    <row r="2" spans="1:35" x14ac:dyDescent="0.45">
      <c r="A2" s="130"/>
      <c r="B2" s="60" t="s">
        <v>177</v>
      </c>
      <c r="C2" s="60" t="s">
        <v>178</v>
      </c>
      <c r="D2" s="60" t="s">
        <v>179</v>
      </c>
      <c r="E2" s="60" t="s">
        <v>180</v>
      </c>
      <c r="F2" s="60" t="s">
        <v>181</v>
      </c>
      <c r="G2" s="2"/>
      <c r="L2" s="2"/>
      <c r="M2" s="2"/>
      <c r="O2" s="2"/>
      <c r="P2" s="2"/>
      <c r="Q2" s="2"/>
      <c r="S2" s="2"/>
      <c r="T2" s="2"/>
      <c r="U2" s="2"/>
      <c r="V2" s="2"/>
      <c r="W2" s="2"/>
      <c r="X2" s="2"/>
      <c r="Y2" s="2"/>
      <c r="Z2" s="2"/>
      <c r="AB2" s="2"/>
      <c r="AC2" s="2"/>
      <c r="AD2" s="2"/>
      <c r="AE2" s="2"/>
      <c r="AF2" s="2"/>
      <c r="AG2" s="2"/>
    </row>
    <row r="3" spans="1:35" x14ac:dyDescent="0.45">
      <c r="A3" s="102" t="s">
        <v>182</v>
      </c>
      <c r="B3" s="102">
        <v>704.86</v>
      </c>
      <c r="C3" s="102">
        <v>771.22</v>
      </c>
      <c r="D3" s="103">
        <v>771.22</v>
      </c>
      <c r="E3" s="60">
        <v>41</v>
      </c>
      <c r="F3" s="104">
        <v>9.77</v>
      </c>
      <c r="G3" s="2"/>
      <c r="L3" s="2"/>
      <c r="M3" s="2"/>
      <c r="O3" s="2"/>
      <c r="P3" s="2"/>
      <c r="Q3" s="2"/>
      <c r="S3" s="2"/>
      <c r="T3" s="2"/>
      <c r="U3" s="2"/>
      <c r="V3" s="2"/>
      <c r="W3" s="2"/>
      <c r="X3" s="2"/>
      <c r="Y3" s="2"/>
      <c r="Z3" s="2"/>
      <c r="AB3" s="2"/>
      <c r="AC3" s="2"/>
      <c r="AD3" s="2"/>
      <c r="AE3" s="2"/>
      <c r="AF3" s="2"/>
      <c r="AG3" s="2"/>
    </row>
    <row r="4" spans="1:35" x14ac:dyDescent="0.45">
      <c r="A4" s="102" t="s">
        <v>183</v>
      </c>
      <c r="B4" s="102">
        <v>648.54999999999995</v>
      </c>
      <c r="C4" s="102">
        <v>705.62139420257563</v>
      </c>
      <c r="D4" s="103">
        <v>705.62139420257563</v>
      </c>
      <c r="E4" s="60">
        <v>19</v>
      </c>
      <c r="F4" s="104">
        <v>9.77</v>
      </c>
      <c r="G4" s="2"/>
      <c r="L4" s="2"/>
      <c r="M4" s="2"/>
      <c r="O4" s="2"/>
      <c r="P4" s="2"/>
      <c r="Q4" s="2"/>
      <c r="S4" s="2"/>
      <c r="T4" s="2"/>
      <c r="U4" s="2"/>
      <c r="V4" s="2"/>
      <c r="W4" s="2"/>
      <c r="X4" s="2"/>
      <c r="Y4" s="2"/>
      <c r="Z4" s="2"/>
      <c r="AB4" s="102" t="s">
        <v>184</v>
      </c>
      <c r="AC4" s="2"/>
      <c r="AD4" s="102" t="s">
        <v>185</v>
      </c>
      <c r="AE4" s="2"/>
      <c r="AF4" s="2"/>
      <c r="AG4" s="2"/>
    </row>
    <row r="5" spans="1:35" x14ac:dyDescent="0.45">
      <c r="AB5" s="102">
        <v>771.22</v>
      </c>
      <c r="AD5" s="102">
        <v>705.62139420257563</v>
      </c>
    </row>
    <row r="6" spans="1:35" ht="76.5" customHeight="1" x14ac:dyDescent="0.45">
      <c r="A6" s="105" t="s">
        <v>186</v>
      </c>
      <c r="B6" s="106">
        <v>45839</v>
      </c>
      <c r="C6" s="106" t="s">
        <v>187</v>
      </c>
      <c r="D6" s="184"/>
      <c r="E6" s="184"/>
      <c r="F6" s="131"/>
      <c r="G6" s="132"/>
      <c r="H6" s="131"/>
      <c r="I6" s="131"/>
      <c r="J6" s="131"/>
      <c r="K6" s="107"/>
      <c r="L6" s="108" t="s">
        <v>188</v>
      </c>
      <c r="M6" s="185" t="s">
        <v>189</v>
      </c>
      <c r="N6" s="185"/>
      <c r="O6" s="185"/>
      <c r="P6" s="185"/>
      <c r="Q6" s="185" t="s">
        <v>190</v>
      </c>
      <c r="R6" s="185"/>
      <c r="S6" s="185"/>
      <c r="T6" s="185"/>
      <c r="U6" s="185"/>
      <c r="V6" s="108" t="s">
        <v>191</v>
      </c>
      <c r="W6" s="109"/>
      <c r="X6" s="109"/>
      <c r="Y6" s="109"/>
      <c r="Z6" s="110" t="s">
        <v>192</v>
      </c>
      <c r="AA6" s="186" t="s">
        <v>193</v>
      </c>
      <c r="AB6" s="186"/>
      <c r="AC6" s="186"/>
      <c r="AD6" s="186"/>
      <c r="AE6" s="186"/>
      <c r="AF6" s="112" t="s">
        <v>194</v>
      </c>
      <c r="AG6" s="112" t="s">
        <v>195</v>
      </c>
      <c r="AH6" s="112" t="s">
        <v>196</v>
      </c>
      <c r="AI6" s="134"/>
    </row>
    <row r="7" spans="1:35" ht="59.25" customHeight="1" x14ac:dyDescent="0.45">
      <c r="A7" s="113" t="s">
        <v>3</v>
      </c>
      <c r="B7" s="114" t="s">
        <v>4</v>
      </c>
      <c r="C7" s="114" t="s">
        <v>197</v>
      </c>
      <c r="D7" s="115" t="s">
        <v>198</v>
      </c>
      <c r="E7" s="115" t="s">
        <v>199</v>
      </c>
      <c r="F7" s="115" t="s">
        <v>200</v>
      </c>
      <c r="G7" s="116" t="s">
        <v>201</v>
      </c>
      <c r="H7" s="115" t="s">
        <v>202</v>
      </c>
      <c r="I7" s="115" t="s">
        <v>203</v>
      </c>
      <c r="J7" s="115" t="s">
        <v>204</v>
      </c>
      <c r="K7" s="115" t="s">
        <v>205</v>
      </c>
      <c r="L7" s="115" t="s">
        <v>206</v>
      </c>
      <c r="M7" s="117" t="s">
        <v>207</v>
      </c>
      <c r="N7" s="115" t="s">
        <v>208</v>
      </c>
      <c r="O7" s="117" t="s">
        <v>209</v>
      </c>
      <c r="P7" s="118" t="s">
        <v>210</v>
      </c>
      <c r="Q7" s="115" t="s">
        <v>211</v>
      </c>
      <c r="R7" s="115" t="s">
        <v>212</v>
      </c>
      <c r="S7" s="115" t="s">
        <v>213</v>
      </c>
      <c r="T7" s="115" t="s">
        <v>214</v>
      </c>
      <c r="U7" s="117" t="s">
        <v>215</v>
      </c>
      <c r="V7" s="115" t="s">
        <v>216</v>
      </c>
      <c r="W7" s="115" t="s">
        <v>217</v>
      </c>
      <c r="X7" s="119" t="s">
        <v>218</v>
      </c>
      <c r="Y7" s="119" t="s">
        <v>91</v>
      </c>
      <c r="Z7" s="120" t="s">
        <v>219</v>
      </c>
      <c r="AA7" s="121" t="s">
        <v>220</v>
      </c>
      <c r="AB7" s="122" t="s">
        <v>221</v>
      </c>
      <c r="AC7" s="122" t="s">
        <v>222</v>
      </c>
      <c r="AD7" s="122" t="s">
        <v>223</v>
      </c>
      <c r="AE7" s="122" t="s">
        <v>224</v>
      </c>
      <c r="AF7" s="122" t="s">
        <v>225</v>
      </c>
      <c r="AG7" s="122" t="s">
        <v>226</v>
      </c>
      <c r="AH7" s="122" t="s">
        <v>227</v>
      </c>
      <c r="AI7" s="135"/>
    </row>
    <row r="8" spans="1:35" ht="47.5" customHeight="1" x14ac:dyDescent="0.45">
      <c r="A8" s="111" t="s">
        <v>106</v>
      </c>
      <c r="B8" s="123" t="s">
        <v>108</v>
      </c>
      <c r="C8" s="115" t="s">
        <v>110</v>
      </c>
      <c r="D8" s="115" t="s">
        <v>112</v>
      </c>
      <c r="E8" s="115" t="s">
        <v>114</v>
      </c>
      <c r="F8" s="115" t="s">
        <v>116</v>
      </c>
      <c r="G8" s="116" t="s">
        <v>118</v>
      </c>
      <c r="H8" s="115" t="s">
        <v>120</v>
      </c>
      <c r="I8" s="115" t="s">
        <v>122</v>
      </c>
      <c r="J8" s="115" t="s">
        <v>228</v>
      </c>
      <c r="K8" s="115" t="s">
        <v>126</v>
      </c>
      <c r="L8" s="115" t="s">
        <v>129</v>
      </c>
      <c r="M8" s="120" t="s">
        <v>229</v>
      </c>
      <c r="N8" s="120" t="s">
        <v>134</v>
      </c>
      <c r="O8" s="115" t="s">
        <v>230</v>
      </c>
      <c r="P8" s="115" t="s">
        <v>231</v>
      </c>
      <c r="Q8" s="115" t="s">
        <v>232</v>
      </c>
      <c r="R8" s="115" t="s">
        <v>143</v>
      </c>
      <c r="S8" s="115" t="s">
        <v>145</v>
      </c>
      <c r="T8" s="115" t="s">
        <v>147</v>
      </c>
      <c r="U8" s="115" t="s">
        <v>233</v>
      </c>
      <c r="V8" s="115" t="s">
        <v>234</v>
      </c>
      <c r="W8" s="115" t="s">
        <v>155</v>
      </c>
      <c r="X8" s="115" t="s">
        <v>158</v>
      </c>
      <c r="Y8" s="115" t="s">
        <v>93</v>
      </c>
      <c r="Z8" s="124" t="s">
        <v>235</v>
      </c>
      <c r="AA8" s="121" t="s">
        <v>163</v>
      </c>
      <c r="AB8" s="122" t="s">
        <v>236</v>
      </c>
      <c r="AC8" s="111" t="s">
        <v>237</v>
      </c>
      <c r="AD8" s="111" t="s">
        <v>238</v>
      </c>
      <c r="AE8" s="111" t="s">
        <v>239</v>
      </c>
      <c r="AF8" s="111" t="s">
        <v>173</v>
      </c>
      <c r="AG8" s="111" t="s">
        <v>175</v>
      </c>
      <c r="AH8" s="111" t="s">
        <v>240</v>
      </c>
      <c r="AI8" s="135"/>
    </row>
    <row r="9" spans="1:35" x14ac:dyDescent="0.45">
      <c r="A9" s="68" t="s">
        <v>8</v>
      </c>
      <c r="B9" s="68">
        <v>1235261652</v>
      </c>
      <c r="C9" s="69">
        <v>0</v>
      </c>
      <c r="D9" s="125">
        <v>44378</v>
      </c>
      <c r="E9" s="125">
        <v>44742</v>
      </c>
      <c r="F9" s="68">
        <v>42</v>
      </c>
      <c r="G9" s="126">
        <v>38259</v>
      </c>
      <c r="H9" s="127">
        <v>35602</v>
      </c>
      <c r="I9" s="127">
        <v>1401</v>
      </c>
      <c r="J9" s="127">
        <v>1256</v>
      </c>
      <c r="K9" s="68">
        <v>109</v>
      </c>
      <c r="L9" s="70">
        <v>3114685</v>
      </c>
      <c r="M9" s="70">
        <v>18247745.332166139</v>
      </c>
      <c r="N9" s="128">
        <v>1.1252095156794586</v>
      </c>
      <c r="O9" s="70">
        <v>20532536.687448762</v>
      </c>
      <c r="P9" s="70">
        <v>156047.27882461061</v>
      </c>
      <c r="Q9" s="70">
        <v>15113921.667833861</v>
      </c>
      <c r="R9" s="128">
        <v>1.1475217913365015</v>
      </c>
      <c r="S9" s="92">
        <v>1061</v>
      </c>
      <c r="T9" s="70">
        <v>1061</v>
      </c>
      <c r="U9" s="70">
        <v>17326493.718745999</v>
      </c>
      <c r="V9" s="70">
        <v>40973715.406194761</v>
      </c>
      <c r="W9" s="70">
        <v>0.45</v>
      </c>
      <c r="X9" s="70">
        <v>4.0787077243161241</v>
      </c>
      <c r="Y9" s="92" t="s">
        <v>452</v>
      </c>
      <c r="Z9" s="70">
        <v>1075.4849639305619</v>
      </c>
      <c r="AA9" s="129">
        <v>0.96717112313442588</v>
      </c>
      <c r="AB9" s="70">
        <v>1075.4849639305619</v>
      </c>
      <c r="AC9" s="70">
        <v>771.22</v>
      </c>
      <c r="AD9" s="70" t="s">
        <v>452</v>
      </c>
      <c r="AE9" s="70" t="s">
        <v>452</v>
      </c>
      <c r="AF9" s="70">
        <v>704.86</v>
      </c>
      <c r="AG9" s="70">
        <v>771.22</v>
      </c>
      <c r="AH9" s="70">
        <v>761.45</v>
      </c>
    </row>
    <row r="10" spans="1:35" x14ac:dyDescent="0.45">
      <c r="A10" s="68" t="s">
        <v>9</v>
      </c>
      <c r="B10" s="68">
        <v>1396176160</v>
      </c>
      <c r="C10" s="69">
        <v>0</v>
      </c>
      <c r="D10" s="125">
        <v>44378</v>
      </c>
      <c r="E10" s="125">
        <v>44742</v>
      </c>
      <c r="F10" s="68">
        <v>42</v>
      </c>
      <c r="G10" s="126">
        <v>45263</v>
      </c>
      <c r="H10" s="127">
        <v>38896</v>
      </c>
      <c r="I10" s="127">
        <v>2806</v>
      </c>
      <c r="J10" s="127">
        <v>3561</v>
      </c>
      <c r="K10" s="68">
        <v>146</v>
      </c>
      <c r="L10" s="70">
        <v>50069</v>
      </c>
      <c r="M10" s="70">
        <v>13953758.908960382</v>
      </c>
      <c r="N10" s="128">
        <v>1.1252095156794586</v>
      </c>
      <c r="O10" s="70">
        <v>15700902.303859241</v>
      </c>
      <c r="P10" s="70">
        <v>119326.85750933024</v>
      </c>
      <c r="Q10" s="70">
        <v>11557374.091039618</v>
      </c>
      <c r="R10" s="128">
        <v>1.1475217913365015</v>
      </c>
      <c r="S10" s="92">
        <v>1061</v>
      </c>
      <c r="T10" s="70">
        <v>1061</v>
      </c>
      <c r="U10" s="70">
        <v>13239486.609487081</v>
      </c>
      <c r="V10" s="70">
        <v>28990457.91334632</v>
      </c>
      <c r="W10" s="70">
        <v>0.45</v>
      </c>
      <c r="X10" s="70">
        <v>2.6363002343929973</v>
      </c>
      <c r="Y10" s="70" t="s">
        <v>452</v>
      </c>
      <c r="Z10" s="70">
        <v>643.57539537493437</v>
      </c>
      <c r="AA10" s="129">
        <v>0.92132646974349908</v>
      </c>
      <c r="AB10" s="70">
        <v>643.57539537493437</v>
      </c>
      <c r="AC10" s="70">
        <v>643.57539537493437</v>
      </c>
      <c r="AD10" s="70" t="s">
        <v>452</v>
      </c>
      <c r="AE10" s="70" t="s">
        <v>452</v>
      </c>
      <c r="AF10" s="70">
        <v>633.23119403643966</v>
      </c>
      <c r="AG10" s="70">
        <v>643.57539537493437</v>
      </c>
      <c r="AH10" s="70">
        <v>633.80539537493439</v>
      </c>
    </row>
    <row r="11" spans="1:35" x14ac:dyDescent="0.45">
      <c r="A11" s="68" t="s">
        <v>10</v>
      </c>
      <c r="B11" s="68">
        <v>1891759502</v>
      </c>
      <c r="C11" s="69" t="s">
        <v>93</v>
      </c>
      <c r="D11" s="125">
        <v>44562</v>
      </c>
      <c r="E11" s="125">
        <v>44926</v>
      </c>
      <c r="F11" s="68">
        <v>36</v>
      </c>
      <c r="G11" s="126">
        <v>14466</v>
      </c>
      <c r="H11" s="127">
        <v>13130</v>
      </c>
      <c r="I11" s="127">
        <v>14</v>
      </c>
      <c r="J11" s="127">
        <v>1322</v>
      </c>
      <c r="K11" s="68">
        <v>48</v>
      </c>
      <c r="L11" s="70">
        <v>392163</v>
      </c>
      <c r="M11" s="70">
        <v>6459188.180625842</v>
      </c>
      <c r="N11" s="128">
        <v>1.1124956485930844</v>
      </c>
      <c r="O11" s="70">
        <v>7185818.744390131</v>
      </c>
      <c r="P11" s="70">
        <v>54612.222457364995</v>
      </c>
      <c r="Q11" s="70">
        <v>5349902.819374158</v>
      </c>
      <c r="R11" s="128">
        <v>1.095819697808702</v>
      </c>
      <c r="S11" s="92">
        <v>1061</v>
      </c>
      <c r="T11" s="70">
        <v>1061</v>
      </c>
      <c r="U11" s="70">
        <v>5857648.9852625113</v>
      </c>
      <c r="V11" s="70">
        <v>13435630.729652643</v>
      </c>
      <c r="W11" s="70">
        <v>0.45</v>
      </c>
      <c r="X11" s="70">
        <v>3.7752123916331395</v>
      </c>
      <c r="Y11" s="70" t="s">
        <v>452</v>
      </c>
      <c r="Z11" s="70">
        <v>932.99824776095727</v>
      </c>
      <c r="AA11" s="129">
        <v>0.90861330015208075</v>
      </c>
      <c r="AB11" s="70">
        <v>932.99824776095727</v>
      </c>
      <c r="AC11" s="70">
        <v>771.22</v>
      </c>
      <c r="AD11" s="70">
        <v>771.22</v>
      </c>
      <c r="AE11" s="70">
        <v>705.62139420257563</v>
      </c>
      <c r="AF11" s="70">
        <v>704.86</v>
      </c>
      <c r="AG11" s="70">
        <v>771.22</v>
      </c>
      <c r="AH11" s="70">
        <v>761.45</v>
      </c>
    </row>
    <row r="12" spans="1:35" x14ac:dyDescent="0.45">
      <c r="A12" s="68" t="s">
        <v>11</v>
      </c>
      <c r="B12" s="68">
        <v>1073553756</v>
      </c>
      <c r="C12" s="69" t="s">
        <v>93</v>
      </c>
      <c r="D12" s="125">
        <v>44378</v>
      </c>
      <c r="E12" s="125">
        <v>44742</v>
      </c>
      <c r="F12" s="68">
        <v>42</v>
      </c>
      <c r="G12" s="126">
        <v>4312</v>
      </c>
      <c r="H12" s="127">
        <v>0</v>
      </c>
      <c r="I12" s="127">
        <v>0</v>
      </c>
      <c r="J12" s="127">
        <v>4312</v>
      </c>
      <c r="K12" s="68">
        <v>21</v>
      </c>
      <c r="L12" s="70">
        <v>162872</v>
      </c>
      <c r="M12" s="70">
        <v>2068233.1831738462</v>
      </c>
      <c r="N12" s="128">
        <v>1.1252095156794586</v>
      </c>
      <c r="O12" s="70">
        <v>2327195.6583512286</v>
      </c>
      <c r="P12" s="70">
        <v>17686.687003469338</v>
      </c>
      <c r="Q12" s="70">
        <v>1713039.8168261538</v>
      </c>
      <c r="R12" s="128">
        <v>1.1475217913365015</v>
      </c>
      <c r="S12" s="92">
        <v>1061</v>
      </c>
      <c r="T12" s="70">
        <v>1061</v>
      </c>
      <c r="U12" s="70">
        <v>1962463.5862023318</v>
      </c>
      <c r="V12" s="70">
        <v>4452531.2445535604</v>
      </c>
      <c r="W12" s="70">
        <v>0.45</v>
      </c>
      <c r="X12" s="70">
        <v>4.1017363180587516</v>
      </c>
      <c r="Y12" s="70" t="s">
        <v>452</v>
      </c>
      <c r="Z12" s="70">
        <v>1037.1424702126694</v>
      </c>
      <c r="AA12" s="129">
        <v>0</v>
      </c>
      <c r="AB12" s="70" t="s">
        <v>452</v>
      </c>
      <c r="AC12" s="70">
        <v>771.22</v>
      </c>
      <c r="AD12" s="70" t="s">
        <v>452</v>
      </c>
      <c r="AE12" s="70">
        <v>705.62139420257563</v>
      </c>
      <c r="AF12" s="70">
        <v>704.86</v>
      </c>
      <c r="AG12" s="70">
        <v>771.22</v>
      </c>
      <c r="AH12" s="70">
        <v>761.45</v>
      </c>
    </row>
    <row r="13" spans="1:35" x14ac:dyDescent="0.45">
      <c r="A13" s="68" t="s">
        <v>12</v>
      </c>
      <c r="B13" s="68">
        <v>1467560599</v>
      </c>
      <c r="C13" s="69">
        <v>0</v>
      </c>
      <c r="D13" s="125">
        <v>44562</v>
      </c>
      <c r="E13" s="125">
        <v>44926</v>
      </c>
      <c r="F13" s="68">
        <v>36</v>
      </c>
      <c r="G13" s="126">
        <v>54323</v>
      </c>
      <c r="H13" s="127">
        <v>40810</v>
      </c>
      <c r="I13" s="127">
        <v>3267</v>
      </c>
      <c r="J13" s="127">
        <v>10246</v>
      </c>
      <c r="K13" s="68">
        <v>171</v>
      </c>
      <c r="L13" s="70">
        <v>697183</v>
      </c>
      <c r="M13" s="70">
        <v>20606020.029535856</v>
      </c>
      <c r="N13" s="128">
        <v>1.1124956485930844</v>
      </c>
      <c r="O13" s="70">
        <v>22924107.617680579</v>
      </c>
      <c r="P13" s="70">
        <v>174223.21789437241</v>
      </c>
      <c r="Q13" s="70">
        <v>17067191.970464144</v>
      </c>
      <c r="R13" s="128">
        <v>1.095819697808702</v>
      </c>
      <c r="S13" s="92">
        <v>1061</v>
      </c>
      <c r="T13" s="70">
        <v>1061</v>
      </c>
      <c r="U13" s="70">
        <v>18685180.483923994</v>
      </c>
      <c r="V13" s="70">
        <v>42306471.101604573</v>
      </c>
      <c r="W13" s="70">
        <v>0.45</v>
      </c>
      <c r="X13" s="70">
        <v>3.2071722455382141</v>
      </c>
      <c r="Y13" s="70" t="s">
        <v>452</v>
      </c>
      <c r="Z13" s="70">
        <v>782.45199398963518</v>
      </c>
      <c r="AA13" s="129">
        <v>0.81138744178340672</v>
      </c>
      <c r="AB13" s="70">
        <v>782.45199398963518</v>
      </c>
      <c r="AC13" s="70">
        <v>771.22</v>
      </c>
      <c r="AD13" s="70" t="s">
        <v>452</v>
      </c>
      <c r="AE13" s="70" t="s">
        <v>452</v>
      </c>
      <c r="AF13" s="70">
        <v>704.86</v>
      </c>
      <c r="AG13" s="70">
        <v>771.22</v>
      </c>
      <c r="AH13" s="70">
        <v>761.45</v>
      </c>
    </row>
    <row r="14" spans="1:35" x14ac:dyDescent="0.45">
      <c r="A14" s="68" t="s">
        <v>13</v>
      </c>
      <c r="B14" s="68">
        <v>1215095419</v>
      </c>
      <c r="C14" s="69">
        <v>0</v>
      </c>
      <c r="D14" s="125">
        <v>44562</v>
      </c>
      <c r="E14" s="125">
        <v>44926</v>
      </c>
      <c r="F14" s="68">
        <v>36</v>
      </c>
      <c r="G14" s="126">
        <v>6498</v>
      </c>
      <c r="H14" s="127">
        <v>737</v>
      </c>
      <c r="I14" s="127">
        <v>1423</v>
      </c>
      <c r="J14" s="127">
        <v>4338</v>
      </c>
      <c r="K14" s="68">
        <v>29</v>
      </c>
      <c r="L14" s="70">
        <v>776147</v>
      </c>
      <c r="M14" s="70">
        <v>6031945.3557424517</v>
      </c>
      <c r="N14" s="128">
        <v>1.1124956485930844</v>
      </c>
      <c r="O14" s="70">
        <v>6710512.9608147414</v>
      </c>
      <c r="P14" s="70">
        <v>50999.898502192038</v>
      </c>
      <c r="Q14" s="70">
        <v>4996033.6442575483</v>
      </c>
      <c r="R14" s="128">
        <v>1.095819697808702</v>
      </c>
      <c r="S14" s="92">
        <v>1061</v>
      </c>
      <c r="T14" s="70">
        <v>1061</v>
      </c>
      <c r="U14" s="70">
        <v>5471803.802010539</v>
      </c>
      <c r="V14" s="70">
        <v>12958463.76282528</v>
      </c>
      <c r="W14" s="70">
        <v>0.45</v>
      </c>
      <c r="X14" s="70">
        <v>7.8485531705435578</v>
      </c>
      <c r="Y14" s="70" t="s">
        <v>452</v>
      </c>
      <c r="Z14" s="70">
        <v>2002.5219700411621</v>
      </c>
      <c r="AA14" s="129">
        <v>0.33240997229916897</v>
      </c>
      <c r="AB14" s="70">
        <v>2002.5219700411621</v>
      </c>
      <c r="AC14" s="70">
        <v>771.22</v>
      </c>
      <c r="AD14" s="70" t="s">
        <v>452</v>
      </c>
      <c r="AE14" s="70" t="s">
        <v>452</v>
      </c>
      <c r="AF14" s="70">
        <v>704.86</v>
      </c>
      <c r="AG14" s="70">
        <v>771.22</v>
      </c>
      <c r="AH14" s="70">
        <v>761.45</v>
      </c>
    </row>
    <row r="15" spans="1:35" x14ac:dyDescent="0.45">
      <c r="A15" s="68" t="s">
        <v>14</v>
      </c>
      <c r="B15" s="68">
        <v>1346250347</v>
      </c>
      <c r="C15" s="69" t="s">
        <v>93</v>
      </c>
      <c r="D15" s="125">
        <v>44378</v>
      </c>
      <c r="E15" s="125">
        <v>44742</v>
      </c>
      <c r="F15" s="68">
        <v>42</v>
      </c>
      <c r="G15" s="126">
        <v>1691</v>
      </c>
      <c r="H15" s="127">
        <v>1691</v>
      </c>
      <c r="I15" s="127">
        <v>0</v>
      </c>
      <c r="J15" s="127">
        <v>0</v>
      </c>
      <c r="K15" s="68">
        <v>4</v>
      </c>
      <c r="L15" s="70">
        <v>49312</v>
      </c>
      <c r="M15" s="70">
        <v>387580.02850643714</v>
      </c>
      <c r="N15" s="128">
        <v>1.1252095156794586</v>
      </c>
      <c r="O15" s="70">
        <v>436108.7361627589</v>
      </c>
      <c r="P15" s="70">
        <v>3314.4263948369676</v>
      </c>
      <c r="Q15" s="70">
        <v>321017.97149356286</v>
      </c>
      <c r="R15" s="128">
        <v>1.1475217913365015</v>
      </c>
      <c r="S15" s="92">
        <v>1765</v>
      </c>
      <c r="T15" s="70">
        <v>1342</v>
      </c>
      <c r="U15" s="70">
        <v>365641.61385266751</v>
      </c>
      <c r="V15" s="70">
        <v>851062.3500154264</v>
      </c>
      <c r="W15" s="70">
        <v>0.45</v>
      </c>
      <c r="X15" s="70">
        <v>1.960039263652849</v>
      </c>
      <c r="Y15" s="70" t="s">
        <v>452</v>
      </c>
      <c r="Z15" s="70">
        <v>505.69942425207768</v>
      </c>
      <c r="AA15" s="129">
        <v>1</v>
      </c>
      <c r="AB15" s="70">
        <v>505.69942425207768</v>
      </c>
      <c r="AC15" s="70">
        <v>505.69942425207768</v>
      </c>
      <c r="AD15" s="70">
        <v>505.69942425207768</v>
      </c>
      <c r="AE15" s="70">
        <v>705.62139420257563</v>
      </c>
      <c r="AF15" s="70">
        <v>704.86</v>
      </c>
      <c r="AG15" s="70">
        <v>704.86</v>
      </c>
      <c r="AH15" s="70">
        <v>695.09</v>
      </c>
    </row>
    <row r="16" spans="1:35" x14ac:dyDescent="0.45">
      <c r="A16" s="68" t="s">
        <v>15</v>
      </c>
      <c r="B16" s="68">
        <v>1477672665</v>
      </c>
      <c r="C16" s="69">
        <v>0</v>
      </c>
      <c r="D16" s="125">
        <v>44440</v>
      </c>
      <c r="E16" s="125">
        <v>44804</v>
      </c>
      <c r="F16" s="68">
        <v>40</v>
      </c>
      <c r="G16" s="126">
        <v>8907</v>
      </c>
      <c r="H16" s="127">
        <v>0</v>
      </c>
      <c r="I16" s="127">
        <v>0</v>
      </c>
      <c r="J16" s="127">
        <v>8907</v>
      </c>
      <c r="K16" s="68">
        <v>27</v>
      </c>
      <c r="L16" s="70">
        <v>247225</v>
      </c>
      <c r="M16" s="70">
        <v>4297771.9848038619</v>
      </c>
      <c r="N16" s="128">
        <v>1.116450240316373</v>
      </c>
      <c r="O16" s="70">
        <v>4798248.5652592471</v>
      </c>
      <c r="P16" s="70">
        <v>36466.68909597028</v>
      </c>
      <c r="Q16" s="70">
        <v>3559683.0151961381</v>
      </c>
      <c r="R16" s="128">
        <v>1.1275854667400991</v>
      </c>
      <c r="S16" s="92">
        <v>1061</v>
      </c>
      <c r="T16" s="70">
        <v>1061</v>
      </c>
      <c r="U16" s="70">
        <v>4010191.8932710369</v>
      </c>
      <c r="V16" s="70">
        <v>9055665.4585302845</v>
      </c>
      <c r="W16" s="70">
        <v>0.45</v>
      </c>
      <c r="X16" s="70">
        <v>4.0941606709296376</v>
      </c>
      <c r="Y16" s="70" t="s">
        <v>452</v>
      </c>
      <c r="Z16" s="70">
        <v>1021.23501713554</v>
      </c>
      <c r="AA16" s="129">
        <v>0</v>
      </c>
      <c r="AB16" s="70" t="s">
        <v>452</v>
      </c>
      <c r="AC16" s="70">
        <v>771.22</v>
      </c>
      <c r="AD16" s="70" t="s">
        <v>452</v>
      </c>
      <c r="AE16" s="70" t="s">
        <v>452</v>
      </c>
      <c r="AF16" s="70">
        <v>704.86</v>
      </c>
      <c r="AG16" s="70">
        <v>771.22</v>
      </c>
      <c r="AH16" s="70">
        <v>761.45</v>
      </c>
    </row>
    <row r="17" spans="1:35" x14ac:dyDescent="0.45">
      <c r="A17" s="68" t="s">
        <v>16</v>
      </c>
      <c r="B17" s="68">
        <v>1801452941</v>
      </c>
      <c r="C17" s="69" t="s">
        <v>93</v>
      </c>
      <c r="D17" s="125">
        <v>44562</v>
      </c>
      <c r="E17" s="125">
        <v>44926</v>
      </c>
      <c r="F17" s="68">
        <v>36</v>
      </c>
      <c r="G17" s="126">
        <v>14666</v>
      </c>
      <c r="H17" s="127">
        <v>8636</v>
      </c>
      <c r="I17" s="127">
        <v>0</v>
      </c>
      <c r="J17" s="127">
        <v>6030</v>
      </c>
      <c r="K17" s="68">
        <v>99</v>
      </c>
      <c r="L17" s="70">
        <v>31848</v>
      </c>
      <c r="M17" s="70">
        <v>4019344.777062858</v>
      </c>
      <c r="N17" s="128">
        <v>1.1124956485930844</v>
      </c>
      <c r="O17" s="70">
        <v>4471503.57467777</v>
      </c>
      <c r="P17" s="70">
        <v>33983.427167551054</v>
      </c>
      <c r="Q17" s="70">
        <v>3329072.222937142</v>
      </c>
      <c r="R17" s="128">
        <v>1.095819697808702</v>
      </c>
      <c r="S17" s="92">
        <v>1061</v>
      </c>
      <c r="T17" s="70">
        <v>1061</v>
      </c>
      <c r="U17" s="70">
        <v>3637998.1120841946</v>
      </c>
      <c r="V17" s="70">
        <v>8141349.6867619641</v>
      </c>
      <c r="W17" s="70">
        <v>0.45</v>
      </c>
      <c r="X17" s="70">
        <v>2.3171571776592836</v>
      </c>
      <c r="Y17" s="70" t="s">
        <v>452</v>
      </c>
      <c r="Z17" s="70">
        <v>557.88441387764328</v>
      </c>
      <c r="AA17" s="129">
        <v>0.58884494749761351</v>
      </c>
      <c r="AB17" s="70">
        <v>557.88441387764328</v>
      </c>
      <c r="AC17" s="70">
        <v>557.88441387764328</v>
      </c>
      <c r="AD17" s="70">
        <v>557.88441387764328</v>
      </c>
      <c r="AE17" s="70">
        <v>705.62139420257563</v>
      </c>
      <c r="AF17" s="70">
        <v>557.88</v>
      </c>
      <c r="AG17" s="70">
        <v>557.88441387764328</v>
      </c>
      <c r="AH17" s="70">
        <v>548.1144138776433</v>
      </c>
    </row>
    <row r="18" spans="1:35" x14ac:dyDescent="0.45">
      <c r="A18" s="68" t="s">
        <v>17</v>
      </c>
      <c r="B18" s="68">
        <v>1215476734</v>
      </c>
      <c r="C18" s="69" t="s">
        <v>93</v>
      </c>
      <c r="D18" s="125">
        <v>44562</v>
      </c>
      <c r="E18" s="125">
        <v>44926</v>
      </c>
      <c r="F18" s="68">
        <v>36</v>
      </c>
      <c r="G18" s="126">
        <v>1645</v>
      </c>
      <c r="H18" s="127">
        <v>557</v>
      </c>
      <c r="I18" s="127">
        <v>0</v>
      </c>
      <c r="J18" s="127">
        <v>1088</v>
      </c>
      <c r="K18" s="68">
        <v>6</v>
      </c>
      <c r="L18" s="70">
        <v>0</v>
      </c>
      <c r="M18" s="70">
        <v>225738.92893416531</v>
      </c>
      <c r="N18" s="128">
        <v>1.1124956485930844</v>
      </c>
      <c r="O18" s="70">
        <v>251133.57615732242</v>
      </c>
      <c r="P18" s="70">
        <v>1908.6151787956503</v>
      </c>
      <c r="Q18" s="70">
        <v>186971.07106583469</v>
      </c>
      <c r="R18" s="128">
        <v>1.095819697808702</v>
      </c>
      <c r="S18" s="92">
        <v>1061</v>
      </c>
      <c r="T18" s="70">
        <v>1061</v>
      </c>
      <c r="U18" s="70">
        <v>204276.59439808212</v>
      </c>
      <c r="V18" s="70">
        <v>455410.1705554045</v>
      </c>
      <c r="W18" s="70">
        <v>0.45</v>
      </c>
      <c r="X18" s="70">
        <v>1.1602523883256233</v>
      </c>
      <c r="Y18" s="70" t="s">
        <v>452</v>
      </c>
      <c r="Z18" s="70">
        <v>278.45534087185416</v>
      </c>
      <c r="AA18" s="129">
        <v>0</v>
      </c>
      <c r="AB18" s="70" t="s">
        <v>452</v>
      </c>
      <c r="AC18" s="70">
        <v>278.45534087185416</v>
      </c>
      <c r="AD18" s="70" t="s">
        <v>452</v>
      </c>
      <c r="AE18" s="70">
        <v>705.62139420257563</v>
      </c>
      <c r="AF18" s="70">
        <v>636.04</v>
      </c>
      <c r="AG18" s="70">
        <v>636.04</v>
      </c>
      <c r="AH18" s="70">
        <v>626.27</v>
      </c>
    </row>
    <row r="19" spans="1:35" x14ac:dyDescent="0.45">
      <c r="A19" s="68" t="s">
        <v>18</v>
      </c>
      <c r="B19" s="68">
        <v>1235290818</v>
      </c>
      <c r="C19" s="69">
        <v>0</v>
      </c>
      <c r="D19" s="125">
        <v>44562</v>
      </c>
      <c r="E19" s="125">
        <v>44926</v>
      </c>
      <c r="F19" s="68">
        <v>36</v>
      </c>
      <c r="G19" s="126">
        <v>31139</v>
      </c>
      <c r="H19" s="127">
        <v>0</v>
      </c>
      <c r="I19" s="127">
        <v>0</v>
      </c>
      <c r="J19" s="127">
        <v>31139</v>
      </c>
      <c r="K19" s="68">
        <v>88</v>
      </c>
      <c r="L19" s="70">
        <v>525705</v>
      </c>
      <c r="M19" s="70">
        <v>14659987.942300461</v>
      </c>
      <c r="N19" s="128">
        <v>1.1124956485930844</v>
      </c>
      <c r="O19" s="70">
        <v>16309172.794236347</v>
      </c>
      <c r="P19" s="70">
        <v>123949.71323619624</v>
      </c>
      <c r="Q19" s="70">
        <v>12142317.057699539</v>
      </c>
      <c r="R19" s="128">
        <v>1.095819697808702</v>
      </c>
      <c r="S19" s="92">
        <v>1061</v>
      </c>
      <c r="T19" s="70">
        <v>1061</v>
      </c>
      <c r="U19" s="70">
        <v>13296843.715320753</v>
      </c>
      <c r="V19" s="70">
        <v>30131721.509557098</v>
      </c>
      <c r="W19" s="70">
        <v>0.45</v>
      </c>
      <c r="X19" s="70">
        <v>3.9805296649281043</v>
      </c>
      <c r="Y19" s="70" t="s">
        <v>452</v>
      </c>
      <c r="Z19" s="70">
        <v>972.08271854565965</v>
      </c>
      <c r="AA19" s="129">
        <v>0</v>
      </c>
      <c r="AB19" s="70" t="s">
        <v>452</v>
      </c>
      <c r="AC19" s="70">
        <v>771.22</v>
      </c>
      <c r="AD19" s="70" t="s">
        <v>452</v>
      </c>
      <c r="AE19" s="70" t="s">
        <v>452</v>
      </c>
      <c r="AF19" s="70">
        <v>704.86</v>
      </c>
      <c r="AG19" s="70">
        <v>771.22</v>
      </c>
      <c r="AH19" s="70">
        <v>761.45</v>
      </c>
    </row>
    <row r="20" spans="1:35" x14ac:dyDescent="0.45">
      <c r="A20" s="68" t="s">
        <v>19</v>
      </c>
      <c r="B20" s="68">
        <v>1295816569</v>
      </c>
      <c r="C20" s="69">
        <v>0</v>
      </c>
      <c r="D20" s="125">
        <v>44440</v>
      </c>
      <c r="E20" s="125">
        <v>44804</v>
      </c>
      <c r="F20" s="68">
        <v>40</v>
      </c>
      <c r="G20" s="126">
        <v>17372</v>
      </c>
      <c r="H20" s="127">
        <v>15873</v>
      </c>
      <c r="I20" s="127">
        <v>1368</v>
      </c>
      <c r="J20" s="127">
        <v>131</v>
      </c>
      <c r="K20" s="68">
        <v>58</v>
      </c>
      <c r="L20" s="70">
        <v>586086</v>
      </c>
      <c r="M20" s="70">
        <v>3809353.5874685287</v>
      </c>
      <c r="N20" s="128">
        <v>1.116450240316373</v>
      </c>
      <c r="O20" s="70">
        <v>4252953.728179276</v>
      </c>
      <c r="P20" s="70">
        <v>32322.448334162498</v>
      </c>
      <c r="Q20" s="70">
        <v>3155144.4125314713</v>
      </c>
      <c r="R20" s="128">
        <v>1.1275854667400991</v>
      </c>
      <c r="S20" s="92">
        <v>1061</v>
      </c>
      <c r="T20" s="70">
        <v>1061</v>
      </c>
      <c r="U20" s="70">
        <v>3549843.6305844625</v>
      </c>
      <c r="V20" s="70">
        <v>8388883.3587637395</v>
      </c>
      <c r="W20" s="70">
        <v>0.45</v>
      </c>
      <c r="X20" s="70">
        <v>1.8606060519319882</v>
      </c>
      <c r="Y20" s="70" t="s">
        <v>452</v>
      </c>
      <c r="Z20" s="70">
        <v>485.20741463837794</v>
      </c>
      <c r="AA20" s="129">
        <v>0.9924591296338936</v>
      </c>
      <c r="AB20" s="70">
        <v>485.20741463837794</v>
      </c>
      <c r="AC20" s="70">
        <v>485.20741463837794</v>
      </c>
      <c r="AD20" s="70" t="s">
        <v>452</v>
      </c>
      <c r="AE20" s="70" t="s">
        <v>452</v>
      </c>
      <c r="AF20" s="70">
        <v>461.70224815579235</v>
      </c>
      <c r="AG20" s="70">
        <v>485.20741463837794</v>
      </c>
      <c r="AH20" s="70">
        <v>475.43741463837796</v>
      </c>
    </row>
    <row r="21" spans="1:35" x14ac:dyDescent="0.45">
      <c r="A21" s="68" t="s">
        <v>20</v>
      </c>
      <c r="B21" s="68">
        <v>1033247622</v>
      </c>
      <c r="C21" s="69">
        <v>0</v>
      </c>
      <c r="D21" s="125">
        <v>44562</v>
      </c>
      <c r="E21" s="125">
        <v>44926</v>
      </c>
      <c r="F21" s="68">
        <v>36</v>
      </c>
      <c r="G21" s="126">
        <v>16347</v>
      </c>
      <c r="H21" s="127">
        <v>0</v>
      </c>
      <c r="I21" s="127">
        <v>0</v>
      </c>
      <c r="J21" s="127">
        <v>16347</v>
      </c>
      <c r="K21" s="68">
        <v>51</v>
      </c>
      <c r="L21" s="70">
        <v>304537</v>
      </c>
      <c r="M21" s="70">
        <v>8545679.1366857886</v>
      </c>
      <c r="N21" s="128">
        <v>1.1124956485930844</v>
      </c>
      <c r="O21" s="70">
        <v>9507030.8538356461</v>
      </c>
      <c r="P21" s="70">
        <v>72253.43448915091</v>
      </c>
      <c r="Q21" s="70">
        <v>7078064.8633142114</v>
      </c>
      <c r="R21" s="128">
        <v>1.095819697808702</v>
      </c>
      <c r="S21" s="92">
        <v>1061</v>
      </c>
      <c r="T21" s="70">
        <v>1061</v>
      </c>
      <c r="U21" s="70">
        <v>7751097.9999192441</v>
      </c>
      <c r="V21" s="70">
        <v>17562665.853754889</v>
      </c>
      <c r="W21" s="70">
        <v>0.45</v>
      </c>
      <c r="X21" s="70">
        <v>4.4199813108919628</v>
      </c>
      <c r="Y21" s="70" t="s">
        <v>452</v>
      </c>
      <c r="Z21" s="70">
        <v>1079.2362781087686</v>
      </c>
      <c r="AA21" s="129">
        <v>0</v>
      </c>
      <c r="AB21" s="70" t="s">
        <v>452</v>
      </c>
      <c r="AC21" s="70">
        <v>771.22</v>
      </c>
      <c r="AD21" s="70" t="s">
        <v>452</v>
      </c>
      <c r="AE21" s="70" t="s">
        <v>452</v>
      </c>
      <c r="AF21" s="70">
        <v>704.86</v>
      </c>
      <c r="AG21" s="70">
        <v>771.22</v>
      </c>
      <c r="AH21" s="70">
        <v>761.45</v>
      </c>
    </row>
    <row r="22" spans="1:35" x14ac:dyDescent="0.45">
      <c r="A22" s="68" t="s">
        <v>21</v>
      </c>
      <c r="B22" s="68">
        <v>1104856095</v>
      </c>
      <c r="C22" s="69">
        <v>0</v>
      </c>
      <c r="D22" s="125">
        <v>44348</v>
      </c>
      <c r="E22" s="125">
        <v>44712</v>
      </c>
      <c r="F22" s="68">
        <v>43</v>
      </c>
      <c r="G22" s="126">
        <v>6386</v>
      </c>
      <c r="H22" s="127">
        <v>0</v>
      </c>
      <c r="I22" s="127">
        <v>0</v>
      </c>
      <c r="J22" s="127">
        <v>6386</v>
      </c>
      <c r="K22" s="68">
        <v>0</v>
      </c>
      <c r="L22" s="70">
        <v>356383</v>
      </c>
      <c r="M22" s="70">
        <v>3794421.3765700702</v>
      </c>
      <c r="N22" s="128">
        <v>1.1311609937635645</v>
      </c>
      <c r="O22" s="70">
        <v>4292101.4550787127</v>
      </c>
      <c r="P22" s="70">
        <v>32619.971058598217</v>
      </c>
      <c r="Q22" s="70">
        <v>3142776.6234299298</v>
      </c>
      <c r="R22" s="128">
        <v>1.1561226079310212</v>
      </c>
      <c r="S22" s="92">
        <v>1061</v>
      </c>
      <c r="T22" s="70">
        <v>1061</v>
      </c>
      <c r="U22" s="70">
        <v>3633435.1060244595</v>
      </c>
      <c r="V22" s="70">
        <v>8281919.5611031726</v>
      </c>
      <c r="W22" s="70">
        <v>0.45</v>
      </c>
      <c r="X22" s="70">
        <v>5.1080443248666176</v>
      </c>
      <c r="Y22" s="70" t="s">
        <v>452</v>
      </c>
      <c r="Z22" s="70">
        <v>1302.4449157785423</v>
      </c>
      <c r="AA22" s="129">
        <v>0</v>
      </c>
      <c r="AB22" s="70" t="s">
        <v>452</v>
      </c>
      <c r="AC22" s="70">
        <v>771.22</v>
      </c>
      <c r="AD22" s="70" t="s">
        <v>452</v>
      </c>
      <c r="AE22" s="70" t="s">
        <v>452</v>
      </c>
      <c r="AF22" s="70">
        <v>704.86</v>
      </c>
      <c r="AG22" s="70">
        <v>771.22</v>
      </c>
      <c r="AH22" s="70">
        <v>761.45</v>
      </c>
    </row>
    <row r="23" spans="1:35" x14ac:dyDescent="0.45">
      <c r="A23" s="68" t="s">
        <v>22</v>
      </c>
      <c r="B23" s="68">
        <v>1609872415</v>
      </c>
      <c r="C23" s="69" t="s">
        <v>93</v>
      </c>
      <c r="D23" s="125">
        <v>44378</v>
      </c>
      <c r="E23" s="125">
        <v>44742</v>
      </c>
      <c r="F23" s="68">
        <v>42</v>
      </c>
      <c r="G23" s="126">
        <v>18043</v>
      </c>
      <c r="H23" s="127">
        <v>17277</v>
      </c>
      <c r="I23" s="127">
        <v>34</v>
      </c>
      <c r="J23" s="127">
        <v>732</v>
      </c>
      <c r="K23" s="68">
        <v>66</v>
      </c>
      <c r="L23" s="70">
        <v>237254</v>
      </c>
      <c r="M23" s="70">
        <v>5107371.8461838216</v>
      </c>
      <c r="N23" s="128">
        <v>1.1252095156794586</v>
      </c>
      <c r="O23" s="70">
        <v>5746863.4014394004</v>
      </c>
      <c r="P23" s="70">
        <v>43676.161850939439</v>
      </c>
      <c r="Q23" s="70">
        <v>4230244.1538161784</v>
      </c>
      <c r="R23" s="128">
        <v>1.1475217913365015</v>
      </c>
      <c r="S23" s="92">
        <v>1061</v>
      </c>
      <c r="T23" s="70">
        <v>1061</v>
      </c>
      <c r="U23" s="70">
        <v>4843966.9882177738</v>
      </c>
      <c r="V23" s="70">
        <v>10828084.389657173</v>
      </c>
      <c r="W23" s="70">
        <v>0.45</v>
      </c>
      <c r="X23" s="70">
        <v>2.4206707227700184</v>
      </c>
      <c r="Y23" s="70">
        <v>0.56999999999999995</v>
      </c>
      <c r="Z23" s="70">
        <v>603.56727880663504</v>
      </c>
      <c r="AA23" s="129">
        <v>0.95943024995843262</v>
      </c>
      <c r="AB23" s="70">
        <v>603.56727880663504</v>
      </c>
      <c r="AC23" s="70">
        <v>603.56727880663504</v>
      </c>
      <c r="AD23" s="70">
        <v>603.56727880663504</v>
      </c>
      <c r="AE23" s="70">
        <v>705.62139420257563</v>
      </c>
      <c r="AF23" s="70">
        <v>504.10926761327448</v>
      </c>
      <c r="AG23" s="70">
        <v>603.56727880663504</v>
      </c>
      <c r="AH23" s="70">
        <v>593.79727880663506</v>
      </c>
    </row>
    <row r="24" spans="1:35" x14ac:dyDescent="0.45">
      <c r="A24" s="68" t="s">
        <v>23</v>
      </c>
      <c r="B24" s="68">
        <v>1962556290</v>
      </c>
      <c r="C24" s="69">
        <v>0</v>
      </c>
      <c r="D24" s="125">
        <v>44378</v>
      </c>
      <c r="E24" s="125">
        <v>44742</v>
      </c>
      <c r="F24" s="68">
        <v>42</v>
      </c>
      <c r="G24" s="126">
        <v>61905</v>
      </c>
      <c r="H24" s="127">
        <v>10263</v>
      </c>
      <c r="I24" s="127">
        <v>44051</v>
      </c>
      <c r="J24" s="127">
        <v>7591</v>
      </c>
      <c r="K24" s="68">
        <v>192</v>
      </c>
      <c r="L24" s="70">
        <v>0</v>
      </c>
      <c r="M24" s="70">
        <v>31312797.573965531</v>
      </c>
      <c r="N24" s="128">
        <v>1.1252095156794586</v>
      </c>
      <c r="O24" s="70">
        <v>35233457.792770684</v>
      </c>
      <c r="P24" s="70">
        <v>267774.27922505722</v>
      </c>
      <c r="Q24" s="70">
        <v>25935213.426034469</v>
      </c>
      <c r="R24" s="128">
        <v>1.1475217913365015</v>
      </c>
      <c r="S24" s="92">
        <v>1061</v>
      </c>
      <c r="T24" s="70">
        <v>1061</v>
      </c>
      <c r="U24" s="70">
        <v>29731170.610180814</v>
      </c>
      <c r="V24" s="70">
        <v>64964628.402951494</v>
      </c>
      <c r="W24" s="70">
        <v>0.45</v>
      </c>
      <c r="X24" s="70">
        <v>4.3255678737591019</v>
      </c>
      <c r="Y24" s="70" t="s">
        <v>452</v>
      </c>
      <c r="Z24" s="70">
        <v>1054.2001442884509</v>
      </c>
      <c r="AA24" s="129">
        <v>0</v>
      </c>
      <c r="AB24" s="70" t="s">
        <v>452</v>
      </c>
      <c r="AC24" s="70">
        <v>771.22</v>
      </c>
      <c r="AD24" s="70" t="s">
        <v>452</v>
      </c>
      <c r="AE24" s="70" t="s">
        <v>452</v>
      </c>
      <c r="AF24" s="70">
        <v>741.93</v>
      </c>
      <c r="AG24" s="70">
        <v>814.98</v>
      </c>
      <c r="AH24" s="70">
        <v>805.21</v>
      </c>
      <c r="AI24" s="2">
        <v>43.76</v>
      </c>
    </row>
    <row r="25" spans="1:35" x14ac:dyDescent="0.45">
      <c r="A25" s="68" t="s">
        <v>24</v>
      </c>
      <c r="B25" s="68">
        <v>1619141298</v>
      </c>
      <c r="C25" s="69">
        <v>0</v>
      </c>
      <c r="D25" s="125">
        <v>44562</v>
      </c>
      <c r="E25" s="125">
        <v>44926</v>
      </c>
      <c r="F25" s="68">
        <v>36</v>
      </c>
      <c r="G25" s="126">
        <v>9122</v>
      </c>
      <c r="H25" s="127">
        <v>0</v>
      </c>
      <c r="I25" s="127">
        <v>0</v>
      </c>
      <c r="J25" s="127">
        <v>9122</v>
      </c>
      <c r="K25" s="68">
        <v>28</v>
      </c>
      <c r="L25" s="70">
        <v>387518</v>
      </c>
      <c r="M25" s="70">
        <v>5622764.4894044427</v>
      </c>
      <c r="N25" s="128">
        <v>1.1124956485930844</v>
      </c>
      <c r="O25" s="70">
        <v>6255301.0275261579</v>
      </c>
      <c r="P25" s="70">
        <v>47540.287809198802</v>
      </c>
      <c r="Q25" s="70">
        <v>4657124.5105955573</v>
      </c>
      <c r="R25" s="128">
        <v>1.095819697808702</v>
      </c>
      <c r="S25" s="92">
        <v>1765</v>
      </c>
      <c r="T25" s="70">
        <v>1342</v>
      </c>
      <c r="U25" s="70">
        <v>5086789.3643926168</v>
      </c>
      <c r="V25" s="70">
        <v>11729608.391918775</v>
      </c>
      <c r="W25" s="70">
        <v>0.45</v>
      </c>
      <c r="X25" s="70">
        <v>5.2116079597893883</v>
      </c>
      <c r="Y25" s="70" t="s">
        <v>452</v>
      </c>
      <c r="Z25" s="70">
        <v>1291.5208923183484</v>
      </c>
      <c r="AA25" s="129">
        <v>0</v>
      </c>
      <c r="AB25" s="70" t="s">
        <v>452</v>
      </c>
      <c r="AC25" s="70">
        <v>771.22</v>
      </c>
      <c r="AD25" s="70" t="s">
        <v>452</v>
      </c>
      <c r="AE25" s="70" t="s">
        <v>452</v>
      </c>
      <c r="AF25" s="70">
        <v>704.86</v>
      </c>
      <c r="AG25" s="70">
        <v>771.22</v>
      </c>
      <c r="AH25" s="70">
        <v>761.45</v>
      </c>
    </row>
    <row r="26" spans="1:35" x14ac:dyDescent="0.45">
      <c r="A26" s="68" t="s">
        <v>25</v>
      </c>
      <c r="B26" s="68">
        <v>1225228646</v>
      </c>
      <c r="C26" s="69" t="s">
        <v>93</v>
      </c>
      <c r="D26" s="125">
        <v>44470</v>
      </c>
      <c r="E26" s="125">
        <v>44834</v>
      </c>
      <c r="F26" s="68">
        <v>39</v>
      </c>
      <c r="G26" s="126">
        <v>11973</v>
      </c>
      <c r="H26" s="127">
        <v>170</v>
      </c>
      <c r="I26" s="127">
        <v>2808</v>
      </c>
      <c r="J26" s="127">
        <v>8995</v>
      </c>
      <c r="K26" s="68">
        <v>48</v>
      </c>
      <c r="L26" s="70">
        <v>150368</v>
      </c>
      <c r="M26" s="70">
        <v>3733989.1328584561</v>
      </c>
      <c r="N26" s="128">
        <v>1.116553129176213</v>
      </c>
      <c r="O26" s="70">
        <v>4169197.2506030831</v>
      </c>
      <c r="P26" s="70">
        <v>31685.89910458343</v>
      </c>
      <c r="Q26" s="70">
        <v>3092722.8671415439</v>
      </c>
      <c r="R26" s="128">
        <v>1.1172366883148797</v>
      </c>
      <c r="S26" s="92">
        <v>1061</v>
      </c>
      <c r="T26" s="70">
        <v>1061</v>
      </c>
      <c r="U26" s="70">
        <v>3449332.8238984179</v>
      </c>
      <c r="V26" s="70">
        <v>7768898.0745015014</v>
      </c>
      <c r="W26" s="70">
        <v>0.45</v>
      </c>
      <c r="X26" s="70">
        <v>2.6464460957640883</v>
      </c>
      <c r="Y26" s="70" t="s">
        <v>452</v>
      </c>
      <c r="Z26" s="70">
        <v>651.96457225474694</v>
      </c>
      <c r="AA26" s="129">
        <v>0.24872630084356467</v>
      </c>
      <c r="AB26" s="70">
        <v>651.96457225474694</v>
      </c>
      <c r="AC26" s="70">
        <v>651.96457225474694</v>
      </c>
      <c r="AD26" s="70">
        <v>651.96457225474694</v>
      </c>
      <c r="AE26" s="70">
        <v>705.62139420257563</v>
      </c>
      <c r="AF26" s="70">
        <v>640.32722117642709</v>
      </c>
      <c r="AG26" s="70">
        <v>651.96457225474694</v>
      </c>
      <c r="AH26" s="70">
        <v>642.19457225474696</v>
      </c>
    </row>
    <row r="27" spans="1:35" x14ac:dyDescent="0.45">
      <c r="A27" s="68" t="s">
        <v>26</v>
      </c>
      <c r="B27" s="68">
        <v>1417930249</v>
      </c>
      <c r="C27" s="69">
        <v>0</v>
      </c>
      <c r="D27" s="125">
        <v>44470</v>
      </c>
      <c r="E27" s="125">
        <v>44834</v>
      </c>
      <c r="F27" s="68">
        <v>39</v>
      </c>
      <c r="G27" s="126">
        <v>6725</v>
      </c>
      <c r="H27" s="127">
        <v>680</v>
      </c>
      <c r="I27" s="127">
        <v>577</v>
      </c>
      <c r="J27" s="127">
        <v>5468</v>
      </c>
      <c r="K27" s="68">
        <v>30</v>
      </c>
      <c r="L27" s="70">
        <v>676926</v>
      </c>
      <c r="M27" s="70">
        <v>3094687.5814871043</v>
      </c>
      <c r="N27" s="128">
        <v>1.116553129176213</v>
      </c>
      <c r="O27" s="70">
        <v>3455383.1029321929</v>
      </c>
      <c r="P27" s="70">
        <v>26260.911582284665</v>
      </c>
      <c r="Q27" s="70">
        <v>2563213.4185128957</v>
      </c>
      <c r="R27" s="128">
        <v>1.1172366883148797</v>
      </c>
      <c r="S27" s="92">
        <v>1061</v>
      </c>
      <c r="T27" s="70">
        <v>1061</v>
      </c>
      <c r="U27" s="70">
        <v>2859984.4273545467</v>
      </c>
      <c r="V27" s="70">
        <v>6992293.5302867396</v>
      </c>
      <c r="W27" s="70">
        <v>0.45</v>
      </c>
      <c r="X27" s="70">
        <v>3.9049682650237418</v>
      </c>
      <c r="Y27" s="70" t="s">
        <v>452</v>
      </c>
      <c r="Z27" s="70">
        <v>1044.1012181217882</v>
      </c>
      <c r="AA27" s="129">
        <v>0.18691449814126393</v>
      </c>
      <c r="AB27" s="70" t="s">
        <v>452</v>
      </c>
      <c r="AC27" s="70">
        <v>771.22</v>
      </c>
      <c r="AD27" s="70" t="s">
        <v>452</v>
      </c>
      <c r="AE27" s="70" t="s">
        <v>452</v>
      </c>
      <c r="AF27" s="70">
        <v>704.86</v>
      </c>
      <c r="AG27" s="70">
        <v>771.22</v>
      </c>
      <c r="AH27" s="70">
        <v>761.45</v>
      </c>
    </row>
    <row r="28" spans="1:35" x14ac:dyDescent="0.45">
      <c r="A28" s="68" t="s">
        <v>27</v>
      </c>
      <c r="B28" s="68">
        <v>1467585471</v>
      </c>
      <c r="C28" s="69" t="s">
        <v>93</v>
      </c>
      <c r="D28" s="125">
        <v>44378</v>
      </c>
      <c r="E28" s="125">
        <v>44742</v>
      </c>
      <c r="F28" s="68">
        <v>42</v>
      </c>
      <c r="G28" s="126">
        <v>30208</v>
      </c>
      <c r="H28" s="127">
        <v>25467</v>
      </c>
      <c r="I28" s="127">
        <v>0</v>
      </c>
      <c r="J28" s="127">
        <v>4741</v>
      </c>
      <c r="K28" s="68">
        <v>119</v>
      </c>
      <c r="L28" s="70">
        <v>137753</v>
      </c>
      <c r="M28" s="70">
        <v>11954077.154061399</v>
      </c>
      <c r="N28" s="128">
        <v>1.1252095156794586</v>
      </c>
      <c r="O28" s="70">
        <v>13450841.364916308</v>
      </c>
      <c r="P28" s="70">
        <v>102226.39437336395</v>
      </c>
      <c r="Q28" s="70">
        <v>9901112.8459386006</v>
      </c>
      <c r="R28" s="128">
        <v>1.1475217913365015</v>
      </c>
      <c r="S28" s="92">
        <v>1061</v>
      </c>
      <c r="T28" s="70">
        <v>1061</v>
      </c>
      <c r="U28" s="70">
        <v>11343116.795343954</v>
      </c>
      <c r="V28" s="70">
        <v>24931711.16026026</v>
      </c>
      <c r="W28" s="70">
        <v>0.45</v>
      </c>
      <c r="X28" s="70">
        <v>3.3840835001775669</v>
      </c>
      <c r="Y28" s="70" t="s">
        <v>452</v>
      </c>
      <c r="Z28" s="70">
        <v>829.16880146430162</v>
      </c>
      <c r="AA28" s="129">
        <v>0.84305481991525422</v>
      </c>
      <c r="AB28" s="70">
        <v>829.16880146430162</v>
      </c>
      <c r="AC28" s="70">
        <v>771.22</v>
      </c>
      <c r="AD28" s="70">
        <v>771.22</v>
      </c>
      <c r="AE28" s="70">
        <v>705.62139420257563</v>
      </c>
      <c r="AF28" s="70">
        <v>704.86</v>
      </c>
      <c r="AG28" s="70">
        <v>771.22</v>
      </c>
      <c r="AH28" s="70">
        <v>761.45</v>
      </c>
    </row>
    <row r="29" spans="1:35" x14ac:dyDescent="0.45">
      <c r="A29" s="68" t="s">
        <v>288</v>
      </c>
      <c r="B29" s="68">
        <v>1184936023</v>
      </c>
      <c r="C29" s="69">
        <v>0</v>
      </c>
      <c r="D29" s="125">
        <v>44562</v>
      </c>
      <c r="E29" s="125">
        <v>44926</v>
      </c>
      <c r="F29" s="68">
        <v>36</v>
      </c>
      <c r="G29" s="126">
        <v>10906</v>
      </c>
      <c r="H29" s="127">
        <v>0</v>
      </c>
      <c r="I29" s="127">
        <v>509</v>
      </c>
      <c r="J29" s="127">
        <v>10397</v>
      </c>
      <c r="K29" s="68">
        <v>90</v>
      </c>
      <c r="L29" s="70">
        <v>394004</v>
      </c>
      <c r="M29" s="70">
        <v>2848775.3997193514</v>
      </c>
      <c r="N29" s="128">
        <v>1.1124956485930844</v>
      </c>
      <c r="O29" s="70">
        <v>3169250.2360068029</v>
      </c>
      <c r="P29" s="70">
        <v>24086.301793651703</v>
      </c>
      <c r="Q29" s="70">
        <v>2359533.6002806486</v>
      </c>
      <c r="R29" s="128">
        <v>1.095819697808702</v>
      </c>
      <c r="S29" s="92">
        <v>1061</v>
      </c>
      <c r="T29" s="70">
        <v>1061</v>
      </c>
      <c r="U29" s="70">
        <v>2576473.5738852662</v>
      </c>
      <c r="V29" s="70">
        <v>6139727.8098920695</v>
      </c>
      <c r="W29" s="70">
        <v>0.45</v>
      </c>
      <c r="X29" s="70">
        <v>2.2085367498305248</v>
      </c>
      <c r="Y29" s="70" t="s">
        <v>452</v>
      </c>
      <c r="Z29" s="70">
        <v>565.62642689214385</v>
      </c>
      <c r="AA29" s="129">
        <v>4.667155694113332E-2</v>
      </c>
      <c r="AB29" s="70" t="s">
        <v>452</v>
      </c>
      <c r="AC29" s="70">
        <v>565.62642689214385</v>
      </c>
      <c r="AD29" s="70" t="s">
        <v>452</v>
      </c>
      <c r="AE29" s="70" t="s">
        <v>452</v>
      </c>
      <c r="AF29" s="70">
        <v>704.86</v>
      </c>
      <c r="AG29" s="70">
        <v>704.86</v>
      </c>
      <c r="AH29" s="70">
        <v>695.09</v>
      </c>
    </row>
    <row r="30" spans="1:35" x14ac:dyDescent="0.45">
      <c r="A30" s="68" t="s">
        <v>29</v>
      </c>
      <c r="B30" s="68">
        <v>1639565088</v>
      </c>
      <c r="C30" s="69" t="s">
        <v>93</v>
      </c>
      <c r="D30" s="125">
        <v>44348</v>
      </c>
      <c r="E30" s="125">
        <v>44712</v>
      </c>
      <c r="F30" s="68">
        <v>43</v>
      </c>
      <c r="G30" s="126">
        <v>29226</v>
      </c>
      <c r="H30" s="127">
        <v>18325</v>
      </c>
      <c r="I30" s="127">
        <v>0</v>
      </c>
      <c r="J30" s="127">
        <v>10901</v>
      </c>
      <c r="K30" s="68">
        <v>95</v>
      </c>
      <c r="L30" s="70">
        <v>254362</v>
      </c>
      <c r="M30" s="70">
        <v>6808933.9248810969</v>
      </c>
      <c r="N30" s="128">
        <v>1.1311609937635645</v>
      </c>
      <c r="O30" s="70">
        <v>7702000.4649389489</v>
      </c>
      <c r="P30" s="70">
        <v>58535.203533536012</v>
      </c>
      <c r="Q30" s="70">
        <v>5639584.0751189031</v>
      </c>
      <c r="R30" s="128">
        <v>1.1561226079310212</v>
      </c>
      <c r="S30" s="92">
        <v>1061</v>
      </c>
      <c r="T30" s="70">
        <v>1061</v>
      </c>
      <c r="U30" s="70">
        <v>6504314.2703063153</v>
      </c>
      <c r="V30" s="70">
        <v>14460676.735245265</v>
      </c>
      <c r="W30" s="70">
        <v>0.45</v>
      </c>
      <c r="X30" s="70">
        <v>2.0028469011680015</v>
      </c>
      <c r="Y30" s="70" t="s">
        <v>452</v>
      </c>
      <c r="Z30" s="70">
        <v>497.2409374796004</v>
      </c>
      <c r="AA30" s="129">
        <v>0.62701019640046529</v>
      </c>
      <c r="AB30" s="70">
        <v>497.2409374796004</v>
      </c>
      <c r="AC30" s="70">
        <v>497.2409374796004</v>
      </c>
      <c r="AD30" s="70">
        <v>497.2409374796004</v>
      </c>
      <c r="AE30" s="70">
        <v>705.62139420257563</v>
      </c>
      <c r="AF30" s="70">
        <v>423.09988587687172</v>
      </c>
      <c r="AG30" s="70">
        <v>497.2409374796004</v>
      </c>
      <c r="AH30" s="70">
        <v>487.47093747960042</v>
      </c>
    </row>
    <row r="31" spans="1:35" x14ac:dyDescent="0.45">
      <c r="A31" s="68" t="s">
        <v>30</v>
      </c>
      <c r="B31" s="68">
        <v>1336164151</v>
      </c>
      <c r="C31" s="69">
        <v>0</v>
      </c>
      <c r="D31" s="125">
        <v>44562</v>
      </c>
      <c r="E31" s="125">
        <v>44926</v>
      </c>
      <c r="F31" s="68">
        <v>36</v>
      </c>
      <c r="G31" s="126">
        <v>27755</v>
      </c>
      <c r="H31" s="127">
        <v>0</v>
      </c>
      <c r="I31" s="127">
        <v>0</v>
      </c>
      <c r="J31" s="127">
        <v>27755</v>
      </c>
      <c r="K31" s="68">
        <v>89</v>
      </c>
      <c r="L31" s="70">
        <v>418491</v>
      </c>
      <c r="M31" s="70">
        <v>12706195.661026346</v>
      </c>
      <c r="N31" s="128">
        <v>1.1124956485930844</v>
      </c>
      <c r="O31" s="70">
        <v>14135587.383064138</v>
      </c>
      <c r="P31" s="70">
        <v>107430.46411128745</v>
      </c>
      <c r="Q31" s="70">
        <v>10524064.338973654</v>
      </c>
      <c r="R31" s="128">
        <v>1.095819697808702</v>
      </c>
      <c r="S31" s="92">
        <v>1765</v>
      </c>
      <c r="T31" s="70">
        <v>1342</v>
      </c>
      <c r="U31" s="70">
        <v>11479778.166423168</v>
      </c>
      <c r="V31" s="70">
        <v>26033856.549487308</v>
      </c>
      <c r="W31" s="70">
        <v>0.45</v>
      </c>
      <c r="X31" s="70">
        <v>3.8706706579458641</v>
      </c>
      <c r="Y31" s="70" t="s">
        <v>452</v>
      </c>
      <c r="Z31" s="70">
        <v>942.30865658795165</v>
      </c>
      <c r="AA31" s="129">
        <v>0</v>
      </c>
      <c r="AB31" s="70" t="s">
        <v>452</v>
      </c>
      <c r="AC31" s="70">
        <v>771.22</v>
      </c>
      <c r="AD31" s="70" t="s">
        <v>452</v>
      </c>
      <c r="AE31" s="70" t="s">
        <v>452</v>
      </c>
      <c r="AF31" s="70">
        <v>704.86</v>
      </c>
      <c r="AG31" s="70">
        <v>771.22</v>
      </c>
      <c r="AH31" s="70">
        <v>761.45</v>
      </c>
    </row>
    <row r="32" spans="1:35" x14ac:dyDescent="0.45">
      <c r="A32" s="68" t="s">
        <v>31</v>
      </c>
      <c r="B32" s="68">
        <v>1750309837</v>
      </c>
      <c r="C32" s="69">
        <v>0</v>
      </c>
      <c r="D32" s="125">
        <v>44562</v>
      </c>
      <c r="E32" s="125">
        <v>44926</v>
      </c>
      <c r="F32" s="68">
        <v>36</v>
      </c>
      <c r="G32" s="126">
        <v>10355</v>
      </c>
      <c r="H32" s="127">
        <v>0</v>
      </c>
      <c r="I32" s="127">
        <v>0</v>
      </c>
      <c r="J32" s="127">
        <v>10355</v>
      </c>
      <c r="K32" s="68">
        <v>48</v>
      </c>
      <c r="L32" s="70">
        <v>814952</v>
      </c>
      <c r="M32" s="70">
        <v>7365586.5093806311</v>
      </c>
      <c r="N32" s="128">
        <v>1.1124956485930844</v>
      </c>
      <c r="O32" s="70">
        <v>8194182.9410218773</v>
      </c>
      <c r="P32" s="70">
        <v>62275.790351766271</v>
      </c>
      <c r="Q32" s="70">
        <v>6100638.4906193689</v>
      </c>
      <c r="R32" s="128">
        <v>1.095819697808702</v>
      </c>
      <c r="S32" s="92">
        <v>1765</v>
      </c>
      <c r="T32" s="70">
        <v>1342</v>
      </c>
      <c r="U32" s="70">
        <v>6656777.9824322993</v>
      </c>
      <c r="V32" s="70">
        <v>15665912.923454177</v>
      </c>
      <c r="W32" s="70">
        <v>0.45</v>
      </c>
      <c r="X32" s="70">
        <v>6.0140792227683511</v>
      </c>
      <c r="Y32" s="70" t="s">
        <v>452</v>
      </c>
      <c r="Z32" s="70">
        <v>1519.3479926418099</v>
      </c>
      <c r="AA32" s="129">
        <v>0</v>
      </c>
      <c r="AB32" s="70" t="s">
        <v>452</v>
      </c>
      <c r="AC32" s="70">
        <v>771.22</v>
      </c>
      <c r="AD32" s="70" t="s">
        <v>452</v>
      </c>
      <c r="AE32" s="70" t="s">
        <v>452</v>
      </c>
      <c r="AF32" s="70">
        <v>704.86</v>
      </c>
      <c r="AG32" s="70">
        <v>771.22</v>
      </c>
      <c r="AH32" s="70">
        <v>761.45</v>
      </c>
    </row>
    <row r="33" spans="1:34" x14ac:dyDescent="0.45">
      <c r="A33" s="68" t="s">
        <v>32</v>
      </c>
      <c r="B33" s="68">
        <v>1275525115</v>
      </c>
      <c r="C33" s="69">
        <v>0</v>
      </c>
      <c r="D33" s="125">
        <v>44378</v>
      </c>
      <c r="E33" s="125">
        <v>44742</v>
      </c>
      <c r="F33" s="68">
        <v>42</v>
      </c>
      <c r="G33" s="126">
        <v>119260</v>
      </c>
      <c r="H33" s="127">
        <v>85060</v>
      </c>
      <c r="I33" s="127">
        <v>2884</v>
      </c>
      <c r="J33" s="127">
        <v>31316</v>
      </c>
      <c r="K33" s="68">
        <v>362</v>
      </c>
      <c r="L33" s="70">
        <v>4447456</v>
      </c>
      <c r="M33" s="70">
        <v>35985057.374819219</v>
      </c>
      <c r="N33" s="128">
        <v>1.1252095156794586</v>
      </c>
      <c r="O33" s="70">
        <v>40490728.980417863</v>
      </c>
      <c r="P33" s="70">
        <v>307729.54025117576</v>
      </c>
      <c r="Q33" s="70">
        <v>29805070.625180781</v>
      </c>
      <c r="R33" s="128">
        <v>1.1475217913365015</v>
      </c>
      <c r="S33" s="92">
        <v>1061</v>
      </c>
      <c r="T33" s="70">
        <v>1061</v>
      </c>
      <c r="U33" s="70">
        <v>34145307.570058286</v>
      </c>
      <c r="V33" s="70">
        <v>79083492.550476149</v>
      </c>
      <c r="W33" s="70">
        <v>0.45</v>
      </c>
      <c r="X33" s="70">
        <v>2.5803248385978179</v>
      </c>
      <c r="Y33" s="70" t="s">
        <v>452</v>
      </c>
      <c r="Z33" s="70">
        <v>666.14865915417852</v>
      </c>
      <c r="AA33" s="129">
        <v>0.73741405332886134</v>
      </c>
      <c r="AB33" s="70">
        <v>666.14865915417852</v>
      </c>
      <c r="AC33" s="70">
        <v>666.14865915417852</v>
      </c>
      <c r="AD33" s="70" t="s">
        <v>452</v>
      </c>
      <c r="AE33" s="70" t="s">
        <v>452</v>
      </c>
      <c r="AF33" s="70">
        <v>681.66594362202932</v>
      </c>
      <c r="AG33" s="70">
        <v>681.66594362202932</v>
      </c>
      <c r="AH33" s="70">
        <v>671.89594362202934</v>
      </c>
    </row>
    <row r="34" spans="1:34" x14ac:dyDescent="0.45">
      <c r="A34" s="68" t="s">
        <v>33</v>
      </c>
      <c r="B34" s="68">
        <v>1841342334</v>
      </c>
      <c r="C34" s="69" t="s">
        <v>93</v>
      </c>
      <c r="D34" s="125">
        <v>44378</v>
      </c>
      <c r="E34" s="125">
        <v>44742</v>
      </c>
      <c r="F34" s="68">
        <v>42</v>
      </c>
      <c r="G34" s="126">
        <v>5484</v>
      </c>
      <c r="H34" s="127">
        <v>5375</v>
      </c>
      <c r="I34" s="127">
        <v>0</v>
      </c>
      <c r="J34" s="127">
        <v>109</v>
      </c>
      <c r="K34" s="68">
        <v>16</v>
      </c>
      <c r="L34" s="70">
        <v>116368</v>
      </c>
      <c r="M34" s="70">
        <v>1794298.7659207522</v>
      </c>
      <c r="N34" s="128">
        <v>1.1252095156794586</v>
      </c>
      <c r="O34" s="70">
        <v>2018962.0453859398</v>
      </c>
      <c r="P34" s="70">
        <v>15344.111544933143</v>
      </c>
      <c r="Q34" s="70">
        <v>1486150.2340792478</v>
      </c>
      <c r="R34" s="128">
        <v>1.1475217913365015</v>
      </c>
      <c r="S34" s="92">
        <v>1061</v>
      </c>
      <c r="T34" s="70">
        <v>1061</v>
      </c>
      <c r="U34" s="70">
        <v>1702885.448876051</v>
      </c>
      <c r="V34" s="70">
        <v>3838215.4942619912</v>
      </c>
      <c r="W34" s="70">
        <v>0.45</v>
      </c>
      <c r="X34" s="70">
        <v>2.7979780351810981</v>
      </c>
      <c r="Y34" s="70">
        <v>2.48</v>
      </c>
      <c r="Z34" s="70">
        <v>705.62139420257563</v>
      </c>
      <c r="AA34" s="129">
        <v>0.98012399708242159</v>
      </c>
      <c r="AB34" s="70">
        <v>705.62139420257563</v>
      </c>
      <c r="AC34" s="70">
        <v>705.62139420257563</v>
      </c>
      <c r="AD34" s="70">
        <v>705.62139420257563</v>
      </c>
      <c r="AE34" s="70">
        <v>705.62139420257563</v>
      </c>
      <c r="AF34" s="70">
        <v>476.34</v>
      </c>
      <c r="AG34" s="70">
        <v>705.62139420257563</v>
      </c>
      <c r="AH34" s="70">
        <v>695.85139420257565</v>
      </c>
    </row>
    <row r="35" spans="1:34" x14ac:dyDescent="0.45">
      <c r="A35" s="68" t="s">
        <v>34</v>
      </c>
      <c r="B35" s="68">
        <v>1487681631</v>
      </c>
      <c r="C35" s="69">
        <v>0</v>
      </c>
      <c r="D35" s="125">
        <v>44440</v>
      </c>
      <c r="E35" s="125">
        <v>44804</v>
      </c>
      <c r="F35" s="68">
        <v>40</v>
      </c>
      <c r="G35" s="126">
        <v>80771</v>
      </c>
      <c r="H35" s="127">
        <v>10465</v>
      </c>
      <c r="I35" s="127">
        <v>53881</v>
      </c>
      <c r="J35" s="127">
        <v>16425</v>
      </c>
      <c r="K35" s="68">
        <v>239</v>
      </c>
      <c r="L35" s="70">
        <v>3038484</v>
      </c>
      <c r="M35" s="70">
        <v>18249300.907543253</v>
      </c>
      <c r="N35" s="128">
        <v>1.116450240316373</v>
      </c>
      <c r="O35" s="70">
        <v>20374436.38383247</v>
      </c>
      <c r="P35" s="70">
        <v>154845.71651712677</v>
      </c>
      <c r="Q35" s="70">
        <v>15115210.092456747</v>
      </c>
      <c r="R35" s="128">
        <v>1.1275854667400991</v>
      </c>
      <c r="S35" s="92">
        <v>1765</v>
      </c>
      <c r="T35" s="70">
        <v>1342</v>
      </c>
      <c r="U35" s="70">
        <v>16888774.21161519</v>
      </c>
      <c r="V35" s="70">
        <v>40301694.595447659</v>
      </c>
      <c r="W35" s="70">
        <v>0.45</v>
      </c>
      <c r="X35" s="70">
        <v>1.9170954490736374</v>
      </c>
      <c r="Y35" s="70" t="s">
        <v>452</v>
      </c>
      <c r="Z35" s="70">
        <v>501.32952745372455</v>
      </c>
      <c r="AA35" s="129">
        <v>0.79664731153508062</v>
      </c>
      <c r="AB35" s="70">
        <v>501.32952745372455</v>
      </c>
      <c r="AC35" s="70">
        <v>501.32952745372455</v>
      </c>
      <c r="AD35" s="70" t="s">
        <v>452</v>
      </c>
      <c r="AE35" s="70" t="s">
        <v>452</v>
      </c>
      <c r="AF35" s="70">
        <v>563.06552878797879</v>
      </c>
      <c r="AG35" s="70">
        <v>563.06552878797879</v>
      </c>
      <c r="AH35" s="70">
        <v>553.29552878797881</v>
      </c>
    </row>
    <row r="36" spans="1:34" x14ac:dyDescent="0.45">
      <c r="A36" s="68" t="s">
        <v>35</v>
      </c>
      <c r="B36" s="68">
        <v>1093776338</v>
      </c>
      <c r="C36" s="69">
        <v>0</v>
      </c>
      <c r="D36" s="125">
        <v>44378</v>
      </c>
      <c r="E36" s="125">
        <v>44742</v>
      </c>
      <c r="F36" s="68">
        <v>42</v>
      </c>
      <c r="G36" s="126">
        <v>9342</v>
      </c>
      <c r="H36" s="127">
        <v>2019</v>
      </c>
      <c r="I36" s="127">
        <v>1171</v>
      </c>
      <c r="J36" s="127">
        <v>6152</v>
      </c>
      <c r="K36" s="68">
        <v>70</v>
      </c>
      <c r="L36" s="70">
        <v>523117</v>
      </c>
      <c r="M36" s="70">
        <v>3509356.1720721549</v>
      </c>
      <c r="N36" s="128">
        <v>1.1252095156794586</v>
      </c>
      <c r="O36" s="70">
        <v>3948760.9587240284</v>
      </c>
      <c r="P36" s="70">
        <v>30010.583286302615</v>
      </c>
      <c r="Q36" s="70">
        <v>2906667.8279278451</v>
      </c>
      <c r="R36" s="128">
        <v>1.1475217913365015</v>
      </c>
      <c r="S36" s="92">
        <v>1061</v>
      </c>
      <c r="T36" s="70">
        <v>1061</v>
      </c>
      <c r="U36" s="70">
        <v>3324508.2292813766</v>
      </c>
      <c r="V36" s="70">
        <v>7796386.1880054045</v>
      </c>
      <c r="W36" s="70">
        <v>0.45</v>
      </c>
      <c r="X36" s="70">
        <v>3.2124366609187129</v>
      </c>
      <c r="Y36" s="70" t="s">
        <v>452</v>
      </c>
      <c r="Z36" s="70">
        <v>838.21458695051456</v>
      </c>
      <c r="AA36" s="129">
        <v>0.34146863626632412</v>
      </c>
      <c r="AB36" s="70">
        <v>838.21458695051456</v>
      </c>
      <c r="AC36" s="70">
        <v>771.22</v>
      </c>
      <c r="AD36" s="70" t="s">
        <v>452</v>
      </c>
      <c r="AE36" s="70" t="s">
        <v>452</v>
      </c>
      <c r="AF36" s="70">
        <v>704.86</v>
      </c>
      <c r="AG36" s="70">
        <v>771.22</v>
      </c>
      <c r="AH36" s="70">
        <v>761.45</v>
      </c>
    </row>
    <row r="37" spans="1:34" x14ac:dyDescent="0.45">
      <c r="A37" s="68" t="s">
        <v>36</v>
      </c>
      <c r="B37" s="68">
        <v>1427049964</v>
      </c>
      <c r="C37" s="69" t="s">
        <v>93</v>
      </c>
      <c r="D37" s="125">
        <v>44378</v>
      </c>
      <c r="E37" s="125">
        <v>44742</v>
      </c>
      <c r="F37" s="68">
        <v>42</v>
      </c>
      <c r="G37" s="126">
        <v>16962</v>
      </c>
      <c r="H37" s="127">
        <v>14941</v>
      </c>
      <c r="I37" s="127">
        <v>24</v>
      </c>
      <c r="J37" s="127">
        <v>1997</v>
      </c>
      <c r="K37" s="68">
        <v>74</v>
      </c>
      <c r="L37" s="70">
        <v>344968</v>
      </c>
      <c r="M37" s="70">
        <v>3890572.7814726336</v>
      </c>
      <c r="N37" s="128">
        <v>1.1252095156794586</v>
      </c>
      <c r="O37" s="70">
        <v>4377709.5151565066</v>
      </c>
      <c r="P37" s="70">
        <v>33270.592315189453</v>
      </c>
      <c r="Q37" s="70">
        <v>3222415.2185273664</v>
      </c>
      <c r="R37" s="128">
        <v>1.1475217913365015</v>
      </c>
      <c r="S37" s="92">
        <v>1061</v>
      </c>
      <c r="T37" s="70">
        <v>1061</v>
      </c>
      <c r="U37" s="70">
        <v>3686209.1580695333</v>
      </c>
      <c r="V37" s="70">
        <v>8408886.6732260399</v>
      </c>
      <c r="W37" s="70">
        <v>0.45</v>
      </c>
      <c r="X37" s="70">
        <v>1.9614781461613875</v>
      </c>
      <c r="Y37" s="70">
        <v>1.9</v>
      </c>
      <c r="Z37" s="70">
        <v>500.06001447595969</v>
      </c>
      <c r="AA37" s="129">
        <v>0.8822662421884212</v>
      </c>
      <c r="AB37" s="70">
        <v>500.06001447595969</v>
      </c>
      <c r="AC37" s="70">
        <v>500.06001447595969</v>
      </c>
      <c r="AD37" s="70">
        <v>500.06001447595969</v>
      </c>
      <c r="AE37" s="70">
        <v>705.62139420257563</v>
      </c>
      <c r="AF37" s="70">
        <v>473.93748738419464</v>
      </c>
      <c r="AG37" s="70">
        <v>500.06001447595969</v>
      </c>
      <c r="AH37" s="70">
        <v>490.29001447595971</v>
      </c>
    </row>
    <row r="38" spans="1:34" x14ac:dyDescent="0.45">
      <c r="A38" s="68" t="s">
        <v>37</v>
      </c>
      <c r="B38" s="68">
        <v>1629240577</v>
      </c>
      <c r="C38" s="69">
        <v>0</v>
      </c>
      <c r="D38" s="125">
        <v>44440</v>
      </c>
      <c r="E38" s="125">
        <v>44804</v>
      </c>
      <c r="F38" s="68">
        <v>40</v>
      </c>
      <c r="G38" s="126">
        <v>4820</v>
      </c>
      <c r="H38" s="127">
        <v>1</v>
      </c>
      <c r="I38" s="127">
        <v>1651</v>
      </c>
      <c r="J38" s="127">
        <v>3168</v>
      </c>
      <c r="K38" s="68">
        <v>24</v>
      </c>
      <c r="L38" s="70">
        <v>178114</v>
      </c>
      <c r="M38" s="70">
        <v>1776988.8875946163</v>
      </c>
      <c r="N38" s="128">
        <v>1.116450240316373</v>
      </c>
      <c r="O38" s="70">
        <v>1983919.6705945337</v>
      </c>
      <c r="P38" s="70">
        <v>15077.789496518455</v>
      </c>
      <c r="Q38" s="70">
        <v>1471813.1124053837</v>
      </c>
      <c r="R38" s="128">
        <v>1.1275854667400991</v>
      </c>
      <c r="S38" s="92">
        <v>1061</v>
      </c>
      <c r="T38" s="70">
        <v>1061</v>
      </c>
      <c r="U38" s="70">
        <v>1656346.2389807526</v>
      </c>
      <c r="V38" s="70">
        <v>3818379.9095752863</v>
      </c>
      <c r="W38" s="70">
        <v>0.45</v>
      </c>
      <c r="X38" s="70">
        <v>3.1281720947133724</v>
      </c>
      <c r="Y38" s="70" t="s">
        <v>452</v>
      </c>
      <c r="Z38" s="70">
        <v>795.77317408128738</v>
      </c>
      <c r="AA38" s="129">
        <v>0.34273858921161826</v>
      </c>
      <c r="AB38" s="70">
        <v>795.77317408128738</v>
      </c>
      <c r="AC38" s="70">
        <v>771.22</v>
      </c>
      <c r="AD38" s="70" t="s">
        <v>452</v>
      </c>
      <c r="AE38" s="70" t="s">
        <v>452</v>
      </c>
      <c r="AF38" s="70">
        <v>704.86</v>
      </c>
      <c r="AG38" s="70">
        <v>771.22</v>
      </c>
      <c r="AH38" s="70">
        <v>761.45</v>
      </c>
    </row>
    <row r="39" spans="1:34" x14ac:dyDescent="0.45">
      <c r="A39" s="68" t="s">
        <v>38</v>
      </c>
      <c r="B39" s="68">
        <v>1417997370</v>
      </c>
      <c r="C39" s="69">
        <v>0</v>
      </c>
      <c r="D39" s="125">
        <v>44378</v>
      </c>
      <c r="E39" s="125">
        <v>44742</v>
      </c>
      <c r="F39" s="68">
        <v>42</v>
      </c>
      <c r="G39" s="126">
        <v>255427</v>
      </c>
      <c r="H39" s="127">
        <v>244323</v>
      </c>
      <c r="I39" s="127">
        <v>836</v>
      </c>
      <c r="J39" s="127">
        <v>10268</v>
      </c>
      <c r="K39" s="68">
        <v>769</v>
      </c>
      <c r="L39" s="70">
        <v>22125461</v>
      </c>
      <c r="M39" s="70">
        <v>139719071.24269816</v>
      </c>
      <c r="N39" s="128">
        <v>1.1252095156794586</v>
      </c>
      <c r="O39" s="70">
        <v>157213228.48418018</v>
      </c>
      <c r="P39" s="70">
        <v>1194820.5364797693</v>
      </c>
      <c r="Q39" s="70">
        <v>115724055.75730184</v>
      </c>
      <c r="R39" s="128">
        <v>1.1475217913365015</v>
      </c>
      <c r="S39" s="92">
        <v>1061</v>
      </c>
      <c r="T39" s="70">
        <v>1061</v>
      </c>
      <c r="U39" s="70">
        <v>132675511.40609661</v>
      </c>
      <c r="V39" s="70">
        <v>312014200.89027679</v>
      </c>
      <c r="W39" s="70">
        <v>0.45</v>
      </c>
      <c r="X39" s="70">
        <v>4.6777378134643923</v>
      </c>
      <c r="Y39" s="70" t="s">
        <v>452</v>
      </c>
      <c r="Z39" s="70">
        <v>1226.6673592719508</v>
      </c>
      <c r="AA39" s="129">
        <v>0.95980064754313366</v>
      </c>
      <c r="AB39" s="70">
        <v>1226.6673592719508</v>
      </c>
      <c r="AC39" s="70">
        <v>771.22</v>
      </c>
      <c r="AD39" s="70" t="s">
        <v>452</v>
      </c>
      <c r="AE39" s="70" t="s">
        <v>452</v>
      </c>
      <c r="AF39" s="70">
        <v>704.86</v>
      </c>
      <c r="AG39" s="70">
        <v>771.22</v>
      </c>
      <c r="AH39" s="70">
        <v>761.45</v>
      </c>
    </row>
    <row r="40" spans="1:34" x14ac:dyDescent="0.45">
      <c r="A40" s="68" t="s">
        <v>39</v>
      </c>
      <c r="B40" s="68">
        <v>1376539130</v>
      </c>
      <c r="C40" s="69" t="s">
        <v>93</v>
      </c>
      <c r="D40" s="125">
        <v>44378</v>
      </c>
      <c r="E40" s="125">
        <v>44742</v>
      </c>
      <c r="F40" s="68">
        <v>42</v>
      </c>
      <c r="G40" s="126">
        <v>29281</v>
      </c>
      <c r="H40" s="127">
        <v>950</v>
      </c>
      <c r="I40" s="127">
        <v>23797</v>
      </c>
      <c r="J40" s="127">
        <v>4534</v>
      </c>
      <c r="K40" s="68">
        <v>110</v>
      </c>
      <c r="L40" s="70">
        <v>239755</v>
      </c>
      <c r="M40" s="70">
        <v>8330278.9861546503</v>
      </c>
      <c r="N40" s="128">
        <v>1.1252095156794586</v>
      </c>
      <c r="O40" s="70">
        <v>9373309.1834858451</v>
      </c>
      <c r="P40" s="70">
        <v>71237.149794492419</v>
      </c>
      <c r="Q40" s="70">
        <v>6899657.0138453497</v>
      </c>
      <c r="R40" s="128">
        <v>1.1475217913365015</v>
      </c>
      <c r="S40" s="92">
        <v>1061</v>
      </c>
      <c r="T40" s="70">
        <v>1061</v>
      </c>
      <c r="U40" s="70">
        <v>7900289.5078683887</v>
      </c>
      <c r="V40" s="70">
        <v>17513353.691354234</v>
      </c>
      <c r="W40" s="70">
        <v>0.45</v>
      </c>
      <c r="X40" s="70">
        <v>2.4328796760524716</v>
      </c>
      <c r="Y40" s="70" t="s">
        <v>452</v>
      </c>
      <c r="Z40" s="70">
        <v>600.99611663360974</v>
      </c>
      <c r="AA40" s="129">
        <v>0.84515556162699357</v>
      </c>
      <c r="AB40" s="70">
        <v>600.99611663360974</v>
      </c>
      <c r="AC40" s="70">
        <v>600.99611663360974</v>
      </c>
      <c r="AD40" s="70">
        <v>600.99611663360974</v>
      </c>
      <c r="AE40" s="70">
        <v>705.62139420257563</v>
      </c>
      <c r="AF40" s="70">
        <v>592.93748214449272</v>
      </c>
      <c r="AG40" s="70">
        <v>600.99611663360974</v>
      </c>
      <c r="AH40" s="70">
        <v>591.22611663360976</v>
      </c>
    </row>
    <row r="41" spans="1:34" x14ac:dyDescent="0.45">
      <c r="A41" s="68" t="s">
        <v>40</v>
      </c>
      <c r="B41" s="68">
        <v>1144358953</v>
      </c>
      <c r="C41" s="69">
        <v>0</v>
      </c>
      <c r="D41" s="125">
        <v>44378</v>
      </c>
      <c r="E41" s="125">
        <v>44742</v>
      </c>
      <c r="F41" s="68">
        <v>42</v>
      </c>
      <c r="G41" s="126">
        <v>30218</v>
      </c>
      <c r="H41" s="127">
        <v>1885</v>
      </c>
      <c r="I41" s="127">
        <v>15369</v>
      </c>
      <c r="J41" s="127">
        <v>12964</v>
      </c>
      <c r="K41" s="68">
        <v>95</v>
      </c>
      <c r="L41" s="70">
        <v>788161</v>
      </c>
      <c r="M41" s="70">
        <v>8928240.1920345593</v>
      </c>
      <c r="N41" s="128">
        <v>1.1252095156794586</v>
      </c>
      <c r="O41" s="70">
        <v>10046140.822349083</v>
      </c>
      <c r="P41" s="70">
        <v>76350.670249853021</v>
      </c>
      <c r="Q41" s="70">
        <v>7394925.8079654407</v>
      </c>
      <c r="R41" s="128">
        <v>1.1475217913365015</v>
      </c>
      <c r="S41" s="92">
        <v>1061</v>
      </c>
      <c r="T41" s="70">
        <v>1061</v>
      </c>
      <c r="U41" s="70">
        <v>8470969.0509992652</v>
      </c>
      <c r="V41" s="70">
        <v>19305270.873348348</v>
      </c>
      <c r="W41" s="70">
        <v>0.45</v>
      </c>
      <c r="X41" s="70">
        <v>2.5266619316252901</v>
      </c>
      <c r="Y41" s="70" t="s">
        <v>452</v>
      </c>
      <c r="Z41" s="70">
        <v>641.84326042750024</v>
      </c>
      <c r="AA41" s="129">
        <v>0.57098418161360776</v>
      </c>
      <c r="AB41" s="70">
        <v>641.84326042750024</v>
      </c>
      <c r="AC41" s="70">
        <v>641.84326042750024</v>
      </c>
      <c r="AD41" s="70" t="s">
        <v>452</v>
      </c>
      <c r="AE41" s="70" t="s">
        <v>452</v>
      </c>
      <c r="AF41" s="70">
        <v>636.04</v>
      </c>
      <c r="AG41" s="70">
        <v>641.84326042750024</v>
      </c>
      <c r="AH41" s="70">
        <v>632.07326042750026</v>
      </c>
    </row>
    <row r="42" spans="1:34" x14ac:dyDescent="0.45">
      <c r="A42" s="68" t="s">
        <v>41</v>
      </c>
      <c r="B42" s="68">
        <v>1386763456</v>
      </c>
      <c r="C42" s="69" t="s">
        <v>93</v>
      </c>
      <c r="D42" s="125">
        <v>44378</v>
      </c>
      <c r="E42" s="125">
        <v>44742</v>
      </c>
      <c r="F42" s="68">
        <v>42</v>
      </c>
      <c r="G42" s="126">
        <v>26889</v>
      </c>
      <c r="H42" s="127">
        <v>1592</v>
      </c>
      <c r="I42" s="127">
        <v>24166</v>
      </c>
      <c r="J42" s="127">
        <v>1131</v>
      </c>
      <c r="K42" s="68">
        <v>99</v>
      </c>
      <c r="L42" s="70">
        <v>938630</v>
      </c>
      <c r="M42" s="70">
        <v>7408381.2412742339</v>
      </c>
      <c r="N42" s="128">
        <v>1.1252095156794586</v>
      </c>
      <c r="O42" s="70">
        <v>8335981.0684629669</v>
      </c>
      <c r="P42" s="70">
        <v>63353.456120318551</v>
      </c>
      <c r="Q42" s="70">
        <v>6136083.7587257661</v>
      </c>
      <c r="R42" s="128">
        <v>1.1475217913365015</v>
      </c>
      <c r="S42" s="92">
        <v>1061</v>
      </c>
      <c r="T42" s="70">
        <v>1061</v>
      </c>
      <c r="U42" s="70">
        <v>7025794.2851636093</v>
      </c>
      <c r="V42" s="70">
        <v>16300405.353626577</v>
      </c>
      <c r="W42" s="70">
        <v>0.45</v>
      </c>
      <c r="X42" s="70">
        <v>2.356110532943529</v>
      </c>
      <c r="Y42" s="70">
        <v>0.15</v>
      </c>
      <c r="Z42" s="70">
        <v>609.16702777146395</v>
      </c>
      <c r="AA42" s="129">
        <v>0.95793819033805649</v>
      </c>
      <c r="AB42" s="70">
        <v>609.16702777146395</v>
      </c>
      <c r="AC42" s="70">
        <v>609.16702777146395</v>
      </c>
      <c r="AD42" s="70">
        <v>609.16702777146395</v>
      </c>
      <c r="AE42" s="70">
        <v>705.62139420257563</v>
      </c>
      <c r="AF42" s="70">
        <v>514.49701057945958</v>
      </c>
      <c r="AG42" s="70">
        <v>609.16702777146395</v>
      </c>
      <c r="AH42" s="70">
        <v>599.39702777146397</v>
      </c>
    </row>
    <row r="43" spans="1:34" x14ac:dyDescent="0.45">
      <c r="A43" s="68" t="s">
        <v>42</v>
      </c>
      <c r="B43" s="68">
        <v>1811107410</v>
      </c>
      <c r="C43" s="69">
        <v>0</v>
      </c>
      <c r="D43" s="125">
        <v>44562</v>
      </c>
      <c r="E43" s="125">
        <v>44926</v>
      </c>
      <c r="F43" s="68">
        <v>36</v>
      </c>
      <c r="G43" s="126">
        <v>20633</v>
      </c>
      <c r="H43" s="127">
        <v>0</v>
      </c>
      <c r="I43" s="127">
        <v>0</v>
      </c>
      <c r="J43" s="127">
        <v>20633</v>
      </c>
      <c r="K43" s="68">
        <v>69</v>
      </c>
      <c r="L43" s="70">
        <v>1577013</v>
      </c>
      <c r="M43" s="70">
        <v>9313992.2553826589</v>
      </c>
      <c r="N43" s="128">
        <v>1.1124956485930844</v>
      </c>
      <c r="O43" s="70">
        <v>10361775.855142895</v>
      </c>
      <c r="P43" s="70">
        <v>78749.496499086003</v>
      </c>
      <c r="Q43" s="70">
        <v>7714429.7446173411</v>
      </c>
      <c r="R43" s="128">
        <v>1.095819697808702</v>
      </c>
      <c r="S43" s="92">
        <v>1765</v>
      </c>
      <c r="T43" s="70">
        <v>1342</v>
      </c>
      <c r="U43" s="70">
        <v>8412767.6696154047</v>
      </c>
      <c r="V43" s="70">
        <v>20351556.524758302</v>
      </c>
      <c r="W43" s="70">
        <v>0.45</v>
      </c>
      <c r="X43" s="70">
        <v>3.8166769979685942</v>
      </c>
      <c r="Y43" s="70" t="s">
        <v>452</v>
      </c>
      <c r="Z43" s="70">
        <v>990.62622358636111</v>
      </c>
      <c r="AA43" s="129">
        <v>0</v>
      </c>
      <c r="AB43" s="70" t="s">
        <v>452</v>
      </c>
      <c r="AC43" s="70">
        <v>771.22</v>
      </c>
      <c r="AD43" s="70" t="s">
        <v>452</v>
      </c>
      <c r="AE43" s="70" t="s">
        <v>452</v>
      </c>
      <c r="AF43" s="70">
        <v>704.86</v>
      </c>
      <c r="AG43" s="70">
        <v>771.22</v>
      </c>
      <c r="AH43" s="70">
        <v>761.45</v>
      </c>
    </row>
    <row r="44" spans="1:34" x14ac:dyDescent="0.45">
      <c r="A44" s="68" t="s">
        <v>43</v>
      </c>
      <c r="B44" s="68">
        <v>1326146333</v>
      </c>
      <c r="C44" s="69" t="s">
        <v>93</v>
      </c>
      <c r="D44" s="125">
        <v>44378</v>
      </c>
      <c r="E44" s="125">
        <v>44742</v>
      </c>
      <c r="F44" s="68">
        <v>42</v>
      </c>
      <c r="G44" s="126">
        <v>14809</v>
      </c>
      <c r="H44" s="127">
        <v>309</v>
      </c>
      <c r="I44" s="127">
        <v>11653</v>
      </c>
      <c r="J44" s="127">
        <v>2847</v>
      </c>
      <c r="K44" s="68">
        <v>50</v>
      </c>
      <c r="L44" s="70">
        <v>123670</v>
      </c>
      <c r="M44" s="70">
        <v>4218792.0754670929</v>
      </c>
      <c r="N44" s="128">
        <v>1.1252095156794586</v>
      </c>
      <c r="O44" s="70">
        <v>4747024.9879886657</v>
      </c>
      <c r="P44" s="70">
        <v>36077.389908713856</v>
      </c>
      <c r="Q44" s="70">
        <v>3494266.9245329071</v>
      </c>
      <c r="R44" s="128">
        <v>1.1475217913365015</v>
      </c>
      <c r="S44" s="92">
        <v>1061</v>
      </c>
      <c r="T44" s="70">
        <v>1061</v>
      </c>
      <c r="U44" s="70">
        <v>4001921.4096174878</v>
      </c>
      <c r="V44" s="70">
        <v>8872616.397606153</v>
      </c>
      <c r="W44" s="70">
        <v>0.45</v>
      </c>
      <c r="X44" s="70">
        <v>2.4361800194958376</v>
      </c>
      <c r="Y44" s="70">
        <v>0.66</v>
      </c>
      <c r="Z44" s="70">
        <v>602.68294803935896</v>
      </c>
      <c r="AA44" s="129">
        <v>0.8077520426767506</v>
      </c>
      <c r="AB44" s="70">
        <v>602.68294803935896</v>
      </c>
      <c r="AC44" s="70">
        <v>602.68294803935896</v>
      </c>
      <c r="AD44" s="70">
        <v>602.68294803935896</v>
      </c>
      <c r="AE44" s="70">
        <v>705.62139420257563</v>
      </c>
      <c r="AF44" s="70">
        <v>570.50711099927196</v>
      </c>
      <c r="AG44" s="70">
        <v>602.68294803935896</v>
      </c>
      <c r="AH44" s="70">
        <v>592.91294803935898</v>
      </c>
    </row>
    <row r="45" spans="1:34" x14ac:dyDescent="0.45">
      <c r="A45" s="68" t="s">
        <v>44</v>
      </c>
      <c r="B45" s="68">
        <v>1336289966</v>
      </c>
      <c r="C45" s="69">
        <v>0</v>
      </c>
      <c r="D45" s="125">
        <v>44562</v>
      </c>
      <c r="E45" s="125">
        <v>44926</v>
      </c>
      <c r="F45" s="68">
        <v>36</v>
      </c>
      <c r="G45" s="126">
        <v>28560</v>
      </c>
      <c r="H45" s="127">
        <v>19931</v>
      </c>
      <c r="I45" s="127">
        <v>2659</v>
      </c>
      <c r="J45" s="127">
        <v>5970</v>
      </c>
      <c r="K45" s="68">
        <v>110</v>
      </c>
      <c r="L45" s="70">
        <v>744961</v>
      </c>
      <c r="M45" s="70">
        <v>9526736.3320631403</v>
      </c>
      <c r="N45" s="128">
        <v>1.1124956485930844</v>
      </c>
      <c r="O45" s="70">
        <v>10598452.714713885</v>
      </c>
      <c r="P45" s="70">
        <v>80548.240631825523</v>
      </c>
      <c r="Q45" s="70">
        <v>7890637.6679368597</v>
      </c>
      <c r="R45" s="128">
        <v>1.095819697808702</v>
      </c>
      <c r="S45" s="92">
        <v>1765</v>
      </c>
      <c r="T45" s="70">
        <v>1342</v>
      </c>
      <c r="U45" s="70">
        <v>8581582.7904669717</v>
      </c>
      <c r="V45" s="70">
        <v>19924996.505180858</v>
      </c>
      <c r="W45" s="70">
        <v>0.45</v>
      </c>
      <c r="X45" s="70">
        <v>2.8203165487333868</v>
      </c>
      <c r="Y45" s="70" t="s">
        <v>452</v>
      </c>
      <c r="Z45" s="70">
        <v>700.92425580576617</v>
      </c>
      <c r="AA45" s="129">
        <v>0.79096638655462181</v>
      </c>
      <c r="AB45" s="70">
        <v>700.92425580576617</v>
      </c>
      <c r="AC45" s="70">
        <v>700.92425580576617</v>
      </c>
      <c r="AD45" s="70" t="s">
        <v>452</v>
      </c>
      <c r="AE45" s="70" t="s">
        <v>452</v>
      </c>
      <c r="AF45" s="70">
        <v>704.86</v>
      </c>
      <c r="AG45" s="70">
        <v>704.86</v>
      </c>
      <c r="AH45" s="70">
        <v>695.09</v>
      </c>
    </row>
    <row r="46" spans="1:34" x14ac:dyDescent="0.45">
      <c r="A46" s="68" t="s">
        <v>45</v>
      </c>
      <c r="B46" s="68">
        <v>1174674246</v>
      </c>
      <c r="C46" s="69" t="s">
        <v>93</v>
      </c>
      <c r="D46" s="125">
        <v>44378</v>
      </c>
      <c r="E46" s="125">
        <v>44742</v>
      </c>
      <c r="F46" s="68">
        <v>42</v>
      </c>
      <c r="G46" s="126">
        <v>7131</v>
      </c>
      <c r="H46" s="127">
        <v>2001</v>
      </c>
      <c r="I46" s="127">
        <v>5078</v>
      </c>
      <c r="J46" s="127">
        <v>52</v>
      </c>
      <c r="K46" s="68">
        <v>20</v>
      </c>
      <c r="L46" s="70">
        <v>312200</v>
      </c>
      <c r="M46" s="70">
        <v>2275990.0108077289</v>
      </c>
      <c r="N46" s="128">
        <v>1.1252095156794586</v>
      </c>
      <c r="O46" s="70">
        <v>2560965.6177522503</v>
      </c>
      <c r="P46" s="70">
        <v>19463.338694917104</v>
      </c>
      <c r="Q46" s="70">
        <v>1885116.9891922711</v>
      </c>
      <c r="R46" s="128">
        <v>1.1475217913365015</v>
      </c>
      <c r="S46" s="92">
        <v>1061</v>
      </c>
      <c r="T46" s="70">
        <v>1061</v>
      </c>
      <c r="U46" s="70">
        <v>2160082.4119046265</v>
      </c>
      <c r="V46" s="70">
        <v>5033248.0296568768</v>
      </c>
      <c r="W46" s="70">
        <v>0.45</v>
      </c>
      <c r="X46" s="70">
        <v>2.7293982183308239</v>
      </c>
      <c r="Y46" s="70" t="s">
        <v>452</v>
      </c>
      <c r="Z46" s="70">
        <v>709.00579418760265</v>
      </c>
      <c r="AA46" s="129">
        <v>0.99270789510587576</v>
      </c>
      <c r="AB46" s="70">
        <v>709.00579418760265</v>
      </c>
      <c r="AC46" s="70">
        <v>709.00579418760265</v>
      </c>
      <c r="AD46" s="70">
        <v>709.00579418760265</v>
      </c>
      <c r="AE46" s="70">
        <v>705.62139420257563</v>
      </c>
      <c r="AF46" s="70">
        <v>656.7669277586316</v>
      </c>
      <c r="AG46" s="70">
        <v>709.00579418760265</v>
      </c>
      <c r="AH46" s="70">
        <v>699.23579418760266</v>
      </c>
    </row>
    <row r="47" spans="1:34" x14ac:dyDescent="0.45">
      <c r="A47" s="68" t="s">
        <v>46</v>
      </c>
      <c r="B47" s="68">
        <v>1770524928</v>
      </c>
      <c r="C47" s="69">
        <v>0</v>
      </c>
      <c r="D47" s="125">
        <v>44562</v>
      </c>
      <c r="E47" s="125">
        <v>44926</v>
      </c>
      <c r="F47" s="68">
        <v>36</v>
      </c>
      <c r="G47" s="126">
        <v>10023</v>
      </c>
      <c r="H47" s="127">
        <v>31</v>
      </c>
      <c r="I47" s="127">
        <v>6848</v>
      </c>
      <c r="J47" s="127">
        <v>3144</v>
      </c>
      <c r="K47" s="68">
        <v>32</v>
      </c>
      <c r="L47" s="70">
        <v>1202106</v>
      </c>
      <c r="M47" s="70">
        <v>3217308.3813350555</v>
      </c>
      <c r="N47" s="128">
        <v>1.1124956485930844</v>
      </c>
      <c r="O47" s="70">
        <v>3579241.5744173089</v>
      </c>
      <c r="P47" s="70">
        <v>27202.235965571548</v>
      </c>
      <c r="Q47" s="70">
        <v>2664775.6186649445</v>
      </c>
      <c r="R47" s="128">
        <v>1.095819697808702</v>
      </c>
      <c r="S47" s="92">
        <v>1061</v>
      </c>
      <c r="T47" s="70">
        <v>1061</v>
      </c>
      <c r="U47" s="70">
        <v>2916860.3427934153</v>
      </c>
      <c r="V47" s="70">
        <v>7698207.9172107242</v>
      </c>
      <c r="W47" s="70">
        <v>0.45</v>
      </c>
      <c r="X47" s="70">
        <v>2.7139814392468868</v>
      </c>
      <c r="Y47" s="70" t="s">
        <v>452</v>
      </c>
      <c r="Z47" s="70">
        <v>771.21824834643292</v>
      </c>
      <c r="AA47" s="129">
        <v>0.68632146064052679</v>
      </c>
      <c r="AB47" s="70">
        <v>771.21824834643292</v>
      </c>
      <c r="AC47" s="70">
        <v>771.21824834643292</v>
      </c>
      <c r="AD47" s="70" t="s">
        <v>452</v>
      </c>
      <c r="AE47" s="70" t="s">
        <v>452</v>
      </c>
      <c r="AF47" s="70">
        <v>704.86</v>
      </c>
      <c r="AG47" s="70">
        <v>771.21824834643292</v>
      </c>
      <c r="AH47" s="70">
        <v>761.44824834643293</v>
      </c>
    </row>
    <row r="48" spans="1:34" x14ac:dyDescent="0.45">
      <c r="A48" s="68" t="s">
        <v>47</v>
      </c>
      <c r="B48" s="68">
        <v>1861533648</v>
      </c>
      <c r="C48" s="69">
        <v>0</v>
      </c>
      <c r="D48" s="125">
        <v>44378</v>
      </c>
      <c r="E48" s="125">
        <v>44742</v>
      </c>
      <c r="F48" s="68">
        <v>42</v>
      </c>
      <c r="G48" s="126">
        <v>25471</v>
      </c>
      <c r="H48" s="127">
        <v>24010</v>
      </c>
      <c r="I48" s="127">
        <v>182</v>
      </c>
      <c r="J48" s="127">
        <v>1279</v>
      </c>
      <c r="K48" s="68">
        <v>115</v>
      </c>
      <c r="L48" s="70">
        <v>1368585</v>
      </c>
      <c r="M48" s="70">
        <v>7117240.3225396862</v>
      </c>
      <c r="N48" s="128">
        <v>1.1252095156794586</v>
      </c>
      <c r="O48" s="70">
        <v>8008386.5362991942</v>
      </c>
      <c r="P48" s="70">
        <v>60863.737675873876</v>
      </c>
      <c r="Q48" s="70">
        <v>5894942.6774603138</v>
      </c>
      <c r="R48" s="128">
        <v>1.1475217913365015</v>
      </c>
      <c r="S48" s="92">
        <v>1061</v>
      </c>
      <c r="T48" s="70">
        <v>1061</v>
      </c>
      <c r="U48" s="70">
        <v>6746575.3096953286</v>
      </c>
      <c r="V48" s="70">
        <v>16123546.845994525</v>
      </c>
      <c r="W48" s="70">
        <v>0.45</v>
      </c>
      <c r="X48" s="70">
        <v>2.3895307477473939</v>
      </c>
      <c r="Y48" s="70">
        <v>1.92</v>
      </c>
      <c r="Z48" s="70">
        <v>637.77538587689526</v>
      </c>
      <c r="AA48" s="129">
        <v>0.94978603117270621</v>
      </c>
      <c r="AB48" s="70">
        <v>637.77538587689526</v>
      </c>
      <c r="AC48" s="70">
        <v>637.77538587689526</v>
      </c>
      <c r="AD48" s="70" t="s">
        <v>452</v>
      </c>
      <c r="AE48" s="70" t="s">
        <v>452</v>
      </c>
      <c r="AF48" s="70">
        <v>617.03098766014421</v>
      </c>
      <c r="AG48" s="70">
        <v>637.77538587689526</v>
      </c>
      <c r="AH48" s="70">
        <v>628.00538587689528</v>
      </c>
    </row>
    <row r="49" spans="1:35" x14ac:dyDescent="0.45">
      <c r="A49" s="68" t="s">
        <v>48</v>
      </c>
      <c r="B49" s="68">
        <v>1770659153</v>
      </c>
      <c r="C49" s="69" t="s">
        <v>93</v>
      </c>
      <c r="D49" s="125">
        <v>44562</v>
      </c>
      <c r="E49" s="125">
        <v>44926</v>
      </c>
      <c r="F49" s="68">
        <v>36</v>
      </c>
      <c r="G49" s="126">
        <v>23245</v>
      </c>
      <c r="H49" s="127">
        <v>0</v>
      </c>
      <c r="I49" s="127">
        <v>13727</v>
      </c>
      <c r="J49" s="127">
        <v>9518</v>
      </c>
      <c r="K49" s="68">
        <v>75</v>
      </c>
      <c r="L49" s="70">
        <v>544030</v>
      </c>
      <c r="M49" s="70">
        <v>10469681.383733764</v>
      </c>
      <c r="N49" s="128">
        <v>1.1124956485930844</v>
      </c>
      <c r="O49" s="70">
        <v>11647474.981559835</v>
      </c>
      <c r="P49" s="70">
        <v>88520.809859854751</v>
      </c>
      <c r="Q49" s="70">
        <v>8671643.6162662357</v>
      </c>
      <c r="R49" s="128">
        <v>1.095819697808702</v>
      </c>
      <c r="S49" s="92">
        <v>1061</v>
      </c>
      <c r="T49" s="70">
        <v>1061</v>
      </c>
      <c r="U49" s="70">
        <v>9494933.0346284993</v>
      </c>
      <c r="V49" s="70">
        <v>21686438.016188335</v>
      </c>
      <c r="W49" s="70">
        <v>0.45</v>
      </c>
      <c r="X49" s="70">
        <v>3.8081656209875137</v>
      </c>
      <c r="Y49" s="70" t="s">
        <v>452</v>
      </c>
      <c r="Z49" s="70">
        <v>937.20882237247542</v>
      </c>
      <c r="AA49" s="129">
        <v>0.5905355990535599</v>
      </c>
      <c r="AB49" s="70">
        <v>937.20882237247542</v>
      </c>
      <c r="AC49" s="70">
        <v>771.22</v>
      </c>
      <c r="AD49" s="70">
        <v>771.22</v>
      </c>
      <c r="AE49" s="70">
        <v>705.62139420257563</v>
      </c>
      <c r="AF49" s="70">
        <v>704.86</v>
      </c>
      <c r="AG49" s="70">
        <v>771.22</v>
      </c>
      <c r="AH49" s="70">
        <v>761.45</v>
      </c>
    </row>
    <row r="50" spans="1:35" x14ac:dyDescent="0.45">
      <c r="A50" s="68" t="s">
        <v>49</v>
      </c>
      <c r="B50" s="68">
        <v>1427006485</v>
      </c>
      <c r="C50" s="69">
        <v>0</v>
      </c>
      <c r="D50" s="125">
        <v>44531</v>
      </c>
      <c r="E50" s="125">
        <v>44895</v>
      </c>
      <c r="F50" s="68">
        <v>37</v>
      </c>
      <c r="G50" s="126">
        <v>39779</v>
      </c>
      <c r="H50" s="127">
        <v>25947</v>
      </c>
      <c r="I50" s="127">
        <v>1720</v>
      </c>
      <c r="J50" s="127">
        <v>12112</v>
      </c>
      <c r="K50" s="68">
        <v>126</v>
      </c>
      <c r="L50" s="70">
        <v>22144</v>
      </c>
      <c r="M50" s="70">
        <v>11375121.425547378</v>
      </c>
      <c r="N50" s="128">
        <v>1.1153000091630905</v>
      </c>
      <c r="O50" s="70">
        <v>12686673.030144257</v>
      </c>
      <c r="P50" s="70">
        <v>96418.715029096362</v>
      </c>
      <c r="Q50" s="70">
        <v>9421585.5744526219</v>
      </c>
      <c r="R50" s="128">
        <v>1.1007969295534255</v>
      </c>
      <c r="S50" s="92">
        <v>1061</v>
      </c>
      <c r="T50" s="70">
        <v>1061</v>
      </c>
      <c r="U50" s="70">
        <v>10357777.333558014</v>
      </c>
      <c r="V50" s="70">
        <v>23066594.363702271</v>
      </c>
      <c r="W50" s="70">
        <v>0.45</v>
      </c>
      <c r="X50" s="70">
        <v>2.4238597005730753</v>
      </c>
      <c r="Y50" s="70" t="s">
        <v>452</v>
      </c>
      <c r="Z50" s="70">
        <v>582.74249299206542</v>
      </c>
      <c r="AA50" s="129">
        <v>0.69551773548857432</v>
      </c>
      <c r="AB50" s="70">
        <v>582.74249299206542</v>
      </c>
      <c r="AC50" s="70">
        <v>582.74249299206542</v>
      </c>
      <c r="AD50" s="70" t="s">
        <v>452</v>
      </c>
      <c r="AE50" s="70" t="s">
        <v>452</v>
      </c>
      <c r="AF50" s="70">
        <v>406.63</v>
      </c>
      <c r="AG50" s="70">
        <v>582.74249299206542</v>
      </c>
      <c r="AH50" s="70">
        <v>572.97249299206544</v>
      </c>
    </row>
    <row r="51" spans="1:35" x14ac:dyDescent="0.45">
      <c r="A51" s="68" t="s">
        <v>50</v>
      </c>
      <c r="B51" s="68">
        <v>1891872883</v>
      </c>
      <c r="C51" s="69">
        <v>0</v>
      </c>
      <c r="D51" s="125">
        <v>44562</v>
      </c>
      <c r="E51" s="125">
        <v>44926</v>
      </c>
      <c r="F51" s="68">
        <v>36</v>
      </c>
      <c r="G51" s="126">
        <v>26487</v>
      </c>
      <c r="H51" s="127">
        <v>0</v>
      </c>
      <c r="I51" s="127">
        <v>0</v>
      </c>
      <c r="J51" s="127">
        <v>26487</v>
      </c>
      <c r="K51" s="68">
        <v>89</v>
      </c>
      <c r="L51" s="70">
        <v>1540396</v>
      </c>
      <c r="M51" s="70">
        <v>12498878.048240501</v>
      </c>
      <c r="N51" s="128">
        <v>1.1124956485930844</v>
      </c>
      <c r="O51" s="70">
        <v>13904947.440963181</v>
      </c>
      <c r="P51" s="70">
        <v>105677.60055132017</v>
      </c>
      <c r="Q51" s="70">
        <v>10352350.951759499</v>
      </c>
      <c r="R51" s="128">
        <v>1.095819697808702</v>
      </c>
      <c r="S51" s="92">
        <v>1765</v>
      </c>
      <c r="T51" s="70">
        <v>1342</v>
      </c>
      <c r="U51" s="70">
        <v>11291611.254336443</v>
      </c>
      <c r="V51" s="70">
        <v>26736954.695299625</v>
      </c>
      <c r="W51" s="70">
        <v>0.45</v>
      </c>
      <c r="X51" s="70">
        <v>3.9897912391482677</v>
      </c>
      <c r="Y51" s="70" t="s">
        <v>452</v>
      </c>
      <c r="Z51" s="70">
        <v>1013.8766733058084</v>
      </c>
      <c r="AA51" s="129">
        <v>0</v>
      </c>
      <c r="AB51" s="70" t="s">
        <v>452</v>
      </c>
      <c r="AC51" s="70">
        <v>771.22</v>
      </c>
      <c r="AD51" s="70" t="s">
        <v>452</v>
      </c>
      <c r="AE51" s="70" t="s">
        <v>452</v>
      </c>
      <c r="AF51" s="70">
        <v>704.86</v>
      </c>
      <c r="AG51" s="70">
        <v>771.22</v>
      </c>
      <c r="AH51" s="70">
        <v>761.45</v>
      </c>
    </row>
    <row r="52" spans="1:35" x14ac:dyDescent="0.45">
      <c r="A52" s="68" t="s">
        <v>51</v>
      </c>
      <c r="B52" s="68">
        <v>1619947090</v>
      </c>
      <c r="C52" s="69">
        <v>0</v>
      </c>
      <c r="D52" s="125">
        <v>44378</v>
      </c>
      <c r="E52" s="125">
        <v>44742</v>
      </c>
      <c r="F52" s="68">
        <v>42</v>
      </c>
      <c r="G52" s="126">
        <v>33945</v>
      </c>
      <c r="H52" s="127">
        <v>3272</v>
      </c>
      <c r="I52" s="127">
        <v>0</v>
      </c>
      <c r="J52" s="127">
        <v>30673</v>
      </c>
      <c r="K52" s="68">
        <v>93</v>
      </c>
      <c r="L52" s="70">
        <v>2457256</v>
      </c>
      <c r="M52" s="70">
        <v>8510255.8848756477</v>
      </c>
      <c r="N52" s="128">
        <v>1.1252095156794586</v>
      </c>
      <c r="O52" s="70">
        <v>9575820.9025291894</v>
      </c>
      <c r="P52" s="70">
        <v>72776.238859221834</v>
      </c>
      <c r="Q52" s="70">
        <v>7048725.1151243523</v>
      </c>
      <c r="R52" s="128">
        <v>1.1475217913365015</v>
      </c>
      <c r="S52" s="92">
        <v>1061</v>
      </c>
      <c r="T52" s="70">
        <v>1061</v>
      </c>
      <c r="U52" s="70">
        <v>8074009.2530295374</v>
      </c>
      <c r="V52" s="70">
        <v>20107086.155558728</v>
      </c>
      <c r="W52" s="70">
        <v>0.45</v>
      </c>
      <c r="X52" s="70">
        <v>2.1439457610611825</v>
      </c>
      <c r="Y52" s="70">
        <v>0.63</v>
      </c>
      <c r="Z52" s="70">
        <v>595.5670347449684</v>
      </c>
      <c r="AA52" s="129">
        <v>9.6391221092944471E-2</v>
      </c>
      <c r="AB52" s="70" t="s">
        <v>452</v>
      </c>
      <c r="AC52" s="70">
        <v>595.5670347449684</v>
      </c>
      <c r="AD52" s="70" t="s">
        <v>452</v>
      </c>
      <c r="AE52" s="70" t="s">
        <v>452</v>
      </c>
      <c r="AF52" s="70">
        <v>704.86</v>
      </c>
      <c r="AG52" s="70">
        <v>704.86</v>
      </c>
      <c r="AH52" s="70">
        <v>695.09</v>
      </c>
    </row>
    <row r="53" spans="1:35" x14ac:dyDescent="0.45">
      <c r="A53" s="68" t="s">
        <v>52</v>
      </c>
      <c r="B53" s="68">
        <v>1952348518</v>
      </c>
      <c r="C53" s="69">
        <v>0</v>
      </c>
      <c r="D53" s="125">
        <v>44562</v>
      </c>
      <c r="E53" s="125">
        <v>44926</v>
      </c>
      <c r="F53" s="68">
        <v>36</v>
      </c>
      <c r="G53" s="126">
        <v>15779</v>
      </c>
      <c r="H53" s="127">
        <v>25</v>
      </c>
      <c r="I53" s="127">
        <v>108</v>
      </c>
      <c r="J53" s="127">
        <v>15646</v>
      </c>
      <c r="K53" s="68">
        <v>115</v>
      </c>
      <c r="L53" s="70">
        <v>1125057</v>
      </c>
      <c r="M53" s="70">
        <v>9560075.6379566826</v>
      </c>
      <c r="N53" s="128">
        <v>1.1124956485930844</v>
      </c>
      <c r="O53" s="70">
        <v>10635542.547447564</v>
      </c>
      <c r="P53" s="70">
        <v>80830.123360601487</v>
      </c>
      <c r="Q53" s="70">
        <v>7918251.3620433174</v>
      </c>
      <c r="R53" s="128">
        <v>1.095819697808702</v>
      </c>
      <c r="S53" s="92">
        <v>1765</v>
      </c>
      <c r="T53" s="70">
        <v>1342</v>
      </c>
      <c r="U53" s="70">
        <v>8608881.8115649298</v>
      </c>
      <c r="V53" s="70">
        <v>20369481.359012492</v>
      </c>
      <c r="W53" s="70">
        <v>0.45</v>
      </c>
      <c r="X53" s="70">
        <v>5.1226391634832042</v>
      </c>
      <c r="Y53" s="70" t="s">
        <v>452</v>
      </c>
      <c r="Z53" s="70">
        <v>1296.4961044662587</v>
      </c>
      <c r="AA53" s="129">
        <v>8.4289245199315552E-3</v>
      </c>
      <c r="AB53" s="70" t="s">
        <v>452</v>
      </c>
      <c r="AC53" s="70">
        <v>771.22</v>
      </c>
      <c r="AD53" s="70" t="s">
        <v>452</v>
      </c>
      <c r="AE53" s="70" t="s">
        <v>452</v>
      </c>
      <c r="AF53" s="70">
        <v>704.86</v>
      </c>
      <c r="AG53" s="70">
        <v>771.22</v>
      </c>
      <c r="AH53" s="70">
        <v>761.45</v>
      </c>
    </row>
    <row r="54" spans="1:35" x14ac:dyDescent="0.45">
      <c r="A54" s="68" t="s">
        <v>53</v>
      </c>
      <c r="B54" s="68">
        <v>1770639809</v>
      </c>
      <c r="C54" s="69">
        <v>0</v>
      </c>
      <c r="D54" s="125">
        <v>44562</v>
      </c>
      <c r="E54" s="125">
        <v>44926</v>
      </c>
      <c r="F54" s="68">
        <v>36</v>
      </c>
      <c r="G54" s="126">
        <v>37937</v>
      </c>
      <c r="H54" s="127">
        <v>0</v>
      </c>
      <c r="I54" s="127">
        <v>0</v>
      </c>
      <c r="J54" s="127">
        <v>37937</v>
      </c>
      <c r="K54" s="68">
        <v>125</v>
      </c>
      <c r="L54" s="70">
        <v>1127846</v>
      </c>
      <c r="M54" s="70">
        <v>21225493.464523327</v>
      </c>
      <c r="N54" s="128">
        <v>1.1124956485930844</v>
      </c>
      <c r="O54" s="70">
        <v>23613269.118523151</v>
      </c>
      <c r="P54" s="70">
        <v>179460.84530077595</v>
      </c>
      <c r="Q54" s="70">
        <v>17580278.535476673</v>
      </c>
      <c r="R54" s="128">
        <v>1.095819697808702</v>
      </c>
      <c r="S54" s="92">
        <v>1765</v>
      </c>
      <c r="T54" s="70">
        <v>1342</v>
      </c>
      <c r="U54" s="70">
        <v>19190800.291309815</v>
      </c>
      <c r="V54" s="70">
        <v>43931915.409832969</v>
      </c>
      <c r="W54" s="70">
        <v>0.45</v>
      </c>
      <c r="X54" s="70">
        <v>4.7304964889362875</v>
      </c>
      <c r="Y54" s="70" t="s">
        <v>452</v>
      </c>
      <c r="Z54" s="70">
        <v>1163.2034136893731</v>
      </c>
      <c r="AA54" s="129">
        <v>0</v>
      </c>
      <c r="AB54" s="70" t="s">
        <v>452</v>
      </c>
      <c r="AC54" s="70">
        <v>771.22</v>
      </c>
      <c r="AD54" s="70" t="s">
        <v>452</v>
      </c>
      <c r="AE54" s="70" t="s">
        <v>452</v>
      </c>
      <c r="AF54" s="70">
        <v>704.86</v>
      </c>
      <c r="AG54" s="70">
        <v>771.22</v>
      </c>
      <c r="AH54" s="70">
        <v>761.45</v>
      </c>
    </row>
    <row r="55" spans="1:35" x14ac:dyDescent="0.45">
      <c r="A55" s="68" t="s">
        <v>54</v>
      </c>
      <c r="B55" s="68">
        <v>1114091055</v>
      </c>
      <c r="C55" s="69">
        <v>0</v>
      </c>
      <c r="D55" s="125">
        <v>44378</v>
      </c>
      <c r="E55" s="125">
        <v>44742</v>
      </c>
      <c r="F55" s="68">
        <v>42</v>
      </c>
      <c r="G55" s="126">
        <v>5400</v>
      </c>
      <c r="H55" s="127">
        <v>4386</v>
      </c>
      <c r="I55" s="127">
        <v>676</v>
      </c>
      <c r="J55" s="127">
        <v>338</v>
      </c>
      <c r="K55" s="68">
        <v>20</v>
      </c>
      <c r="L55" s="70">
        <v>565999</v>
      </c>
      <c r="M55" s="70">
        <v>3541090.1285522557</v>
      </c>
      <c r="N55" s="128">
        <v>1.1252095156794586</v>
      </c>
      <c r="O55" s="70">
        <v>3984468.3085255953</v>
      </c>
      <c r="P55" s="70">
        <v>30281.959144794524</v>
      </c>
      <c r="Q55" s="70">
        <v>2932951.8714477443</v>
      </c>
      <c r="R55" s="128">
        <v>1.1475217913365015</v>
      </c>
      <c r="S55" s="92">
        <v>1061</v>
      </c>
      <c r="T55" s="70">
        <v>1061</v>
      </c>
      <c r="U55" s="70">
        <v>3362495.7730152993</v>
      </c>
      <c r="V55" s="70">
        <v>7912963.0815408956</v>
      </c>
      <c r="W55" s="70">
        <v>0.45</v>
      </c>
      <c r="X55" s="70">
        <v>5.6077702119989858</v>
      </c>
      <c r="Y55" s="70" t="s">
        <v>452</v>
      </c>
      <c r="Z55" s="70">
        <v>1471.4213038306834</v>
      </c>
      <c r="AA55" s="129">
        <v>0.93740740740740736</v>
      </c>
      <c r="AB55" s="70">
        <v>1471.4213038306834</v>
      </c>
      <c r="AC55" s="70">
        <v>771.22</v>
      </c>
      <c r="AD55" s="70" t="s">
        <v>452</v>
      </c>
      <c r="AE55" s="70" t="s">
        <v>452</v>
      </c>
      <c r="AF55" s="70">
        <v>704.86</v>
      </c>
      <c r="AG55" s="70">
        <v>771.22</v>
      </c>
      <c r="AH55" s="70">
        <v>761.45</v>
      </c>
    </row>
    <row r="56" spans="1:35" x14ac:dyDescent="0.45">
      <c r="A56" s="68" t="s">
        <v>55</v>
      </c>
      <c r="B56" s="68">
        <v>1669734653</v>
      </c>
      <c r="C56" s="69" t="s">
        <v>93</v>
      </c>
      <c r="D56" s="125">
        <v>44562</v>
      </c>
      <c r="E56" s="125">
        <v>44926</v>
      </c>
      <c r="F56" s="68">
        <v>36</v>
      </c>
      <c r="G56" s="126">
        <v>17447</v>
      </c>
      <c r="H56" s="127">
        <v>14113</v>
      </c>
      <c r="I56" s="127">
        <v>0</v>
      </c>
      <c r="J56" s="127">
        <v>3334</v>
      </c>
      <c r="K56" s="68">
        <v>125</v>
      </c>
      <c r="L56" s="70">
        <v>581357</v>
      </c>
      <c r="M56" s="70">
        <v>6757027.262534841</v>
      </c>
      <c r="N56" s="128">
        <v>1.1124956485930844</v>
      </c>
      <c r="O56" s="70">
        <v>7517163.4269948509</v>
      </c>
      <c r="P56" s="70">
        <v>57130.442045160868</v>
      </c>
      <c r="Q56" s="70">
        <v>5596591.737465159</v>
      </c>
      <c r="R56" s="128">
        <v>1.095819697808702</v>
      </c>
      <c r="S56" s="92">
        <v>1061</v>
      </c>
      <c r="T56" s="70">
        <v>1061</v>
      </c>
      <c r="U56" s="70">
        <v>6120147.3790858705</v>
      </c>
      <c r="V56" s="70">
        <v>14218667.806080721</v>
      </c>
      <c r="W56" s="70">
        <v>0.45</v>
      </c>
      <c r="X56" s="70">
        <v>3.2745137871932632</v>
      </c>
      <c r="Y56" s="70" t="s">
        <v>452</v>
      </c>
      <c r="Z56" s="70">
        <v>818.68799209754593</v>
      </c>
      <c r="AA56" s="129">
        <v>0.80890697541124545</v>
      </c>
      <c r="AB56" s="70">
        <v>818.68799209754593</v>
      </c>
      <c r="AC56" s="70">
        <v>771.22</v>
      </c>
      <c r="AD56" s="70">
        <v>771.22</v>
      </c>
      <c r="AE56" s="70">
        <v>705.62139420257563</v>
      </c>
      <c r="AF56" s="70">
        <v>573.07874577979624</v>
      </c>
      <c r="AG56" s="70">
        <v>771.22</v>
      </c>
      <c r="AH56" s="70">
        <v>761.45</v>
      </c>
    </row>
    <row r="57" spans="1:35" x14ac:dyDescent="0.45">
      <c r="A57" s="68" t="s">
        <v>56</v>
      </c>
      <c r="B57" s="68">
        <v>1285677518</v>
      </c>
      <c r="C57" s="69">
        <v>0</v>
      </c>
      <c r="D57" s="125">
        <v>44378</v>
      </c>
      <c r="E57" s="125">
        <v>44742</v>
      </c>
      <c r="F57" s="68">
        <v>42</v>
      </c>
      <c r="G57" s="126">
        <v>10079</v>
      </c>
      <c r="H57" s="127">
        <v>772</v>
      </c>
      <c r="I57" s="127">
        <v>3093</v>
      </c>
      <c r="J57" s="127">
        <v>6214</v>
      </c>
      <c r="K57" s="68">
        <v>30</v>
      </c>
      <c r="L57" s="70">
        <v>592320</v>
      </c>
      <c r="M57" s="70">
        <v>6773009.6509030806</v>
      </c>
      <c r="N57" s="128">
        <v>1.1252095156794586</v>
      </c>
      <c r="O57" s="70">
        <v>7621054.9089849545</v>
      </c>
      <c r="P57" s="70">
        <v>57920.017308285656</v>
      </c>
      <c r="Q57" s="70">
        <v>5609829.3490969194</v>
      </c>
      <c r="R57" s="128">
        <v>1.1475217913365015</v>
      </c>
      <c r="S57" s="92">
        <v>1061</v>
      </c>
      <c r="T57" s="70">
        <v>1061</v>
      </c>
      <c r="U57" s="70">
        <v>6432705.8051495356</v>
      </c>
      <c r="V57" s="70">
        <v>14646080.71413449</v>
      </c>
      <c r="W57" s="70">
        <v>0.45</v>
      </c>
      <c r="X57" s="70">
        <v>5.7466035626833669</v>
      </c>
      <c r="Y57" s="70" t="s">
        <v>452</v>
      </c>
      <c r="Z57" s="70">
        <v>1459.3249609527509</v>
      </c>
      <c r="AA57" s="129">
        <v>0.38347058239904752</v>
      </c>
      <c r="AB57" s="70">
        <v>1459.3249609527509</v>
      </c>
      <c r="AC57" s="70">
        <v>771.22</v>
      </c>
      <c r="AD57" s="70" t="s">
        <v>452</v>
      </c>
      <c r="AE57" s="70" t="s">
        <v>452</v>
      </c>
      <c r="AF57" s="70">
        <v>704.86</v>
      </c>
      <c r="AG57" s="70">
        <v>771.22</v>
      </c>
      <c r="AH57" s="70">
        <v>761.45</v>
      </c>
    </row>
    <row r="58" spans="1:35" x14ac:dyDescent="0.45">
      <c r="A58" s="68" t="s">
        <v>57</v>
      </c>
      <c r="B58" s="68">
        <v>1710174818</v>
      </c>
      <c r="C58" s="69">
        <v>0</v>
      </c>
      <c r="D58" s="125">
        <v>44378</v>
      </c>
      <c r="E58" s="125">
        <v>44742</v>
      </c>
      <c r="F58" s="68">
        <v>42</v>
      </c>
      <c r="G58" s="126">
        <v>11807</v>
      </c>
      <c r="H58" s="127">
        <v>0</v>
      </c>
      <c r="I58" s="127">
        <v>0</v>
      </c>
      <c r="J58" s="127">
        <v>11807</v>
      </c>
      <c r="K58" s="68">
        <v>44</v>
      </c>
      <c r="L58" s="70">
        <v>191699</v>
      </c>
      <c r="M58" s="70">
        <v>7770695.7501535071</v>
      </c>
      <c r="N58" s="128">
        <v>1.1252095156794586</v>
      </c>
      <c r="O58" s="70">
        <v>8743660.8015226554</v>
      </c>
      <c r="P58" s="70">
        <v>66451.822091572176</v>
      </c>
      <c r="Q58" s="70">
        <v>6436175.2498464929</v>
      </c>
      <c r="R58" s="128">
        <v>1.1475217913365015</v>
      </c>
      <c r="S58" s="92">
        <v>1765</v>
      </c>
      <c r="T58" s="70">
        <v>1342</v>
      </c>
      <c r="U58" s="70">
        <v>7355582.8097443096</v>
      </c>
      <c r="V58" s="70">
        <v>16290942.611266965</v>
      </c>
      <c r="W58" s="70">
        <v>0.45</v>
      </c>
      <c r="X58" s="70">
        <v>5.6281716008784768</v>
      </c>
      <c r="Y58" s="70" t="s">
        <v>452</v>
      </c>
      <c r="Z58" s="70">
        <v>1385.8480209501599</v>
      </c>
      <c r="AA58" s="129">
        <v>0</v>
      </c>
      <c r="AB58" s="70" t="s">
        <v>452</v>
      </c>
      <c r="AC58" s="70">
        <v>771.22</v>
      </c>
      <c r="AD58" s="70" t="s">
        <v>452</v>
      </c>
      <c r="AE58" s="70" t="s">
        <v>452</v>
      </c>
      <c r="AF58" s="70">
        <v>704.86</v>
      </c>
      <c r="AG58" s="70">
        <v>771.22</v>
      </c>
      <c r="AH58" s="70">
        <v>761.45</v>
      </c>
    </row>
    <row r="59" spans="1:35" x14ac:dyDescent="0.45">
      <c r="A59" s="68" t="s">
        <v>58</v>
      </c>
      <c r="B59" s="68">
        <v>1710066634</v>
      </c>
      <c r="C59" s="69">
        <v>0</v>
      </c>
      <c r="D59" s="125">
        <v>44378</v>
      </c>
      <c r="E59" s="125">
        <v>44742</v>
      </c>
      <c r="F59" s="68">
        <v>42</v>
      </c>
      <c r="G59" s="126">
        <v>80163</v>
      </c>
      <c r="H59" s="127">
        <v>10428</v>
      </c>
      <c r="I59" s="127">
        <v>61388</v>
      </c>
      <c r="J59" s="127">
        <v>8347</v>
      </c>
      <c r="K59" s="68">
        <v>345</v>
      </c>
      <c r="L59" s="70">
        <v>358383</v>
      </c>
      <c r="M59" s="70">
        <v>32039483.189269066</v>
      </c>
      <c r="N59" s="128">
        <v>1.1252095156794586</v>
      </c>
      <c r="O59" s="70">
        <v>36051131.362017602</v>
      </c>
      <c r="P59" s="70">
        <v>273988.59835133376</v>
      </c>
      <c r="Q59" s="70">
        <v>26537099.810730934</v>
      </c>
      <c r="R59" s="128">
        <v>1.1475217913365015</v>
      </c>
      <c r="S59" s="92">
        <v>1061</v>
      </c>
      <c r="T59" s="70">
        <v>1061</v>
      </c>
      <c r="U59" s="70">
        <v>30397900.697575726</v>
      </c>
      <c r="V59" s="70">
        <v>66807415.059593327</v>
      </c>
      <c r="W59" s="70">
        <v>0.45</v>
      </c>
      <c r="X59" s="70">
        <v>3.4178935213419379</v>
      </c>
      <c r="Y59" s="70">
        <v>0.37</v>
      </c>
      <c r="Z59" s="70">
        <v>837.63254017370446</v>
      </c>
      <c r="AA59" s="129">
        <v>0.89587465538964361</v>
      </c>
      <c r="AB59" s="70">
        <v>837.63254017370446</v>
      </c>
      <c r="AC59" s="70">
        <v>771.22</v>
      </c>
      <c r="AD59" s="70" t="s">
        <v>452</v>
      </c>
      <c r="AE59" s="70" t="s">
        <v>452</v>
      </c>
      <c r="AF59" s="70">
        <v>573.33169761411625</v>
      </c>
      <c r="AG59" s="70">
        <v>771.22</v>
      </c>
      <c r="AH59" s="70">
        <v>761.45</v>
      </c>
    </row>
    <row r="60" spans="1:35" x14ac:dyDescent="0.45">
      <c r="A60" s="68" t="s">
        <v>59</v>
      </c>
      <c r="B60" s="68">
        <v>1447724646</v>
      </c>
      <c r="C60" s="69">
        <v>0</v>
      </c>
      <c r="D60" s="125">
        <v>44378</v>
      </c>
      <c r="E60" s="125">
        <v>44742</v>
      </c>
      <c r="F60" s="68">
        <v>42</v>
      </c>
      <c r="G60" s="126">
        <v>8651</v>
      </c>
      <c r="H60" s="127">
        <v>0</v>
      </c>
      <c r="I60" s="127">
        <v>0</v>
      </c>
      <c r="J60" s="127">
        <v>8651</v>
      </c>
      <c r="K60" s="68">
        <v>24</v>
      </c>
      <c r="L60" s="70">
        <v>346508</v>
      </c>
      <c r="M60" s="70">
        <v>8861848.7381493673</v>
      </c>
      <c r="N60" s="128">
        <v>1.1252095156794586</v>
      </c>
      <c r="O60" s="70">
        <v>9971436.52667767</v>
      </c>
      <c r="P60" s="70">
        <v>75782.917602750298</v>
      </c>
      <c r="Q60" s="70">
        <v>7339936.2618506327</v>
      </c>
      <c r="R60" s="128">
        <v>1.1475217913365015</v>
      </c>
      <c r="S60" s="92">
        <v>1061</v>
      </c>
      <c r="T60" s="70">
        <v>1061</v>
      </c>
      <c r="U60" s="70">
        <v>8418980.3125999887</v>
      </c>
      <c r="V60" s="70">
        <v>18736924.839277659</v>
      </c>
      <c r="W60" s="70">
        <v>0.45</v>
      </c>
      <c r="X60" s="70">
        <v>8.7600182178650208</v>
      </c>
      <c r="Y60" s="70" t="s">
        <v>452</v>
      </c>
      <c r="Z60" s="70">
        <v>2175.0781073726048</v>
      </c>
      <c r="AA60" s="129">
        <v>0</v>
      </c>
      <c r="AB60" s="70" t="s">
        <v>452</v>
      </c>
      <c r="AC60" s="70">
        <v>771.22</v>
      </c>
      <c r="AD60" s="70" t="s">
        <v>452</v>
      </c>
      <c r="AE60" s="70" t="s">
        <v>452</v>
      </c>
      <c r="AF60" s="70">
        <v>704.86</v>
      </c>
      <c r="AG60" s="70">
        <v>771.22</v>
      </c>
      <c r="AH60" s="70">
        <v>761.45</v>
      </c>
    </row>
    <row r="61" spans="1:35" x14ac:dyDescent="0.45">
      <c r="A61" s="68" t="s">
        <v>60</v>
      </c>
      <c r="B61" s="68">
        <v>1326234022</v>
      </c>
      <c r="C61" s="69" t="s">
        <v>93</v>
      </c>
      <c r="D61" s="125">
        <v>44378</v>
      </c>
      <c r="E61" s="125">
        <v>44742</v>
      </c>
      <c r="F61" s="68">
        <v>42</v>
      </c>
      <c r="G61" s="126">
        <v>4774</v>
      </c>
      <c r="H61" s="127">
        <v>2979</v>
      </c>
      <c r="I61" s="127">
        <v>694</v>
      </c>
      <c r="J61" s="127">
        <v>1101</v>
      </c>
      <c r="K61" s="68">
        <v>16</v>
      </c>
      <c r="L61" s="70">
        <v>54158</v>
      </c>
      <c r="M61" s="70">
        <v>2192057.3113725889</v>
      </c>
      <c r="N61" s="128">
        <v>1.1252095156794586</v>
      </c>
      <c r="O61" s="70">
        <v>2466523.745671167</v>
      </c>
      <c r="P61" s="70">
        <v>18745.58046710087</v>
      </c>
      <c r="Q61" s="70">
        <v>1815598.6886274111</v>
      </c>
      <c r="R61" s="128">
        <v>1.1475217913365015</v>
      </c>
      <c r="S61" s="92">
        <v>1061</v>
      </c>
      <c r="T61" s="70">
        <v>1061</v>
      </c>
      <c r="U61" s="70">
        <v>2080934.7295922013</v>
      </c>
      <c r="V61" s="70">
        <v>4601616.4752633683</v>
      </c>
      <c r="W61" s="70">
        <v>0.45</v>
      </c>
      <c r="X61" s="70">
        <v>3.9265983383118703</v>
      </c>
      <c r="Y61" s="70" t="s">
        <v>452</v>
      </c>
      <c r="Z61" s="70">
        <v>968.26777455602632</v>
      </c>
      <c r="AA61" s="129">
        <v>0.76937578550481778</v>
      </c>
      <c r="AB61" s="70">
        <v>968.26777455602632</v>
      </c>
      <c r="AC61" s="70">
        <v>771.22</v>
      </c>
      <c r="AD61" s="70">
        <v>771.22</v>
      </c>
      <c r="AE61" s="70">
        <v>705.62139420257563</v>
      </c>
      <c r="AF61" s="70">
        <v>704.86</v>
      </c>
      <c r="AG61" s="70">
        <v>771.22</v>
      </c>
      <c r="AH61" s="70">
        <v>761.45</v>
      </c>
    </row>
    <row r="62" spans="1:35" x14ac:dyDescent="0.45">
      <c r="A62" s="68" t="s">
        <v>61</v>
      </c>
      <c r="B62" s="68">
        <v>1386252112</v>
      </c>
      <c r="C62" s="69">
        <v>0</v>
      </c>
      <c r="D62" s="125">
        <v>44378</v>
      </c>
      <c r="E62" s="125">
        <v>44742</v>
      </c>
      <c r="F62" s="68">
        <v>42</v>
      </c>
      <c r="G62" s="126">
        <v>42592</v>
      </c>
      <c r="H62" s="127">
        <v>3720</v>
      </c>
      <c r="I62" s="127">
        <v>14775</v>
      </c>
      <c r="J62" s="127">
        <v>24097</v>
      </c>
      <c r="K62" s="68">
        <v>155</v>
      </c>
      <c r="L62" s="70">
        <v>365411</v>
      </c>
      <c r="M62" s="70">
        <v>12675487.815449011</v>
      </c>
      <c r="N62" s="128">
        <v>1.1252095156794586</v>
      </c>
      <c r="O62" s="70">
        <v>14262579.50582226</v>
      </c>
      <c r="P62" s="70">
        <v>108395.60424424917</v>
      </c>
      <c r="Q62" s="70">
        <v>10498630.184550989</v>
      </c>
      <c r="R62" s="128">
        <v>1.1475217913365015</v>
      </c>
      <c r="S62" s="92">
        <v>1061</v>
      </c>
      <c r="T62" s="70">
        <v>1061</v>
      </c>
      <c r="U62" s="70">
        <v>12023146.219761172</v>
      </c>
      <c r="V62" s="70">
        <v>26651136.725583434</v>
      </c>
      <c r="W62" s="70">
        <v>0.45</v>
      </c>
      <c r="X62" s="70">
        <v>2.5449756819179465</v>
      </c>
      <c r="Y62" s="70" t="s">
        <v>452</v>
      </c>
      <c r="Z62" s="70">
        <v>628.72602201886934</v>
      </c>
      <c r="AA62" s="129">
        <v>0.43423647633358375</v>
      </c>
      <c r="AB62" s="70">
        <v>628.72602201886934</v>
      </c>
      <c r="AC62" s="70">
        <v>628.72602201886934</v>
      </c>
      <c r="AD62" s="70" t="s">
        <v>452</v>
      </c>
      <c r="AE62" s="70" t="s">
        <v>452</v>
      </c>
      <c r="AF62" s="70">
        <v>636.04</v>
      </c>
      <c r="AG62" s="70">
        <v>636.04</v>
      </c>
      <c r="AH62" s="70">
        <v>626.27</v>
      </c>
      <c r="AI62" s="79"/>
    </row>
    <row r="63" spans="1:35" x14ac:dyDescent="0.45">
      <c r="A63" s="68" t="s">
        <v>62</v>
      </c>
      <c r="B63" s="68">
        <v>1538142369</v>
      </c>
      <c r="C63" s="69">
        <v>0</v>
      </c>
      <c r="D63" s="125">
        <v>44470</v>
      </c>
      <c r="E63" s="125">
        <v>44834</v>
      </c>
      <c r="F63" s="68">
        <v>39</v>
      </c>
      <c r="G63" s="126">
        <v>23993</v>
      </c>
      <c r="H63" s="127">
        <v>4958</v>
      </c>
      <c r="I63" s="127">
        <v>8851</v>
      </c>
      <c r="J63" s="127">
        <v>10184</v>
      </c>
      <c r="K63" s="68">
        <v>100</v>
      </c>
      <c r="L63" s="70">
        <v>1720646</v>
      </c>
      <c r="M63" s="70">
        <v>10727173.413008155</v>
      </c>
      <c r="N63" s="128">
        <v>1.116553129176213</v>
      </c>
      <c r="O63" s="70">
        <v>11977459.041510133</v>
      </c>
      <c r="P63" s="70">
        <v>91028.688715477008</v>
      </c>
      <c r="Q63" s="70">
        <v>8884914.5869918447</v>
      </c>
      <c r="R63" s="128">
        <v>1.1172366883148797</v>
      </c>
      <c r="S63" s="92">
        <v>1061</v>
      </c>
      <c r="T63" s="70">
        <v>1061</v>
      </c>
      <c r="U63" s="70">
        <v>9914113.7365011275</v>
      </c>
      <c r="V63" s="70">
        <v>23612218.778011262</v>
      </c>
      <c r="W63" s="70">
        <v>0.45</v>
      </c>
      <c r="X63" s="70">
        <v>3.7939686039877052</v>
      </c>
      <c r="Y63" s="70" t="s">
        <v>452</v>
      </c>
      <c r="Z63" s="70">
        <v>988.37345545478843</v>
      </c>
      <c r="AA63" s="129">
        <v>0.57554286666944521</v>
      </c>
      <c r="AB63" s="70">
        <v>988.37345545478843</v>
      </c>
      <c r="AC63" s="70">
        <v>771.22</v>
      </c>
      <c r="AD63" s="70" t="s">
        <v>452</v>
      </c>
      <c r="AE63" s="70" t="s">
        <v>452</v>
      </c>
      <c r="AF63" s="70">
        <v>704.86</v>
      </c>
      <c r="AG63" s="70">
        <v>771.22</v>
      </c>
      <c r="AH63" s="70">
        <v>761.45</v>
      </c>
    </row>
    <row r="64" spans="1:35" x14ac:dyDescent="0.45">
      <c r="A64" s="68" t="s">
        <v>63</v>
      </c>
      <c r="B64" s="68">
        <v>1184607418</v>
      </c>
      <c r="C64" s="69">
        <v>0</v>
      </c>
      <c r="D64" s="125">
        <v>44470</v>
      </c>
      <c r="E64" s="125">
        <v>44834</v>
      </c>
      <c r="F64" s="68">
        <v>39</v>
      </c>
      <c r="G64" s="126">
        <v>14195</v>
      </c>
      <c r="H64" s="127">
        <v>3643</v>
      </c>
      <c r="I64" s="127">
        <v>6982</v>
      </c>
      <c r="J64" s="127">
        <v>3570</v>
      </c>
      <c r="K64" s="68">
        <v>51</v>
      </c>
      <c r="L64" s="70">
        <v>716820</v>
      </c>
      <c r="M64" s="70">
        <v>5483690.9091965789</v>
      </c>
      <c r="N64" s="128">
        <v>1.116553129176213</v>
      </c>
      <c r="O64" s="70">
        <v>6122832.2440985925</v>
      </c>
      <c r="P64" s="70">
        <v>46533.525055149301</v>
      </c>
      <c r="Q64" s="70">
        <v>4541935.0908034211</v>
      </c>
      <c r="R64" s="128">
        <v>1.1172366883148797</v>
      </c>
      <c r="S64" s="92">
        <v>1061</v>
      </c>
      <c r="T64" s="70">
        <v>1061</v>
      </c>
      <c r="U64" s="70">
        <v>5068072.7249489501</v>
      </c>
      <c r="V64" s="70">
        <v>11907724.969047543</v>
      </c>
      <c r="W64" s="70">
        <v>0.45</v>
      </c>
      <c r="X64" s="70">
        <v>3.2781630894786402</v>
      </c>
      <c r="Y64" s="70" t="s">
        <v>452</v>
      </c>
      <c r="Z64" s="70">
        <v>842.5957199086082</v>
      </c>
      <c r="AA64" s="129">
        <v>0.74850299401197606</v>
      </c>
      <c r="AB64" s="70">
        <v>842.5957199086082</v>
      </c>
      <c r="AC64" s="70">
        <v>771.22</v>
      </c>
      <c r="AD64" s="70" t="s">
        <v>452</v>
      </c>
      <c r="AE64" s="70" t="s">
        <v>452</v>
      </c>
      <c r="AF64" s="70">
        <v>704.86</v>
      </c>
      <c r="AG64" s="70">
        <v>771.22</v>
      </c>
      <c r="AH64" s="70">
        <v>761.45</v>
      </c>
    </row>
    <row r="65" spans="1:34" x14ac:dyDescent="0.45">
      <c r="A65" s="68" t="s">
        <v>64</v>
      </c>
      <c r="B65" s="68">
        <v>1396031639</v>
      </c>
      <c r="C65" s="69">
        <v>0</v>
      </c>
      <c r="D65" s="125">
        <v>44562</v>
      </c>
      <c r="E65" s="125">
        <v>44926</v>
      </c>
      <c r="F65" s="68">
        <v>36</v>
      </c>
      <c r="G65" s="126">
        <v>7557</v>
      </c>
      <c r="H65" s="127">
        <v>0</v>
      </c>
      <c r="I65" s="127">
        <v>0</v>
      </c>
      <c r="J65" s="127">
        <v>7557</v>
      </c>
      <c r="K65" s="68">
        <v>22</v>
      </c>
      <c r="L65" s="70">
        <v>506414</v>
      </c>
      <c r="M65" s="70">
        <v>3009424.6572569073</v>
      </c>
      <c r="N65" s="128">
        <v>1.1124956485930844</v>
      </c>
      <c r="O65" s="70">
        <v>3347971.8359670439</v>
      </c>
      <c r="P65" s="70">
        <v>25444.585953349535</v>
      </c>
      <c r="Q65" s="70">
        <v>2492593.3427430927</v>
      </c>
      <c r="R65" s="128">
        <v>1.095819697808702</v>
      </c>
      <c r="S65" s="92">
        <v>1765</v>
      </c>
      <c r="T65" s="70">
        <v>1342</v>
      </c>
      <c r="U65" s="70">
        <v>2718406.2047388065</v>
      </c>
      <c r="V65" s="70">
        <v>6572792.0407058503</v>
      </c>
      <c r="W65" s="70">
        <v>0.45</v>
      </c>
      <c r="X65" s="70">
        <v>3.3670220925432757</v>
      </c>
      <c r="Y65" s="70" t="s">
        <v>452</v>
      </c>
      <c r="Z65" s="70">
        <v>873.57910237649867</v>
      </c>
      <c r="AA65" s="129">
        <v>0</v>
      </c>
      <c r="AB65" s="70" t="s">
        <v>452</v>
      </c>
      <c r="AC65" s="70">
        <v>771.22</v>
      </c>
      <c r="AD65" s="70" t="s">
        <v>452</v>
      </c>
      <c r="AE65" s="70" t="s">
        <v>452</v>
      </c>
      <c r="AF65" s="70">
        <v>704.86</v>
      </c>
      <c r="AG65" s="70">
        <v>771.22</v>
      </c>
      <c r="AH65" s="70">
        <v>761.45</v>
      </c>
    </row>
    <row r="66" spans="1:34" x14ac:dyDescent="0.45">
      <c r="A66" s="68" t="s">
        <v>65</v>
      </c>
      <c r="B66" s="68">
        <v>1235352618</v>
      </c>
      <c r="C66" s="69">
        <v>0</v>
      </c>
      <c r="D66" s="125">
        <v>44378</v>
      </c>
      <c r="E66" s="125">
        <v>44742</v>
      </c>
      <c r="F66" s="68">
        <v>42</v>
      </c>
      <c r="G66" s="126">
        <v>11756</v>
      </c>
      <c r="H66" s="127">
        <v>0</v>
      </c>
      <c r="I66" s="127">
        <v>0</v>
      </c>
      <c r="J66" s="127">
        <v>11756</v>
      </c>
      <c r="K66" s="68">
        <v>35</v>
      </c>
      <c r="L66" s="70">
        <v>409949</v>
      </c>
      <c r="M66" s="70">
        <v>4836694.6199893467</v>
      </c>
      <c r="N66" s="128">
        <v>1.1252095156794586</v>
      </c>
      <c r="O66" s="70">
        <v>5442294.8108476559</v>
      </c>
      <c r="P66" s="70">
        <v>41361.440562442185</v>
      </c>
      <c r="Q66" s="70">
        <v>4006052.3800106533</v>
      </c>
      <c r="R66" s="128">
        <v>1.1475217913365015</v>
      </c>
      <c r="S66" s="92">
        <v>1061</v>
      </c>
      <c r="T66" s="70">
        <v>1061</v>
      </c>
      <c r="U66" s="70">
        <v>4591554.1815763991</v>
      </c>
      <c r="V66" s="70">
        <v>10443797.992424056</v>
      </c>
      <c r="W66" s="70">
        <v>0.45</v>
      </c>
      <c r="X66" s="70">
        <v>3.5183260090542858</v>
      </c>
      <c r="Y66" s="70">
        <v>5.92</v>
      </c>
      <c r="Z66" s="70">
        <v>898.2685567358368</v>
      </c>
      <c r="AA66" s="129">
        <v>0</v>
      </c>
      <c r="AB66" s="70" t="s">
        <v>452</v>
      </c>
      <c r="AC66" s="70">
        <v>771.22</v>
      </c>
      <c r="AD66" s="70" t="s">
        <v>452</v>
      </c>
      <c r="AE66" s="70" t="s">
        <v>452</v>
      </c>
      <c r="AF66" s="70">
        <v>704.86</v>
      </c>
      <c r="AG66" s="70">
        <v>771.22</v>
      </c>
      <c r="AH66" s="70">
        <v>761.45</v>
      </c>
    </row>
    <row r="67" spans="1:34" x14ac:dyDescent="0.45">
      <c r="A67" s="68" t="s">
        <v>66</v>
      </c>
      <c r="B67" s="68">
        <v>1407938574</v>
      </c>
      <c r="C67" s="69">
        <v>0</v>
      </c>
      <c r="D67" s="125">
        <v>44378</v>
      </c>
      <c r="E67" s="125">
        <v>44742</v>
      </c>
      <c r="F67" s="68">
        <v>42</v>
      </c>
      <c r="G67" s="126">
        <v>9113</v>
      </c>
      <c r="H67" s="127">
        <v>910</v>
      </c>
      <c r="I67" s="127">
        <v>4544</v>
      </c>
      <c r="J67" s="127">
        <v>3659</v>
      </c>
      <c r="K67" s="68">
        <v>27</v>
      </c>
      <c r="L67" s="70">
        <v>607289</v>
      </c>
      <c r="M67" s="70">
        <v>3691785.672759037</v>
      </c>
      <c r="N67" s="128">
        <v>1.1252095156794586</v>
      </c>
      <c r="O67" s="70">
        <v>4154032.3688375601</v>
      </c>
      <c r="P67" s="70">
        <v>31570.646003165457</v>
      </c>
      <c r="Q67" s="70">
        <v>3057767.327240963</v>
      </c>
      <c r="R67" s="128">
        <v>1.1475217913365015</v>
      </c>
      <c r="S67" s="92">
        <v>1061</v>
      </c>
      <c r="T67" s="70">
        <v>1061</v>
      </c>
      <c r="U67" s="70">
        <v>3504628.5840893593</v>
      </c>
      <c r="V67" s="70">
        <v>8265949.9529269189</v>
      </c>
      <c r="W67" s="70">
        <v>0.45</v>
      </c>
      <c r="X67" s="70">
        <v>3.4643526833277138</v>
      </c>
      <c r="Y67" s="70" t="s">
        <v>452</v>
      </c>
      <c r="Z67" s="70">
        <v>910.96471512455662</v>
      </c>
      <c r="AA67" s="129">
        <v>0.59848567979809064</v>
      </c>
      <c r="AB67" s="70">
        <v>910.96471512455662</v>
      </c>
      <c r="AC67" s="70">
        <v>771.22</v>
      </c>
      <c r="AD67" s="70" t="s">
        <v>452</v>
      </c>
      <c r="AE67" s="70" t="s">
        <v>452</v>
      </c>
      <c r="AF67" s="70">
        <v>704.86</v>
      </c>
      <c r="AG67" s="70">
        <v>771.22</v>
      </c>
      <c r="AH67" s="70">
        <v>761.45</v>
      </c>
    </row>
    <row r="68" spans="1:34" x14ac:dyDescent="0.45">
      <c r="A68" s="68" t="s">
        <v>67</v>
      </c>
      <c r="B68" s="68">
        <v>1801887401</v>
      </c>
      <c r="C68" s="69" t="s">
        <v>93</v>
      </c>
      <c r="D68" s="125">
        <v>44562</v>
      </c>
      <c r="E68" s="125">
        <v>44926</v>
      </c>
      <c r="F68" s="68">
        <v>36</v>
      </c>
      <c r="G68" s="126">
        <v>17850</v>
      </c>
      <c r="H68" s="127">
        <v>17108</v>
      </c>
      <c r="I68" s="127">
        <v>181</v>
      </c>
      <c r="J68" s="127">
        <v>561</v>
      </c>
      <c r="K68" s="68">
        <v>68</v>
      </c>
      <c r="L68" s="70">
        <v>205343</v>
      </c>
      <c r="M68" s="70">
        <v>7338646.1754761375</v>
      </c>
      <c r="N68" s="128">
        <v>1.1124956485930844</v>
      </c>
      <c r="O68" s="70">
        <v>8164211.9367814837</v>
      </c>
      <c r="P68" s="70">
        <v>62048.010719539277</v>
      </c>
      <c r="Q68" s="70">
        <v>6078324.8245238625</v>
      </c>
      <c r="R68" s="128">
        <v>1.095819697808702</v>
      </c>
      <c r="S68" s="92">
        <v>1061</v>
      </c>
      <c r="T68" s="70">
        <v>1061</v>
      </c>
      <c r="U68" s="70">
        <v>6653834.8728353688</v>
      </c>
      <c r="V68" s="70">
        <v>15023389.809616853</v>
      </c>
      <c r="W68" s="70">
        <v>0.45</v>
      </c>
      <c r="X68" s="70">
        <v>3.4760790319069623</v>
      </c>
      <c r="Y68" s="70" t="s">
        <v>452</v>
      </c>
      <c r="Z68" s="70">
        <v>845.57256696562422</v>
      </c>
      <c r="AA68" s="129">
        <v>0.96857142857142853</v>
      </c>
      <c r="AB68" s="70">
        <v>845.57256696562422</v>
      </c>
      <c r="AC68" s="70">
        <v>771.22</v>
      </c>
      <c r="AD68" s="70">
        <v>771.22</v>
      </c>
      <c r="AE68" s="70">
        <v>705.62139420257563</v>
      </c>
      <c r="AF68" s="70">
        <v>695.81804641860936</v>
      </c>
      <c r="AG68" s="70">
        <v>771.22</v>
      </c>
      <c r="AH68" s="70">
        <v>761.45</v>
      </c>
    </row>
    <row r="69" spans="1:34" x14ac:dyDescent="0.45">
      <c r="A69" s="68" t="s">
        <v>68</v>
      </c>
      <c r="B69" s="68">
        <v>1922350206</v>
      </c>
      <c r="C69" s="69">
        <v>0</v>
      </c>
      <c r="D69" s="125">
        <v>44562</v>
      </c>
      <c r="E69" s="125">
        <v>44926</v>
      </c>
      <c r="F69" s="68">
        <v>36</v>
      </c>
      <c r="G69" s="126">
        <v>5879</v>
      </c>
      <c r="H69" s="127">
        <v>0</v>
      </c>
      <c r="I69" s="127">
        <v>0</v>
      </c>
      <c r="J69" s="127">
        <v>5879</v>
      </c>
      <c r="K69" s="68">
        <v>21</v>
      </c>
      <c r="L69" s="70">
        <v>213131</v>
      </c>
      <c r="M69" s="70">
        <v>4782545.3911711611</v>
      </c>
      <c r="N69" s="128">
        <v>1.1124956485930844</v>
      </c>
      <c r="O69" s="70">
        <v>5320560.9368768269</v>
      </c>
      <c r="P69" s="70">
        <v>40436.263120263888</v>
      </c>
      <c r="Q69" s="70">
        <v>3961202.6088288389</v>
      </c>
      <c r="R69" s="128">
        <v>1.095819697808702</v>
      </c>
      <c r="S69" s="92">
        <v>1765</v>
      </c>
      <c r="T69" s="70">
        <v>1342</v>
      </c>
      <c r="U69" s="70">
        <v>4328329.2886665808</v>
      </c>
      <c r="V69" s="70">
        <v>9862021.2255434077</v>
      </c>
      <c r="W69" s="70">
        <v>0.45</v>
      </c>
      <c r="X69" s="70">
        <v>6.8780852390311082</v>
      </c>
      <c r="Y69" s="70" t="s">
        <v>452</v>
      </c>
      <c r="Z69" s="70">
        <v>1684.8278684578452</v>
      </c>
      <c r="AA69" s="129">
        <v>0</v>
      </c>
      <c r="AB69" s="70" t="s">
        <v>452</v>
      </c>
      <c r="AC69" s="70">
        <v>771.22</v>
      </c>
      <c r="AD69" s="70" t="s">
        <v>452</v>
      </c>
      <c r="AE69" s="70" t="s">
        <v>452</v>
      </c>
      <c r="AF69" s="70">
        <v>704.86</v>
      </c>
      <c r="AG69" s="70">
        <v>771.22</v>
      </c>
      <c r="AH69" s="70">
        <v>761.45</v>
      </c>
    </row>
    <row r="70" spans="1:34" x14ac:dyDescent="0.45">
      <c r="A70" s="68" t="s">
        <v>69</v>
      </c>
      <c r="B70" s="68">
        <v>1295897395</v>
      </c>
      <c r="C70" s="69" t="s">
        <v>93</v>
      </c>
      <c r="D70" s="125">
        <v>44378</v>
      </c>
      <c r="E70" s="125">
        <v>44742</v>
      </c>
      <c r="F70" s="68">
        <v>42</v>
      </c>
      <c r="G70" s="126">
        <v>7473</v>
      </c>
      <c r="H70" s="127">
        <v>7126</v>
      </c>
      <c r="I70" s="127">
        <v>0</v>
      </c>
      <c r="J70" s="127">
        <v>347</v>
      </c>
      <c r="K70" s="68">
        <v>37</v>
      </c>
      <c r="L70" s="70">
        <v>881697</v>
      </c>
      <c r="M70" s="70">
        <v>4057066.3860230111</v>
      </c>
      <c r="N70" s="128">
        <v>1.1252095156794586</v>
      </c>
      <c r="O70" s="70">
        <v>4565049.7032963634</v>
      </c>
      <c r="P70" s="70">
        <v>34694.377745052363</v>
      </c>
      <c r="Q70" s="70">
        <v>3360315.6139769889</v>
      </c>
      <c r="R70" s="128">
        <v>1.1475217913365015</v>
      </c>
      <c r="S70" s="92">
        <v>1061</v>
      </c>
      <c r="T70" s="70">
        <v>1061</v>
      </c>
      <c r="U70" s="70">
        <v>3850244.1298443931</v>
      </c>
      <c r="V70" s="70">
        <v>9296990.8331407569</v>
      </c>
      <c r="W70" s="70">
        <v>0.45</v>
      </c>
      <c r="X70" s="70">
        <v>4.6426305024825858</v>
      </c>
      <c r="Y70" s="70" t="s">
        <v>452</v>
      </c>
      <c r="Z70" s="70">
        <v>1249.1700870983286</v>
      </c>
      <c r="AA70" s="129">
        <v>0.95356617155091661</v>
      </c>
      <c r="AB70" s="70">
        <v>1249.1700870983286</v>
      </c>
      <c r="AC70" s="70">
        <v>771.22</v>
      </c>
      <c r="AD70" s="70">
        <v>771.22</v>
      </c>
      <c r="AE70" s="70">
        <v>705.62139420257563</v>
      </c>
      <c r="AF70" s="70">
        <v>704.86</v>
      </c>
      <c r="AG70" s="70">
        <v>771.22</v>
      </c>
      <c r="AH70" s="70">
        <v>761.45</v>
      </c>
    </row>
    <row r="71" spans="1:34" x14ac:dyDescent="0.45">
      <c r="A71" s="68" t="s">
        <v>70</v>
      </c>
      <c r="B71" s="68">
        <v>1740268713</v>
      </c>
      <c r="C71" s="69">
        <v>0</v>
      </c>
      <c r="D71" s="125">
        <v>44378</v>
      </c>
      <c r="E71" s="125">
        <v>44742</v>
      </c>
      <c r="F71" s="68">
        <v>42</v>
      </c>
      <c r="G71" s="126">
        <v>8328</v>
      </c>
      <c r="H71" s="127">
        <v>25</v>
      </c>
      <c r="I71" s="127">
        <v>0</v>
      </c>
      <c r="J71" s="127">
        <v>8303</v>
      </c>
      <c r="K71" s="68">
        <v>40</v>
      </c>
      <c r="L71" s="70">
        <v>884616</v>
      </c>
      <c r="M71" s="70">
        <v>5988623.8942116611</v>
      </c>
      <c r="N71" s="128">
        <v>1.1252095156794586</v>
      </c>
      <c r="O71" s="70">
        <v>6738456.5915923361</v>
      </c>
      <c r="P71" s="70">
        <v>51212.270096101754</v>
      </c>
      <c r="Q71" s="70">
        <v>4960152.1057883389</v>
      </c>
      <c r="R71" s="128">
        <v>1.1475217913365015</v>
      </c>
      <c r="S71" s="92">
        <v>1765</v>
      </c>
      <c r="T71" s="70">
        <v>1342</v>
      </c>
      <c r="U71" s="70">
        <v>5664547.5912673976</v>
      </c>
      <c r="V71" s="70">
        <v>13287620.182859734</v>
      </c>
      <c r="W71" s="70">
        <v>0.45</v>
      </c>
      <c r="X71" s="70">
        <v>6.1494080326731213</v>
      </c>
      <c r="Y71" s="70" t="s">
        <v>452</v>
      </c>
      <c r="Z71" s="70">
        <v>1602.1349727372522</v>
      </c>
      <c r="AA71" s="129">
        <v>3.0019212295869357E-3</v>
      </c>
      <c r="AB71" s="70" t="s">
        <v>452</v>
      </c>
      <c r="AC71" s="70">
        <v>771.22</v>
      </c>
      <c r="AD71" s="70" t="s">
        <v>452</v>
      </c>
      <c r="AE71" s="70" t="s">
        <v>452</v>
      </c>
      <c r="AF71" s="70">
        <v>704.86</v>
      </c>
      <c r="AG71" s="70">
        <v>771.22</v>
      </c>
      <c r="AH71" s="70">
        <v>761.45</v>
      </c>
    </row>
    <row r="72" spans="1:34" x14ac:dyDescent="0.45">
      <c r="A72" s="68" t="s">
        <v>71</v>
      </c>
      <c r="B72" s="68">
        <v>1154404010</v>
      </c>
      <c r="C72" s="69" t="s">
        <v>93</v>
      </c>
      <c r="D72" s="125">
        <v>44562</v>
      </c>
      <c r="E72" s="125">
        <v>44926</v>
      </c>
      <c r="F72" s="68">
        <v>36</v>
      </c>
      <c r="G72" s="126">
        <v>4254</v>
      </c>
      <c r="H72" s="127">
        <v>102</v>
      </c>
      <c r="I72" s="127">
        <v>3670</v>
      </c>
      <c r="J72" s="127">
        <v>482</v>
      </c>
      <c r="K72" s="68">
        <v>13</v>
      </c>
      <c r="L72" s="70">
        <v>20388</v>
      </c>
      <c r="M72" s="70">
        <v>1652473.9395290327</v>
      </c>
      <c r="N72" s="128">
        <v>1.1124956485930844</v>
      </c>
      <c r="O72" s="70">
        <v>1838370.0671395205</v>
      </c>
      <c r="P72" s="70">
        <v>13971.612510260356</v>
      </c>
      <c r="Q72" s="70">
        <v>1368682.0604709673</v>
      </c>
      <c r="R72" s="128">
        <v>1.095819697808702</v>
      </c>
      <c r="S72" s="92">
        <v>1061</v>
      </c>
      <c r="T72" s="70">
        <v>1061</v>
      </c>
      <c r="U72" s="70">
        <v>1498507.1208096116</v>
      </c>
      <c r="V72" s="70">
        <v>3357265.1879491322</v>
      </c>
      <c r="W72" s="70">
        <v>0.45</v>
      </c>
      <c r="X72" s="70">
        <v>3.2843470875083112</v>
      </c>
      <c r="Y72" s="70" t="s">
        <v>452</v>
      </c>
      <c r="Z72" s="70">
        <v>792.936318866806</v>
      </c>
      <c r="AA72" s="129">
        <v>0.88669487541137748</v>
      </c>
      <c r="AB72" s="70">
        <v>792.936318866806</v>
      </c>
      <c r="AC72" s="70">
        <v>771.22</v>
      </c>
      <c r="AD72" s="70">
        <v>771.22</v>
      </c>
      <c r="AE72" s="70">
        <v>705.62139420257563</v>
      </c>
      <c r="AF72" s="70">
        <v>650.17999999999995</v>
      </c>
      <c r="AG72" s="70">
        <v>771.22</v>
      </c>
      <c r="AH72" s="70">
        <v>761.45</v>
      </c>
    </row>
    <row r="73" spans="1:34" x14ac:dyDescent="0.45">
      <c r="A73" s="68" t="s">
        <v>72</v>
      </c>
      <c r="B73" s="68">
        <v>1942281936</v>
      </c>
      <c r="C73" s="69">
        <v>0</v>
      </c>
      <c r="D73" s="125">
        <v>44562</v>
      </c>
      <c r="E73" s="125">
        <v>44926</v>
      </c>
      <c r="F73" s="68">
        <v>36</v>
      </c>
      <c r="G73" s="126">
        <v>2791</v>
      </c>
      <c r="H73" s="127">
        <v>0</v>
      </c>
      <c r="I73" s="127">
        <v>175</v>
      </c>
      <c r="J73" s="127">
        <v>2616</v>
      </c>
      <c r="K73" s="68">
        <v>27</v>
      </c>
      <c r="L73" s="70">
        <v>337570</v>
      </c>
      <c r="M73" s="70">
        <v>2622566.0787935131</v>
      </c>
      <c r="N73" s="128">
        <v>1.1124956485930844</v>
      </c>
      <c r="O73" s="70">
        <v>2917593.3508056113</v>
      </c>
      <c r="P73" s="70">
        <v>22173.709466122647</v>
      </c>
      <c r="Q73" s="70">
        <v>2172172.9212064869</v>
      </c>
      <c r="R73" s="128">
        <v>1.095819697808702</v>
      </c>
      <c r="S73" s="92">
        <v>1765</v>
      </c>
      <c r="T73" s="70">
        <v>1342</v>
      </c>
      <c r="U73" s="70">
        <v>2364322.5864056642</v>
      </c>
      <c r="V73" s="70">
        <v>5619485.9372112751</v>
      </c>
      <c r="W73" s="70">
        <v>0.45</v>
      </c>
      <c r="X73" s="70">
        <v>7.9447185475179678</v>
      </c>
      <c r="Y73" s="70" t="s">
        <v>452</v>
      </c>
      <c r="Z73" s="70">
        <v>2021.8257243559292</v>
      </c>
      <c r="AA73" s="129">
        <v>6.2701540666427802E-2</v>
      </c>
      <c r="AB73" s="70" t="s">
        <v>452</v>
      </c>
      <c r="AC73" s="70">
        <v>771.22</v>
      </c>
      <c r="AD73" s="70" t="s">
        <v>452</v>
      </c>
      <c r="AE73" s="70" t="s">
        <v>452</v>
      </c>
      <c r="AF73" s="70">
        <v>704.86</v>
      </c>
      <c r="AG73" s="70">
        <v>771.22</v>
      </c>
      <c r="AH73" s="70">
        <v>761.45</v>
      </c>
    </row>
    <row r="74" spans="1:34" hidden="1" x14ac:dyDescent="0.45">
      <c r="G74" s="136"/>
      <c r="M74" s="2"/>
      <c r="P74" s="2"/>
      <c r="Q74" s="2"/>
      <c r="S74" s="2"/>
      <c r="T74" s="2"/>
      <c r="W74" s="2"/>
      <c r="Z74" s="2"/>
      <c r="AB74" s="2"/>
      <c r="AC74" s="2"/>
      <c r="AD74" s="2"/>
      <c r="AE74" s="2"/>
      <c r="AF74" s="2"/>
      <c r="AH74" s="79"/>
    </row>
  </sheetData>
  <sheetProtection sheet="1" objects="1" scenarios="1" selectLockedCells="1"/>
  <mergeCells count="4">
    <mergeCell ref="D6:E6"/>
    <mergeCell ref="Q6:U6"/>
    <mergeCell ref="AA6:AE6"/>
    <mergeCell ref="M6:P6"/>
  </mergeCells>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B2891-734C-46AE-A89C-BF3BABC19A8B}">
  <sheetPr codeName="Sheet4"/>
  <dimension ref="A1:T72"/>
  <sheetViews>
    <sheetView zoomScale="83" zoomScaleNormal="83" workbookViewId="0">
      <pane ySplit="2" topLeftCell="A3" activePane="bottomLeft" state="frozen"/>
      <selection activeCell="D1" sqref="D1"/>
      <selection pane="bottomLeft"/>
    </sheetView>
  </sheetViews>
  <sheetFormatPr defaultColWidth="0" defaultRowHeight="16" zeroHeight="1" x14ac:dyDescent="0.45"/>
  <cols>
    <col min="1" max="1" width="43.7265625" style="135" customWidth="1"/>
    <col min="2" max="2" width="16.7265625" style="135" bestFit="1" customWidth="1"/>
    <col min="3" max="3" width="8.453125" style="149" customWidth="1"/>
    <col min="4" max="4" width="13" style="135" customWidth="1"/>
    <col min="5" max="5" width="12.54296875" style="135" customWidth="1"/>
    <col min="6" max="6" width="13" style="135" customWidth="1"/>
    <col min="7" max="7" width="18.54296875" style="135" customWidth="1"/>
    <col min="8" max="8" width="20" style="135" customWidth="1"/>
    <col min="9" max="9" width="16.26953125" style="135" customWidth="1"/>
    <col min="10" max="10" width="20.26953125" style="135" customWidth="1"/>
    <col min="11" max="11" width="16.26953125" style="135" customWidth="1"/>
    <col min="12" max="12" width="14.26953125" style="135" customWidth="1"/>
    <col min="13" max="15" width="8.7265625" style="149" customWidth="1"/>
    <col min="16" max="16" width="21.26953125" style="149" customWidth="1"/>
    <col min="17" max="17" width="22.453125" style="149" customWidth="1"/>
    <col min="18" max="18" width="14.7265625" style="135" bestFit="1" customWidth="1"/>
    <col min="19" max="19" width="10.7265625" style="135" bestFit="1" customWidth="1"/>
    <col min="20" max="20" width="11.453125" style="149" bestFit="1" customWidth="1"/>
    <col min="21" max="16384" width="8.7265625" style="135" hidden="1"/>
  </cols>
  <sheetData>
    <row r="1" spans="1:20" x14ac:dyDescent="0.45">
      <c r="A1" s="84" t="s">
        <v>453</v>
      </c>
    </row>
    <row r="2" spans="1:20" s="150" customFormat="1" ht="87.65" customHeight="1" x14ac:dyDescent="0.35">
      <c r="A2" s="137" t="s">
        <v>3</v>
      </c>
      <c r="B2" s="137" t="s">
        <v>82</v>
      </c>
      <c r="C2" s="137" t="s">
        <v>83</v>
      </c>
      <c r="D2" s="137" t="s">
        <v>4</v>
      </c>
      <c r="E2" s="137" t="s">
        <v>85</v>
      </c>
      <c r="F2" s="137" t="s">
        <v>86</v>
      </c>
      <c r="G2" s="137" t="s">
        <v>241</v>
      </c>
      <c r="H2" s="137" t="s">
        <v>242</v>
      </c>
      <c r="I2" s="137" t="s">
        <v>243</v>
      </c>
      <c r="J2" s="137" t="s">
        <v>244</v>
      </c>
      <c r="K2" s="137" t="s">
        <v>245</v>
      </c>
      <c r="L2" s="137" t="s">
        <v>246</v>
      </c>
      <c r="M2" s="137" t="s">
        <v>247</v>
      </c>
      <c r="N2" s="137" t="s">
        <v>248</v>
      </c>
      <c r="O2" s="137" t="s">
        <v>249</v>
      </c>
      <c r="P2" s="138" t="s">
        <v>250</v>
      </c>
      <c r="Q2" s="138" t="s">
        <v>251</v>
      </c>
      <c r="R2" s="137" t="s">
        <v>252</v>
      </c>
      <c r="S2" s="137" t="s">
        <v>253</v>
      </c>
      <c r="T2" s="137" t="s">
        <v>87</v>
      </c>
    </row>
    <row r="3" spans="1:20" x14ac:dyDescent="0.45">
      <c r="A3" s="74" t="s">
        <v>8</v>
      </c>
      <c r="B3" s="74" t="s">
        <v>254</v>
      </c>
      <c r="C3" s="139">
        <v>1</v>
      </c>
      <c r="D3" s="74">
        <v>1235261652</v>
      </c>
      <c r="E3" s="140">
        <v>44378</v>
      </c>
      <c r="F3" s="140">
        <v>44742</v>
      </c>
      <c r="G3" s="141">
        <v>38259</v>
      </c>
      <c r="H3" s="93">
        <v>37003</v>
      </c>
      <c r="I3" s="74">
        <v>109</v>
      </c>
      <c r="J3" s="142">
        <v>3114685</v>
      </c>
      <c r="K3" s="142">
        <v>36476352</v>
      </c>
      <c r="L3" s="142">
        <v>4362994</v>
      </c>
      <c r="M3" s="139">
        <v>1</v>
      </c>
      <c r="N3" s="143">
        <v>1</v>
      </c>
      <c r="O3" s="139"/>
      <c r="P3" s="87">
        <v>35602</v>
      </c>
      <c r="Q3" s="87">
        <v>1401</v>
      </c>
      <c r="R3" s="144" t="s">
        <v>255</v>
      </c>
      <c r="S3" s="145">
        <v>704.86</v>
      </c>
      <c r="T3" s="139"/>
    </row>
    <row r="4" spans="1:20" x14ac:dyDescent="0.45">
      <c r="A4" s="74" t="s">
        <v>9</v>
      </c>
      <c r="B4" s="74" t="s">
        <v>256</v>
      </c>
      <c r="C4" s="139">
        <v>1</v>
      </c>
      <c r="D4" s="74">
        <v>1396176160</v>
      </c>
      <c r="E4" s="140">
        <v>44378</v>
      </c>
      <c r="F4" s="140">
        <v>44742</v>
      </c>
      <c r="G4" s="141">
        <v>45263</v>
      </c>
      <c r="H4" s="93">
        <v>41702</v>
      </c>
      <c r="I4" s="74">
        <v>146</v>
      </c>
      <c r="J4" s="142">
        <v>50069</v>
      </c>
      <c r="K4" s="142">
        <v>25561202</v>
      </c>
      <c r="L4" s="142">
        <v>9780440</v>
      </c>
      <c r="M4" s="139">
        <v>1</v>
      </c>
      <c r="N4" s="143">
        <v>1</v>
      </c>
      <c r="O4" s="139"/>
      <c r="P4" s="87">
        <v>38896</v>
      </c>
      <c r="Q4" s="87">
        <v>2806</v>
      </c>
      <c r="R4" s="144">
        <v>41122</v>
      </c>
      <c r="S4" s="145">
        <v>633.23119403643966</v>
      </c>
      <c r="T4" s="139"/>
    </row>
    <row r="5" spans="1:20" x14ac:dyDescent="0.45">
      <c r="A5" s="74" t="s">
        <v>10</v>
      </c>
      <c r="B5" s="74" t="s">
        <v>257</v>
      </c>
      <c r="C5" s="139">
        <v>9</v>
      </c>
      <c r="D5" s="74">
        <v>1891759502</v>
      </c>
      <c r="E5" s="140">
        <v>44562</v>
      </c>
      <c r="F5" s="140">
        <v>44926</v>
      </c>
      <c r="G5" s="141">
        <v>14466</v>
      </c>
      <c r="H5" s="93">
        <v>13144</v>
      </c>
      <c r="I5" s="74">
        <v>48</v>
      </c>
      <c r="J5" s="142">
        <v>392163</v>
      </c>
      <c r="K5" s="142">
        <v>12201254</v>
      </c>
      <c r="L5" s="142">
        <v>6471445</v>
      </c>
      <c r="M5" s="139">
        <v>1</v>
      </c>
      <c r="N5" s="143">
        <v>1</v>
      </c>
      <c r="O5" s="139"/>
      <c r="P5" s="87">
        <v>13130</v>
      </c>
      <c r="Q5" s="87">
        <v>14</v>
      </c>
      <c r="R5" s="144">
        <v>35524</v>
      </c>
      <c r="S5" s="145">
        <v>704.86</v>
      </c>
      <c r="T5" s="139" t="s">
        <v>93</v>
      </c>
    </row>
    <row r="6" spans="1:20" x14ac:dyDescent="0.45">
      <c r="A6" s="74" t="s">
        <v>11</v>
      </c>
      <c r="B6" s="74" t="s">
        <v>258</v>
      </c>
      <c r="C6" s="139">
        <v>36</v>
      </c>
      <c r="D6" s="74">
        <v>1073553756</v>
      </c>
      <c r="E6" s="140">
        <v>44378</v>
      </c>
      <c r="F6" s="140">
        <v>44742</v>
      </c>
      <c r="G6" s="141">
        <v>4312</v>
      </c>
      <c r="H6" s="93">
        <v>0</v>
      </c>
      <c r="I6" s="74">
        <v>21</v>
      </c>
      <c r="J6" s="142">
        <v>162872</v>
      </c>
      <c r="K6" s="142">
        <v>3944145</v>
      </c>
      <c r="L6" s="142">
        <v>2049828</v>
      </c>
      <c r="M6" s="139">
        <v>1</v>
      </c>
      <c r="N6" s="143">
        <v>3</v>
      </c>
      <c r="O6" s="139"/>
      <c r="P6" s="87">
        <v>0</v>
      </c>
      <c r="Q6" s="87">
        <v>0</v>
      </c>
      <c r="R6" s="144" t="s">
        <v>259</v>
      </c>
      <c r="S6" s="145">
        <v>704.86</v>
      </c>
      <c r="T6" s="139" t="s">
        <v>93</v>
      </c>
    </row>
    <row r="7" spans="1:20" x14ac:dyDescent="0.45">
      <c r="A7" s="74" t="s">
        <v>12</v>
      </c>
      <c r="B7" s="74" t="s">
        <v>260</v>
      </c>
      <c r="C7" s="139">
        <v>34</v>
      </c>
      <c r="D7" s="74">
        <v>1467560599</v>
      </c>
      <c r="E7" s="140">
        <v>44562</v>
      </c>
      <c r="F7" s="140">
        <v>44926</v>
      </c>
      <c r="G7" s="141">
        <v>54323</v>
      </c>
      <c r="H7" s="93">
        <v>44077</v>
      </c>
      <c r="I7" s="74">
        <v>171</v>
      </c>
      <c r="J7" s="142">
        <v>697183</v>
      </c>
      <c r="K7" s="142">
        <v>38370395</v>
      </c>
      <c r="L7" s="142">
        <v>25780345</v>
      </c>
      <c r="M7" s="139">
        <v>1</v>
      </c>
      <c r="N7" s="143">
        <v>1</v>
      </c>
      <c r="O7" s="139"/>
      <c r="P7" s="87">
        <v>40810</v>
      </c>
      <c r="Q7" s="87">
        <v>3267</v>
      </c>
      <c r="R7" s="144" t="s">
        <v>261</v>
      </c>
      <c r="S7" s="145">
        <v>704.86</v>
      </c>
      <c r="T7" s="139"/>
    </row>
    <row r="8" spans="1:20" x14ac:dyDescent="0.45">
      <c r="A8" s="74" t="s">
        <v>13</v>
      </c>
      <c r="B8" s="74" t="s">
        <v>262</v>
      </c>
      <c r="C8" s="139">
        <v>38</v>
      </c>
      <c r="D8" s="74">
        <v>1215095419</v>
      </c>
      <c r="E8" s="140">
        <v>44562</v>
      </c>
      <c r="F8" s="140">
        <v>44926</v>
      </c>
      <c r="G8" s="141">
        <v>6498</v>
      </c>
      <c r="H8" s="93">
        <v>2160</v>
      </c>
      <c r="I8" s="74">
        <v>29</v>
      </c>
      <c r="J8" s="142">
        <v>776147</v>
      </c>
      <c r="K8" s="142">
        <v>11804126</v>
      </c>
      <c r="L8" s="142">
        <v>7765550</v>
      </c>
      <c r="M8" s="139">
        <v>1</v>
      </c>
      <c r="N8" s="143">
        <v>1</v>
      </c>
      <c r="O8" s="139"/>
      <c r="P8" s="87">
        <v>737</v>
      </c>
      <c r="Q8" s="87">
        <v>1423</v>
      </c>
      <c r="R8" s="144" t="s">
        <v>263</v>
      </c>
      <c r="S8" s="145">
        <v>704.86</v>
      </c>
      <c r="T8" s="139"/>
    </row>
    <row r="9" spans="1:20" x14ac:dyDescent="0.45">
      <c r="A9" s="74" t="s">
        <v>14</v>
      </c>
      <c r="B9" s="74" t="s">
        <v>264</v>
      </c>
      <c r="C9" s="139">
        <v>19</v>
      </c>
      <c r="D9" s="74">
        <v>1346250347</v>
      </c>
      <c r="E9" s="140">
        <v>44378</v>
      </c>
      <c r="F9" s="140">
        <v>44742</v>
      </c>
      <c r="G9" s="141">
        <v>1691</v>
      </c>
      <c r="H9" s="93">
        <v>1691</v>
      </c>
      <c r="I9" s="74">
        <v>4</v>
      </c>
      <c r="J9" s="142">
        <v>49312</v>
      </c>
      <c r="K9" s="142">
        <v>757910</v>
      </c>
      <c r="L9" s="142">
        <v>274926</v>
      </c>
      <c r="M9" s="139">
        <v>1</v>
      </c>
      <c r="N9" s="143">
        <v>1</v>
      </c>
      <c r="O9" s="139"/>
      <c r="P9" s="87">
        <v>1691</v>
      </c>
      <c r="Q9" s="87">
        <v>0</v>
      </c>
      <c r="R9" s="144" t="s">
        <v>265</v>
      </c>
      <c r="S9" s="145">
        <v>704.86</v>
      </c>
      <c r="T9" s="139" t="s">
        <v>93</v>
      </c>
    </row>
    <row r="10" spans="1:20" x14ac:dyDescent="0.45">
      <c r="A10" s="74" t="s">
        <v>15</v>
      </c>
      <c r="B10" s="74" t="s">
        <v>266</v>
      </c>
      <c r="C10" s="139">
        <v>30</v>
      </c>
      <c r="D10" s="74">
        <v>1477672665</v>
      </c>
      <c r="E10" s="140">
        <v>44440</v>
      </c>
      <c r="F10" s="140">
        <v>44804</v>
      </c>
      <c r="G10" s="141">
        <v>8907</v>
      </c>
      <c r="H10" s="93">
        <v>0</v>
      </c>
      <c r="I10" s="74">
        <v>27</v>
      </c>
      <c r="J10" s="142">
        <v>247225</v>
      </c>
      <c r="K10" s="142">
        <v>8104680</v>
      </c>
      <c r="L10" s="142">
        <v>3419990</v>
      </c>
      <c r="M10" s="139">
        <v>1</v>
      </c>
      <c r="N10" s="143">
        <v>5</v>
      </c>
      <c r="O10" s="139">
        <v>5</v>
      </c>
      <c r="P10" s="93">
        <v>0</v>
      </c>
      <c r="Q10" s="93">
        <v>0</v>
      </c>
      <c r="R10" s="144" t="s">
        <v>267</v>
      </c>
      <c r="S10" s="145">
        <v>704.86</v>
      </c>
      <c r="T10" s="139"/>
    </row>
    <row r="11" spans="1:20" x14ac:dyDescent="0.45">
      <c r="A11" s="74" t="s">
        <v>16</v>
      </c>
      <c r="B11" s="74" t="s">
        <v>268</v>
      </c>
      <c r="C11" s="139">
        <v>10</v>
      </c>
      <c r="D11" s="74">
        <v>1801452941</v>
      </c>
      <c r="E11" s="140">
        <v>44562</v>
      </c>
      <c r="F11" s="140">
        <v>44926</v>
      </c>
      <c r="G11" s="141">
        <v>14666</v>
      </c>
      <c r="H11" s="93">
        <v>8636</v>
      </c>
      <c r="I11" s="74">
        <v>99</v>
      </c>
      <c r="J11" s="142">
        <v>31848</v>
      </c>
      <c r="K11" s="142">
        <v>7380265</v>
      </c>
      <c r="L11" s="142">
        <v>5799873</v>
      </c>
      <c r="M11" s="139">
        <v>1</v>
      </c>
      <c r="N11" s="143">
        <v>1</v>
      </c>
      <c r="O11" s="139"/>
      <c r="P11" s="93">
        <v>8636</v>
      </c>
      <c r="Q11" s="93">
        <v>0</v>
      </c>
      <c r="R11" s="144"/>
      <c r="S11" s="145">
        <v>557.88</v>
      </c>
      <c r="T11" s="139" t="s">
        <v>93</v>
      </c>
    </row>
    <row r="12" spans="1:20" x14ac:dyDescent="0.45">
      <c r="A12" s="74" t="s">
        <v>17</v>
      </c>
      <c r="B12" s="93" t="s">
        <v>269</v>
      </c>
      <c r="C12" s="94">
        <v>6</v>
      </c>
      <c r="D12" s="146">
        <v>1215476734</v>
      </c>
      <c r="E12" s="140">
        <v>44562</v>
      </c>
      <c r="F12" s="140">
        <v>44926</v>
      </c>
      <c r="G12" s="141">
        <v>1645</v>
      </c>
      <c r="H12" s="74">
        <v>557</v>
      </c>
      <c r="I12" s="74">
        <v>6</v>
      </c>
      <c r="J12" s="74">
        <v>0</v>
      </c>
      <c r="K12" s="93">
        <v>412710</v>
      </c>
      <c r="L12" s="93">
        <v>203575</v>
      </c>
      <c r="M12" s="139">
        <v>1</v>
      </c>
      <c r="N12" s="143">
        <v>0</v>
      </c>
      <c r="O12" s="139"/>
      <c r="P12" s="74">
        <v>557</v>
      </c>
      <c r="Q12" s="74">
        <v>0</v>
      </c>
      <c r="R12" s="74"/>
      <c r="S12" s="145">
        <v>636.04</v>
      </c>
      <c r="T12" s="139" t="s">
        <v>93</v>
      </c>
    </row>
    <row r="13" spans="1:20" x14ac:dyDescent="0.45">
      <c r="A13" s="74" t="s">
        <v>18</v>
      </c>
      <c r="B13" s="74" t="s">
        <v>270</v>
      </c>
      <c r="C13" s="139">
        <v>36</v>
      </c>
      <c r="D13" s="74">
        <v>1235290818</v>
      </c>
      <c r="E13" s="140">
        <v>44562</v>
      </c>
      <c r="F13" s="140">
        <v>44926</v>
      </c>
      <c r="G13" s="141">
        <v>31139</v>
      </c>
      <c r="H13" s="93">
        <v>0</v>
      </c>
      <c r="I13" s="74">
        <v>88</v>
      </c>
      <c r="J13" s="142">
        <v>525705</v>
      </c>
      <c r="K13" s="142">
        <v>27328010</v>
      </c>
      <c r="L13" s="142">
        <v>17368977</v>
      </c>
      <c r="M13" s="139">
        <v>1</v>
      </c>
      <c r="N13" s="143">
        <v>5</v>
      </c>
      <c r="O13" s="139">
        <v>5</v>
      </c>
      <c r="P13" s="147">
        <v>0</v>
      </c>
      <c r="Q13" s="147">
        <v>0</v>
      </c>
      <c r="R13" s="144">
        <v>34918</v>
      </c>
      <c r="S13" s="145">
        <v>704.86</v>
      </c>
      <c r="T13" s="139"/>
    </row>
    <row r="14" spans="1:20" x14ac:dyDescent="0.45">
      <c r="A14" s="74" t="s">
        <v>19</v>
      </c>
      <c r="B14" s="74" t="s">
        <v>271</v>
      </c>
      <c r="C14" s="139">
        <v>10</v>
      </c>
      <c r="D14" s="74">
        <v>1295816569</v>
      </c>
      <c r="E14" s="140">
        <v>44440</v>
      </c>
      <c r="F14" s="140">
        <v>44804</v>
      </c>
      <c r="G14" s="141">
        <v>17372</v>
      </c>
      <c r="H14" s="93">
        <v>17241</v>
      </c>
      <c r="I14" s="74">
        <v>58</v>
      </c>
      <c r="J14" s="142">
        <v>586086</v>
      </c>
      <c r="K14" s="142">
        <v>7550584</v>
      </c>
      <c r="L14" s="142">
        <v>3502655</v>
      </c>
      <c r="M14" s="139">
        <v>1</v>
      </c>
      <c r="N14" s="143">
        <v>1</v>
      </c>
      <c r="O14" s="139"/>
      <c r="P14" s="87">
        <v>15873</v>
      </c>
      <c r="Q14" s="87">
        <v>1368</v>
      </c>
      <c r="R14" s="144" t="s">
        <v>272</v>
      </c>
      <c r="S14" s="145">
        <v>461.70224815579235</v>
      </c>
      <c r="T14" s="139"/>
    </row>
    <row r="15" spans="1:20" x14ac:dyDescent="0.45">
      <c r="A15" s="74" t="s">
        <v>20</v>
      </c>
      <c r="B15" s="74" t="s">
        <v>273</v>
      </c>
      <c r="C15" s="139">
        <v>15</v>
      </c>
      <c r="D15" s="74">
        <v>1033247622</v>
      </c>
      <c r="E15" s="140">
        <v>44562</v>
      </c>
      <c r="F15" s="140">
        <v>44926</v>
      </c>
      <c r="G15" s="141">
        <v>16347</v>
      </c>
      <c r="H15" s="93">
        <v>0</v>
      </c>
      <c r="I15" s="74">
        <v>51</v>
      </c>
      <c r="J15" s="142">
        <v>304537</v>
      </c>
      <c r="K15" s="142">
        <v>15928281</v>
      </c>
      <c r="L15" s="142">
        <v>7842162</v>
      </c>
      <c r="M15" s="139">
        <v>1</v>
      </c>
      <c r="N15" s="143">
        <v>5</v>
      </c>
      <c r="O15" s="139">
        <v>5</v>
      </c>
      <c r="P15" s="87">
        <v>0</v>
      </c>
      <c r="Q15" s="87">
        <v>0</v>
      </c>
      <c r="R15" s="144" t="s">
        <v>274</v>
      </c>
      <c r="S15" s="145">
        <v>704.86</v>
      </c>
      <c r="T15" s="139"/>
    </row>
    <row r="16" spans="1:20" x14ac:dyDescent="0.45">
      <c r="A16" s="74" t="s">
        <v>21</v>
      </c>
      <c r="B16" s="74" t="s">
        <v>275</v>
      </c>
      <c r="C16" s="139">
        <v>33</v>
      </c>
      <c r="D16" s="74">
        <v>1104856095</v>
      </c>
      <c r="E16" s="140">
        <v>44348</v>
      </c>
      <c r="F16" s="140">
        <v>44712</v>
      </c>
      <c r="G16" s="141">
        <v>6386</v>
      </c>
      <c r="H16" s="93">
        <v>0</v>
      </c>
      <c r="I16" s="74">
        <v>0</v>
      </c>
      <c r="J16" s="142">
        <v>356383</v>
      </c>
      <c r="K16" s="142">
        <v>7293581</v>
      </c>
      <c r="L16" s="142">
        <v>4335647</v>
      </c>
      <c r="M16" s="139">
        <v>1</v>
      </c>
      <c r="N16" s="143">
        <v>0</v>
      </c>
      <c r="O16" s="139"/>
      <c r="P16" s="87">
        <v>0</v>
      </c>
      <c r="Q16" s="87">
        <v>0</v>
      </c>
      <c r="R16" s="144">
        <v>35971</v>
      </c>
      <c r="S16" s="145">
        <v>704.86</v>
      </c>
      <c r="T16" s="139"/>
    </row>
    <row r="17" spans="1:20" x14ac:dyDescent="0.45">
      <c r="A17" s="74" t="s">
        <v>22</v>
      </c>
      <c r="B17" s="74" t="s">
        <v>276</v>
      </c>
      <c r="C17" s="139">
        <v>32</v>
      </c>
      <c r="D17" s="74">
        <v>1609872415</v>
      </c>
      <c r="E17" s="140">
        <v>44378</v>
      </c>
      <c r="F17" s="140">
        <v>44742</v>
      </c>
      <c r="G17" s="141">
        <v>18043</v>
      </c>
      <c r="H17" s="93">
        <v>17311</v>
      </c>
      <c r="I17" s="74">
        <v>66</v>
      </c>
      <c r="J17" s="142">
        <v>237254</v>
      </c>
      <c r="K17" s="142">
        <v>9574870</v>
      </c>
      <c r="L17" s="142">
        <v>4457019</v>
      </c>
      <c r="M17" s="139">
        <v>1</v>
      </c>
      <c r="N17" s="143">
        <v>1</v>
      </c>
      <c r="O17" s="139"/>
      <c r="P17" s="87">
        <v>17277</v>
      </c>
      <c r="Q17" s="87">
        <v>34</v>
      </c>
      <c r="R17" s="144" t="s">
        <v>277</v>
      </c>
      <c r="S17" s="145">
        <v>504.10926761327448</v>
      </c>
      <c r="T17" s="139" t="s">
        <v>93</v>
      </c>
    </row>
    <row r="18" spans="1:20" x14ac:dyDescent="0.45">
      <c r="A18" s="74" t="s">
        <v>23</v>
      </c>
      <c r="B18" s="74" t="s">
        <v>278</v>
      </c>
      <c r="C18" s="139">
        <v>37</v>
      </c>
      <c r="D18" s="74">
        <v>1962556290</v>
      </c>
      <c r="E18" s="140">
        <v>44378</v>
      </c>
      <c r="F18" s="140">
        <v>44742</v>
      </c>
      <c r="G18" s="141">
        <v>61905</v>
      </c>
      <c r="H18" s="93">
        <v>54314</v>
      </c>
      <c r="I18" s="74">
        <v>192</v>
      </c>
      <c r="J18" s="142">
        <v>0</v>
      </c>
      <c r="K18" s="142">
        <v>57248011</v>
      </c>
      <c r="L18" s="142">
        <v>44395701</v>
      </c>
      <c r="M18" s="139">
        <v>1</v>
      </c>
      <c r="N18" s="143">
        <v>0</v>
      </c>
      <c r="O18" s="139"/>
      <c r="P18" s="87">
        <v>10263</v>
      </c>
      <c r="Q18" s="87">
        <v>44051</v>
      </c>
      <c r="R18" s="144" t="s">
        <v>279</v>
      </c>
      <c r="S18" s="145">
        <v>741.93</v>
      </c>
      <c r="T18" s="139"/>
    </row>
    <row r="19" spans="1:20" x14ac:dyDescent="0.45">
      <c r="A19" s="74" t="s">
        <v>24</v>
      </c>
      <c r="B19" s="74" t="s">
        <v>280</v>
      </c>
      <c r="C19" s="139">
        <v>19</v>
      </c>
      <c r="D19" s="74">
        <v>1619141298</v>
      </c>
      <c r="E19" s="140">
        <v>44562</v>
      </c>
      <c r="F19" s="140">
        <v>44926</v>
      </c>
      <c r="G19" s="141">
        <v>9122</v>
      </c>
      <c r="H19" s="93">
        <v>0</v>
      </c>
      <c r="I19" s="74">
        <v>28</v>
      </c>
      <c r="J19" s="142">
        <v>387518</v>
      </c>
      <c r="K19" s="142">
        <v>10667407</v>
      </c>
      <c r="L19" s="142">
        <v>5401250</v>
      </c>
      <c r="M19" s="139">
        <v>1</v>
      </c>
      <c r="N19" s="143">
        <v>5</v>
      </c>
      <c r="O19" s="139">
        <v>5</v>
      </c>
      <c r="P19" s="87">
        <v>0</v>
      </c>
      <c r="Q19" s="87">
        <v>0</v>
      </c>
      <c r="R19" s="144" t="s">
        <v>281</v>
      </c>
      <c r="S19" s="145">
        <v>704.86</v>
      </c>
      <c r="T19" s="139"/>
    </row>
    <row r="20" spans="1:20" x14ac:dyDescent="0.45">
      <c r="A20" s="74" t="s">
        <v>25</v>
      </c>
      <c r="B20" s="74" t="s">
        <v>282</v>
      </c>
      <c r="C20" s="139">
        <v>27</v>
      </c>
      <c r="D20" s="74">
        <v>1225228646</v>
      </c>
      <c r="E20" s="140">
        <v>44470</v>
      </c>
      <c r="F20" s="140">
        <v>44834</v>
      </c>
      <c r="G20" s="141">
        <v>11973</v>
      </c>
      <c r="H20" s="93">
        <v>2978</v>
      </c>
      <c r="I20" s="74">
        <v>48</v>
      </c>
      <c r="J20" s="142">
        <v>150368</v>
      </c>
      <c r="K20" s="142">
        <v>6977080</v>
      </c>
      <c r="L20" s="142">
        <v>5129292</v>
      </c>
      <c r="M20" s="139">
        <v>1</v>
      </c>
      <c r="N20" s="143">
        <v>1</v>
      </c>
      <c r="O20" s="139"/>
      <c r="P20" s="87">
        <v>170</v>
      </c>
      <c r="Q20" s="87">
        <v>2808</v>
      </c>
      <c r="R20" s="144" t="s">
        <v>283</v>
      </c>
      <c r="S20" s="145">
        <v>640.32722117642709</v>
      </c>
      <c r="T20" s="139" t="s">
        <v>93</v>
      </c>
    </row>
    <row r="21" spans="1:20" x14ac:dyDescent="0.45">
      <c r="A21" s="74" t="s">
        <v>26</v>
      </c>
      <c r="B21" s="74" t="s">
        <v>284</v>
      </c>
      <c r="C21" s="139">
        <v>37</v>
      </c>
      <c r="D21" s="74">
        <v>1417930249</v>
      </c>
      <c r="E21" s="140">
        <v>44470</v>
      </c>
      <c r="F21" s="140">
        <v>44834</v>
      </c>
      <c r="G21" s="141">
        <v>6725</v>
      </c>
      <c r="H21" s="93">
        <v>1257</v>
      </c>
      <c r="I21" s="74">
        <v>30</v>
      </c>
      <c r="J21" s="142">
        <v>676926</v>
      </c>
      <c r="K21" s="142">
        <v>6334827</v>
      </c>
      <c r="L21" s="142">
        <v>3578254</v>
      </c>
      <c r="M21" s="139">
        <v>1</v>
      </c>
      <c r="N21" s="143">
        <v>1</v>
      </c>
      <c r="O21" s="139"/>
      <c r="P21" s="87">
        <v>680</v>
      </c>
      <c r="Q21" s="87">
        <v>577</v>
      </c>
      <c r="R21" s="144" t="s">
        <v>285</v>
      </c>
      <c r="S21" s="145">
        <v>704.86</v>
      </c>
      <c r="T21" s="139"/>
    </row>
    <row r="22" spans="1:20" x14ac:dyDescent="0.45">
      <c r="A22" s="74" t="s">
        <v>27</v>
      </c>
      <c r="B22" s="74" t="s">
        <v>286</v>
      </c>
      <c r="C22" s="139">
        <v>35</v>
      </c>
      <c r="D22" s="74">
        <v>1467585471</v>
      </c>
      <c r="E22" s="140">
        <v>44378</v>
      </c>
      <c r="F22" s="140">
        <v>44742</v>
      </c>
      <c r="G22" s="141">
        <v>30208</v>
      </c>
      <c r="H22" s="93">
        <v>25467</v>
      </c>
      <c r="I22" s="74">
        <v>119</v>
      </c>
      <c r="J22" s="142">
        <v>137753</v>
      </c>
      <c r="K22" s="142">
        <v>21992943</v>
      </c>
      <c r="L22" s="142">
        <v>1454574</v>
      </c>
      <c r="M22" s="139">
        <v>1</v>
      </c>
      <c r="N22" s="143">
        <v>1</v>
      </c>
      <c r="O22" s="139"/>
      <c r="P22" s="87">
        <v>25467</v>
      </c>
      <c r="Q22" s="87">
        <v>0</v>
      </c>
      <c r="R22" s="144" t="s">
        <v>287</v>
      </c>
      <c r="S22" s="145">
        <v>704.86</v>
      </c>
      <c r="T22" s="139" t="s">
        <v>93</v>
      </c>
    </row>
    <row r="23" spans="1:20" x14ac:dyDescent="0.45">
      <c r="A23" s="74" t="s">
        <v>288</v>
      </c>
      <c r="B23" s="74" t="s">
        <v>289</v>
      </c>
      <c r="C23" s="139">
        <v>33</v>
      </c>
      <c r="D23" s="74">
        <v>1184936023</v>
      </c>
      <c r="E23" s="140">
        <v>44562</v>
      </c>
      <c r="F23" s="140">
        <v>44926</v>
      </c>
      <c r="G23" s="141">
        <v>10906</v>
      </c>
      <c r="H23" s="93">
        <v>509</v>
      </c>
      <c r="I23" s="74">
        <v>90</v>
      </c>
      <c r="J23" s="142">
        <v>394004</v>
      </c>
      <c r="K23" s="142">
        <v>5602313</v>
      </c>
      <c r="L23" s="142">
        <v>1600481</v>
      </c>
      <c r="M23" s="139">
        <v>1</v>
      </c>
      <c r="N23" s="143">
        <v>1</v>
      </c>
      <c r="O23" s="139"/>
      <c r="P23" s="87">
        <v>0</v>
      </c>
      <c r="Q23" s="87">
        <v>509</v>
      </c>
      <c r="R23" s="144"/>
      <c r="S23" s="145">
        <v>704.86</v>
      </c>
      <c r="T23" s="139"/>
    </row>
    <row r="24" spans="1:20" x14ac:dyDescent="0.45">
      <c r="A24" s="74" t="s">
        <v>29</v>
      </c>
      <c r="B24" s="74" t="s">
        <v>290</v>
      </c>
      <c r="C24" s="139">
        <v>36</v>
      </c>
      <c r="D24" s="74">
        <v>1639565088</v>
      </c>
      <c r="E24" s="140">
        <v>44348</v>
      </c>
      <c r="F24" s="140">
        <v>44712</v>
      </c>
      <c r="G24" s="141">
        <v>29226</v>
      </c>
      <c r="H24" s="93">
        <v>18325</v>
      </c>
      <c r="I24" s="74">
        <v>95</v>
      </c>
      <c r="J24" s="142">
        <v>254362</v>
      </c>
      <c r="K24" s="142">
        <v>12702880</v>
      </c>
      <c r="L24" s="142">
        <v>5787760</v>
      </c>
      <c r="M24" s="139">
        <v>1</v>
      </c>
      <c r="N24" s="143">
        <v>1</v>
      </c>
      <c r="O24" s="139" t="s">
        <v>291</v>
      </c>
      <c r="P24" s="87">
        <v>18325</v>
      </c>
      <c r="Q24" s="87">
        <v>0</v>
      </c>
      <c r="R24" s="144" t="s">
        <v>292</v>
      </c>
      <c r="S24" s="145">
        <v>423.09988587687172</v>
      </c>
      <c r="T24" s="139" t="s">
        <v>93</v>
      </c>
    </row>
    <row r="25" spans="1:20" x14ac:dyDescent="0.45">
      <c r="A25" s="74" t="s">
        <v>30</v>
      </c>
      <c r="B25" s="74" t="s">
        <v>293</v>
      </c>
      <c r="C25" s="139">
        <v>19</v>
      </c>
      <c r="D25" s="74">
        <v>1336164151</v>
      </c>
      <c r="E25" s="140">
        <v>44562</v>
      </c>
      <c r="F25" s="140">
        <v>44926</v>
      </c>
      <c r="G25" s="141">
        <v>27755</v>
      </c>
      <c r="H25" s="93">
        <v>0</v>
      </c>
      <c r="I25" s="74">
        <v>89</v>
      </c>
      <c r="J25" s="142">
        <v>418491</v>
      </c>
      <c r="K25" s="142">
        <v>23648751</v>
      </c>
      <c r="L25" s="142">
        <v>11160121</v>
      </c>
      <c r="M25" s="139">
        <v>1</v>
      </c>
      <c r="N25" s="143">
        <v>5</v>
      </c>
      <c r="O25" s="139">
        <v>5</v>
      </c>
      <c r="P25" s="87">
        <v>0</v>
      </c>
      <c r="Q25" s="87">
        <v>0</v>
      </c>
      <c r="R25" s="144" t="s">
        <v>263</v>
      </c>
      <c r="S25" s="145">
        <v>704.86</v>
      </c>
      <c r="T25" s="139"/>
    </row>
    <row r="26" spans="1:20" x14ac:dyDescent="0.45">
      <c r="A26" s="74" t="s">
        <v>31</v>
      </c>
      <c r="B26" s="74" t="s">
        <v>294</v>
      </c>
      <c r="C26" s="139">
        <v>19</v>
      </c>
      <c r="D26" s="74">
        <v>1750309837</v>
      </c>
      <c r="E26" s="140">
        <v>44562</v>
      </c>
      <c r="F26" s="140">
        <v>44926</v>
      </c>
      <c r="G26" s="141">
        <v>10355</v>
      </c>
      <c r="H26" s="93">
        <v>0</v>
      </c>
      <c r="I26" s="74">
        <v>48</v>
      </c>
      <c r="J26" s="142">
        <v>814952</v>
      </c>
      <c r="K26" s="142">
        <v>14281177</v>
      </c>
      <c r="L26" s="142">
        <v>8864048</v>
      </c>
      <c r="M26" s="139">
        <v>1</v>
      </c>
      <c r="N26" s="143">
        <v>5</v>
      </c>
      <c r="O26" s="139">
        <v>5</v>
      </c>
      <c r="P26" s="87">
        <v>0</v>
      </c>
      <c r="Q26" s="87">
        <v>0</v>
      </c>
      <c r="R26" s="144" t="s">
        <v>295</v>
      </c>
      <c r="S26" s="145">
        <v>704.86</v>
      </c>
      <c r="T26" s="139"/>
    </row>
    <row r="27" spans="1:20" x14ac:dyDescent="0.45">
      <c r="A27" s="74" t="s">
        <v>32</v>
      </c>
      <c r="B27" s="74" t="s">
        <v>262</v>
      </c>
      <c r="C27" s="139">
        <v>38</v>
      </c>
      <c r="D27" s="74">
        <v>1275525115</v>
      </c>
      <c r="E27" s="140">
        <v>44378</v>
      </c>
      <c r="F27" s="140">
        <v>44742</v>
      </c>
      <c r="G27" s="141">
        <v>119260</v>
      </c>
      <c r="H27" s="93">
        <v>87944</v>
      </c>
      <c r="I27" s="74">
        <v>362</v>
      </c>
      <c r="J27" s="142">
        <v>4447456</v>
      </c>
      <c r="K27" s="142">
        <v>70237584</v>
      </c>
      <c r="L27" s="142">
        <v>39283457</v>
      </c>
      <c r="M27" s="139">
        <v>1</v>
      </c>
      <c r="N27" s="143">
        <v>1</v>
      </c>
      <c r="O27" s="139"/>
      <c r="P27" s="87">
        <v>85060</v>
      </c>
      <c r="Q27" s="87">
        <v>2884</v>
      </c>
      <c r="R27" s="144" t="s">
        <v>296</v>
      </c>
      <c r="S27" s="145">
        <v>681.66594362202932</v>
      </c>
      <c r="T27" s="139"/>
    </row>
    <row r="28" spans="1:20" x14ac:dyDescent="0.45">
      <c r="A28" s="71" t="s">
        <v>33</v>
      </c>
      <c r="B28" s="87" t="s">
        <v>297</v>
      </c>
      <c r="C28" s="88">
        <v>22</v>
      </c>
      <c r="D28" s="146">
        <v>1841342334</v>
      </c>
      <c r="E28" s="140">
        <v>44378</v>
      </c>
      <c r="F28" s="140">
        <v>44742</v>
      </c>
      <c r="G28" s="141">
        <v>5484</v>
      </c>
      <c r="H28" s="93">
        <v>5375</v>
      </c>
      <c r="I28" s="74">
        <v>16</v>
      </c>
      <c r="J28" s="142">
        <v>116368</v>
      </c>
      <c r="K28" s="142">
        <v>3396817</v>
      </c>
      <c r="L28" s="142">
        <v>2067868</v>
      </c>
      <c r="M28" s="139">
        <v>1</v>
      </c>
      <c r="N28" s="143">
        <v>1</v>
      </c>
      <c r="O28" s="139"/>
      <c r="P28" s="87">
        <v>5375</v>
      </c>
      <c r="Q28" s="87">
        <v>0</v>
      </c>
      <c r="R28" s="144"/>
      <c r="S28" s="145">
        <v>476.34</v>
      </c>
      <c r="T28" s="139" t="s">
        <v>93</v>
      </c>
    </row>
    <row r="29" spans="1:20" x14ac:dyDescent="0.45">
      <c r="A29" s="74" t="s">
        <v>34</v>
      </c>
      <c r="B29" s="74" t="s">
        <v>298</v>
      </c>
      <c r="C29" s="139">
        <v>19</v>
      </c>
      <c r="D29" s="74">
        <v>1487681631</v>
      </c>
      <c r="E29" s="140">
        <v>44440</v>
      </c>
      <c r="F29" s="140">
        <v>44804</v>
      </c>
      <c r="G29" s="141">
        <v>80771</v>
      </c>
      <c r="H29" s="93">
        <v>64346</v>
      </c>
      <c r="I29" s="74">
        <v>239</v>
      </c>
      <c r="J29" s="142">
        <v>3038484</v>
      </c>
      <c r="K29" s="142">
        <v>36402995</v>
      </c>
      <c r="L29" s="142">
        <v>23097059</v>
      </c>
      <c r="M29" s="139">
        <v>1</v>
      </c>
      <c r="N29" s="143">
        <v>1</v>
      </c>
      <c r="O29" s="139"/>
      <c r="P29" s="87">
        <v>10465</v>
      </c>
      <c r="Q29" s="87">
        <v>53881</v>
      </c>
      <c r="R29" s="144">
        <v>39402</v>
      </c>
      <c r="S29" s="145">
        <v>563.06552878797879</v>
      </c>
      <c r="T29" s="139"/>
    </row>
    <row r="30" spans="1:20" x14ac:dyDescent="0.45">
      <c r="A30" s="74" t="s">
        <v>35</v>
      </c>
      <c r="B30" s="74" t="s">
        <v>299</v>
      </c>
      <c r="C30" s="139">
        <v>54</v>
      </c>
      <c r="D30" s="74">
        <v>1093776338</v>
      </c>
      <c r="E30" s="140">
        <v>44378</v>
      </c>
      <c r="F30" s="140">
        <v>44742</v>
      </c>
      <c r="G30" s="141">
        <v>9342</v>
      </c>
      <c r="H30" s="93">
        <v>3190</v>
      </c>
      <c r="I30" s="74">
        <v>70</v>
      </c>
      <c r="J30" s="142">
        <v>523117</v>
      </c>
      <c r="K30" s="142">
        <v>6939141</v>
      </c>
      <c r="L30" s="142">
        <v>3082770</v>
      </c>
      <c r="M30" s="139">
        <v>1</v>
      </c>
      <c r="N30" s="143">
        <v>1</v>
      </c>
      <c r="O30" s="139"/>
      <c r="P30" s="87">
        <v>2019</v>
      </c>
      <c r="Q30" s="87">
        <v>1171</v>
      </c>
      <c r="R30" s="144">
        <v>1</v>
      </c>
      <c r="S30" s="145">
        <v>704.86</v>
      </c>
      <c r="T30" s="139"/>
    </row>
    <row r="31" spans="1:20" x14ac:dyDescent="0.45">
      <c r="A31" s="74" t="s">
        <v>36</v>
      </c>
      <c r="B31" s="74" t="s">
        <v>300</v>
      </c>
      <c r="C31" s="139">
        <v>15</v>
      </c>
      <c r="D31" s="74">
        <v>1427049964</v>
      </c>
      <c r="E31" s="140">
        <v>44378</v>
      </c>
      <c r="F31" s="140">
        <v>44742</v>
      </c>
      <c r="G31" s="141">
        <v>16962</v>
      </c>
      <c r="H31" s="93">
        <v>14965</v>
      </c>
      <c r="I31" s="74">
        <v>74</v>
      </c>
      <c r="J31" s="142">
        <v>344968</v>
      </c>
      <c r="K31" s="142">
        <v>7457956</v>
      </c>
      <c r="L31" s="142">
        <v>4258904</v>
      </c>
      <c r="M31" s="139">
        <v>1</v>
      </c>
      <c r="N31" s="143">
        <v>1</v>
      </c>
      <c r="O31" s="139"/>
      <c r="P31" s="87">
        <v>14941</v>
      </c>
      <c r="Q31" s="87">
        <v>24</v>
      </c>
      <c r="R31" s="144" t="s">
        <v>301</v>
      </c>
      <c r="S31" s="145">
        <v>473.93748738419464</v>
      </c>
      <c r="T31" s="139" t="s">
        <v>93</v>
      </c>
    </row>
    <row r="32" spans="1:20" x14ac:dyDescent="0.45">
      <c r="A32" s="74" t="s">
        <v>37</v>
      </c>
      <c r="B32" s="74" t="s">
        <v>302</v>
      </c>
      <c r="C32" s="139">
        <v>30</v>
      </c>
      <c r="D32" s="74">
        <v>1629240577</v>
      </c>
      <c r="E32" s="140">
        <v>44440</v>
      </c>
      <c r="F32" s="140">
        <v>44804</v>
      </c>
      <c r="G32" s="141">
        <v>4820</v>
      </c>
      <c r="H32" s="93">
        <v>1652</v>
      </c>
      <c r="I32" s="74">
        <v>24</v>
      </c>
      <c r="J32" s="142">
        <v>178114</v>
      </c>
      <c r="K32" s="142">
        <v>3426916</v>
      </c>
      <c r="L32" s="142">
        <v>1829731</v>
      </c>
      <c r="M32" s="139">
        <v>1</v>
      </c>
      <c r="N32" s="143">
        <v>1</v>
      </c>
      <c r="O32" s="139"/>
      <c r="P32" s="87">
        <v>1</v>
      </c>
      <c r="Q32" s="87">
        <v>1651</v>
      </c>
      <c r="R32" s="144">
        <v>42066</v>
      </c>
      <c r="S32" s="145">
        <v>704.86</v>
      </c>
      <c r="T32" s="139"/>
    </row>
    <row r="33" spans="1:20" x14ac:dyDescent="0.45">
      <c r="A33" s="74" t="s">
        <v>38</v>
      </c>
      <c r="B33" s="74" t="s">
        <v>262</v>
      </c>
      <c r="C33" s="139">
        <v>38</v>
      </c>
      <c r="D33" s="74">
        <v>1417997370</v>
      </c>
      <c r="E33" s="140">
        <v>44378</v>
      </c>
      <c r="F33" s="140">
        <v>44742</v>
      </c>
      <c r="G33" s="141">
        <v>255427</v>
      </c>
      <c r="H33" s="93">
        <v>245159</v>
      </c>
      <c r="I33" s="74">
        <v>769</v>
      </c>
      <c r="J33" s="142">
        <v>22125461</v>
      </c>
      <c r="K33" s="142">
        <v>277568588</v>
      </c>
      <c r="L33" s="142">
        <v>142571234</v>
      </c>
      <c r="M33" s="139">
        <v>1</v>
      </c>
      <c r="N33" s="143">
        <v>1</v>
      </c>
      <c r="O33" s="139"/>
      <c r="P33" s="87">
        <v>244323</v>
      </c>
      <c r="Q33" s="87">
        <v>836</v>
      </c>
      <c r="R33" s="144" t="s">
        <v>303</v>
      </c>
      <c r="S33" s="145">
        <v>704.86</v>
      </c>
      <c r="T33" s="139"/>
    </row>
    <row r="34" spans="1:20" x14ac:dyDescent="0.45">
      <c r="A34" s="74" t="s">
        <v>39</v>
      </c>
      <c r="B34" s="74" t="s">
        <v>304</v>
      </c>
      <c r="C34" s="139">
        <v>42</v>
      </c>
      <c r="D34" s="74">
        <v>1376539130</v>
      </c>
      <c r="E34" s="140">
        <v>44378</v>
      </c>
      <c r="F34" s="140">
        <v>44742</v>
      </c>
      <c r="G34" s="141">
        <v>29281</v>
      </c>
      <c r="H34" s="93">
        <v>24747</v>
      </c>
      <c r="I34" s="74">
        <v>110</v>
      </c>
      <c r="J34" s="142">
        <v>239755</v>
      </c>
      <c r="K34" s="142">
        <v>15469691</v>
      </c>
      <c r="L34" s="142">
        <v>8296755</v>
      </c>
      <c r="M34" s="139">
        <v>1</v>
      </c>
      <c r="N34" s="143">
        <v>1</v>
      </c>
      <c r="O34" s="139"/>
      <c r="P34" s="87">
        <v>950</v>
      </c>
      <c r="Q34" s="87">
        <v>23797</v>
      </c>
      <c r="R34" s="144" t="s">
        <v>272</v>
      </c>
      <c r="S34" s="145">
        <v>592.93748214449272</v>
      </c>
      <c r="T34" s="139" t="s">
        <v>93</v>
      </c>
    </row>
    <row r="35" spans="1:20" x14ac:dyDescent="0.45">
      <c r="A35" s="74" t="s">
        <v>40</v>
      </c>
      <c r="B35" s="74" t="s">
        <v>305</v>
      </c>
      <c r="C35" s="139">
        <v>42</v>
      </c>
      <c r="D35" s="74">
        <v>1144358953</v>
      </c>
      <c r="E35" s="140">
        <v>44378</v>
      </c>
      <c r="F35" s="140">
        <v>44742</v>
      </c>
      <c r="G35" s="141">
        <v>30218</v>
      </c>
      <c r="H35" s="93">
        <v>17254</v>
      </c>
      <c r="I35" s="74">
        <v>95</v>
      </c>
      <c r="J35" s="142">
        <v>788161</v>
      </c>
      <c r="K35" s="142">
        <v>17111327</v>
      </c>
      <c r="L35" s="142">
        <v>11426699</v>
      </c>
      <c r="M35" s="139">
        <v>1</v>
      </c>
      <c r="N35" s="143">
        <v>1</v>
      </c>
      <c r="O35" s="139"/>
      <c r="P35" s="87">
        <v>1885</v>
      </c>
      <c r="Q35" s="87">
        <v>15369</v>
      </c>
      <c r="R35" s="144">
        <v>31670</v>
      </c>
      <c r="S35" s="145">
        <v>636.04</v>
      </c>
      <c r="T35" s="139"/>
    </row>
    <row r="36" spans="1:20" x14ac:dyDescent="0.45">
      <c r="A36" s="74" t="s">
        <v>41</v>
      </c>
      <c r="B36" s="74" t="s">
        <v>306</v>
      </c>
      <c r="C36" s="139">
        <v>45</v>
      </c>
      <c r="D36" s="74">
        <v>1386763456</v>
      </c>
      <c r="E36" s="140">
        <v>44378</v>
      </c>
      <c r="F36" s="140">
        <v>44742</v>
      </c>
      <c r="G36" s="141">
        <v>26889</v>
      </c>
      <c r="H36" s="93">
        <v>25758</v>
      </c>
      <c r="I36" s="74">
        <v>99</v>
      </c>
      <c r="J36" s="142">
        <v>938630</v>
      </c>
      <c r="K36" s="142">
        <v>14483095</v>
      </c>
      <c r="L36" s="142">
        <v>6990989</v>
      </c>
      <c r="M36" s="139">
        <v>1</v>
      </c>
      <c r="N36" s="143">
        <v>1</v>
      </c>
      <c r="O36" s="139"/>
      <c r="P36" s="87">
        <v>1592</v>
      </c>
      <c r="Q36" s="87">
        <v>24166</v>
      </c>
      <c r="R36" s="144" t="s">
        <v>307</v>
      </c>
      <c r="S36" s="145">
        <v>514.49701057945958</v>
      </c>
      <c r="T36" s="139" t="s">
        <v>93</v>
      </c>
    </row>
    <row r="37" spans="1:20" x14ac:dyDescent="0.45">
      <c r="A37" s="74" t="s">
        <v>42</v>
      </c>
      <c r="B37" s="74" t="s">
        <v>308</v>
      </c>
      <c r="C37" s="139">
        <v>19</v>
      </c>
      <c r="D37" s="74">
        <v>1811107410</v>
      </c>
      <c r="E37" s="140">
        <v>44562</v>
      </c>
      <c r="F37" s="140">
        <v>44926</v>
      </c>
      <c r="G37" s="141">
        <v>20633</v>
      </c>
      <c r="H37" s="93">
        <v>0</v>
      </c>
      <c r="I37" s="74">
        <v>69</v>
      </c>
      <c r="J37" s="142">
        <v>1577013</v>
      </c>
      <c r="K37" s="142">
        <v>18605435</v>
      </c>
      <c r="L37" s="142">
        <v>10154709</v>
      </c>
      <c r="M37" s="139">
        <v>1</v>
      </c>
      <c r="N37" s="143">
        <v>5</v>
      </c>
      <c r="O37" s="139">
        <v>5</v>
      </c>
      <c r="P37" s="87">
        <v>0</v>
      </c>
      <c r="Q37" s="87">
        <v>0</v>
      </c>
      <c r="R37" s="144" t="s">
        <v>309</v>
      </c>
      <c r="S37" s="145">
        <v>704.86</v>
      </c>
      <c r="T37" s="139"/>
    </row>
    <row r="38" spans="1:20" x14ac:dyDescent="0.45">
      <c r="A38" s="74" t="s">
        <v>43</v>
      </c>
      <c r="B38" s="74" t="s">
        <v>310</v>
      </c>
      <c r="C38" s="139">
        <v>25</v>
      </c>
      <c r="D38" s="74">
        <v>1326146333</v>
      </c>
      <c r="E38" s="140">
        <v>44378</v>
      </c>
      <c r="F38" s="140">
        <v>44742</v>
      </c>
      <c r="G38" s="141">
        <v>14809</v>
      </c>
      <c r="H38" s="93">
        <v>11962</v>
      </c>
      <c r="I38" s="74">
        <v>50</v>
      </c>
      <c r="J38" s="142">
        <v>123670</v>
      </c>
      <c r="K38" s="142">
        <v>7836729</v>
      </c>
      <c r="L38" s="142">
        <v>4249340</v>
      </c>
      <c r="M38" s="139">
        <v>1</v>
      </c>
      <c r="N38" s="143">
        <v>1</v>
      </c>
      <c r="O38" s="139"/>
      <c r="P38" s="87">
        <v>309</v>
      </c>
      <c r="Q38" s="87">
        <v>11653</v>
      </c>
      <c r="R38" s="144" t="s">
        <v>311</v>
      </c>
      <c r="S38" s="145">
        <v>570.50711099927196</v>
      </c>
      <c r="T38" s="139" t="s">
        <v>93</v>
      </c>
    </row>
    <row r="39" spans="1:20" x14ac:dyDescent="0.45">
      <c r="A39" s="74" t="s">
        <v>44</v>
      </c>
      <c r="B39" s="74" t="s">
        <v>312</v>
      </c>
      <c r="C39" s="139">
        <v>19</v>
      </c>
      <c r="D39" s="74">
        <v>1336289966</v>
      </c>
      <c r="E39" s="140">
        <v>44562</v>
      </c>
      <c r="F39" s="140">
        <v>44926</v>
      </c>
      <c r="G39" s="141">
        <v>28560</v>
      </c>
      <c r="H39" s="93">
        <v>22590</v>
      </c>
      <c r="I39" s="74">
        <v>110</v>
      </c>
      <c r="J39" s="142">
        <v>744961</v>
      </c>
      <c r="K39" s="142">
        <v>18162335</v>
      </c>
      <c r="L39" s="142">
        <v>13405467</v>
      </c>
      <c r="M39" s="139">
        <v>1</v>
      </c>
      <c r="N39" s="143">
        <v>1</v>
      </c>
      <c r="O39" s="139"/>
      <c r="P39" s="87">
        <v>19931</v>
      </c>
      <c r="Q39" s="87">
        <v>2659</v>
      </c>
      <c r="R39" s="144" t="s">
        <v>313</v>
      </c>
      <c r="S39" s="145">
        <v>704.86</v>
      </c>
      <c r="T39" s="139"/>
    </row>
    <row r="40" spans="1:20" x14ac:dyDescent="0.45">
      <c r="A40" s="74" t="s">
        <v>45</v>
      </c>
      <c r="B40" s="74" t="s">
        <v>314</v>
      </c>
      <c r="C40" s="139">
        <v>36</v>
      </c>
      <c r="D40" s="74">
        <v>1174674246</v>
      </c>
      <c r="E40" s="140">
        <v>44378</v>
      </c>
      <c r="F40" s="140">
        <v>44742</v>
      </c>
      <c r="G40" s="141">
        <v>7131</v>
      </c>
      <c r="H40" s="93">
        <v>7079</v>
      </c>
      <c r="I40" s="74">
        <v>20</v>
      </c>
      <c r="J40" s="142">
        <v>312200</v>
      </c>
      <c r="K40" s="142">
        <v>4473307</v>
      </c>
      <c r="L40" s="142">
        <v>2191885</v>
      </c>
      <c r="M40" s="139">
        <v>1</v>
      </c>
      <c r="N40" s="143">
        <v>1</v>
      </c>
      <c r="O40" s="139"/>
      <c r="P40" s="87">
        <v>2001</v>
      </c>
      <c r="Q40" s="87">
        <v>5078</v>
      </c>
      <c r="R40" s="144" t="s">
        <v>315</v>
      </c>
      <c r="S40" s="145">
        <v>656.7669277586316</v>
      </c>
      <c r="T40" s="139" t="s">
        <v>93</v>
      </c>
    </row>
    <row r="41" spans="1:20" x14ac:dyDescent="0.45">
      <c r="A41" s="74" t="s">
        <v>46</v>
      </c>
      <c r="B41" s="74" t="s">
        <v>316</v>
      </c>
      <c r="C41" s="139">
        <v>45</v>
      </c>
      <c r="D41" s="74">
        <v>1770524928</v>
      </c>
      <c r="E41" s="140">
        <v>44562</v>
      </c>
      <c r="F41" s="140">
        <v>44926</v>
      </c>
      <c r="G41" s="141">
        <v>10023</v>
      </c>
      <c r="H41" s="93">
        <v>6879</v>
      </c>
      <c r="I41" s="74">
        <v>32</v>
      </c>
      <c r="J41" s="142">
        <v>1202106</v>
      </c>
      <c r="K41" s="142">
        <v>7084190</v>
      </c>
      <c r="L41" s="142">
        <v>3751328</v>
      </c>
      <c r="M41" s="139">
        <v>1</v>
      </c>
      <c r="N41" s="143">
        <v>1</v>
      </c>
      <c r="O41" s="139"/>
      <c r="P41" s="87">
        <v>31</v>
      </c>
      <c r="Q41" s="87">
        <v>6848</v>
      </c>
      <c r="R41" s="144"/>
      <c r="S41" s="145">
        <v>704.86</v>
      </c>
      <c r="T41" s="139"/>
    </row>
    <row r="42" spans="1:20" x14ac:dyDescent="0.45">
      <c r="A42" s="74" t="s">
        <v>47</v>
      </c>
      <c r="B42" s="74" t="s">
        <v>317</v>
      </c>
      <c r="C42" s="139">
        <v>50</v>
      </c>
      <c r="D42" s="74">
        <v>1861533648</v>
      </c>
      <c r="E42" s="140">
        <v>44378</v>
      </c>
      <c r="F42" s="140">
        <v>44742</v>
      </c>
      <c r="G42" s="141">
        <v>25471</v>
      </c>
      <c r="H42" s="93">
        <v>24192</v>
      </c>
      <c r="I42" s="74">
        <v>115</v>
      </c>
      <c r="J42" s="142">
        <v>1368585</v>
      </c>
      <c r="K42" s="142">
        <v>14380768</v>
      </c>
      <c r="L42" s="142">
        <v>6470068</v>
      </c>
      <c r="M42" s="139">
        <v>1</v>
      </c>
      <c r="N42" s="143">
        <v>1</v>
      </c>
      <c r="O42" s="139"/>
      <c r="P42" s="87">
        <v>24010</v>
      </c>
      <c r="Q42" s="87">
        <v>182</v>
      </c>
      <c r="R42" s="144" t="s">
        <v>318</v>
      </c>
      <c r="S42" s="145">
        <v>617.03098766014421</v>
      </c>
      <c r="T42" s="139"/>
    </row>
    <row r="43" spans="1:20" x14ac:dyDescent="0.45">
      <c r="A43" s="74" t="s">
        <v>48</v>
      </c>
      <c r="B43" s="74" t="s">
        <v>319</v>
      </c>
      <c r="C43" s="139">
        <v>56</v>
      </c>
      <c r="D43" s="74">
        <v>1770659153</v>
      </c>
      <c r="E43" s="140">
        <v>44562</v>
      </c>
      <c r="F43" s="140">
        <v>44926</v>
      </c>
      <c r="G43" s="141">
        <v>23245</v>
      </c>
      <c r="H43" s="93">
        <v>13727</v>
      </c>
      <c r="I43" s="74">
        <v>75</v>
      </c>
      <c r="J43" s="142">
        <v>544030</v>
      </c>
      <c r="K43" s="142">
        <v>19685355</v>
      </c>
      <c r="L43" s="142">
        <v>10321326</v>
      </c>
      <c r="M43" s="139">
        <v>1</v>
      </c>
      <c r="N43" s="143">
        <v>1</v>
      </c>
      <c r="O43" s="139"/>
      <c r="P43" s="87">
        <v>0</v>
      </c>
      <c r="Q43" s="87">
        <v>13727</v>
      </c>
      <c r="R43" s="144" t="s">
        <v>295</v>
      </c>
      <c r="S43" s="145">
        <v>704.86</v>
      </c>
      <c r="T43" s="139" t="s">
        <v>93</v>
      </c>
    </row>
    <row r="44" spans="1:20" x14ac:dyDescent="0.45">
      <c r="A44" s="74" t="s">
        <v>49</v>
      </c>
      <c r="B44" s="74" t="s">
        <v>320</v>
      </c>
      <c r="C44" s="139">
        <v>4</v>
      </c>
      <c r="D44" s="74">
        <v>1427006485</v>
      </c>
      <c r="E44" s="140">
        <v>44531</v>
      </c>
      <c r="F44" s="140">
        <v>44895</v>
      </c>
      <c r="G44" s="141">
        <v>39779</v>
      </c>
      <c r="H44" s="93">
        <v>27667</v>
      </c>
      <c r="I44" s="74">
        <v>126</v>
      </c>
      <c r="J44" s="142">
        <v>22144</v>
      </c>
      <c r="K44" s="142">
        <v>20818851</v>
      </c>
      <c r="L44" s="142">
        <v>14225138</v>
      </c>
      <c r="M44" s="139">
        <v>1</v>
      </c>
      <c r="N44" s="143">
        <v>1</v>
      </c>
      <c r="O44" s="139"/>
      <c r="P44" s="87">
        <v>25947</v>
      </c>
      <c r="Q44" s="87">
        <v>1720</v>
      </c>
      <c r="R44" s="144"/>
      <c r="S44" s="145">
        <v>406.63</v>
      </c>
      <c r="T44" s="139"/>
    </row>
    <row r="45" spans="1:20" x14ac:dyDescent="0.45">
      <c r="A45" s="74" t="s">
        <v>50</v>
      </c>
      <c r="B45" s="74" t="s">
        <v>321</v>
      </c>
      <c r="C45" s="139">
        <v>19</v>
      </c>
      <c r="D45" s="74">
        <v>1891872883</v>
      </c>
      <c r="E45" s="140">
        <v>44562</v>
      </c>
      <c r="F45" s="140">
        <v>44926</v>
      </c>
      <c r="G45" s="141">
        <v>26487</v>
      </c>
      <c r="H45" s="93">
        <v>0</v>
      </c>
      <c r="I45" s="74">
        <v>89</v>
      </c>
      <c r="J45" s="142">
        <v>1540396</v>
      </c>
      <c r="K45" s="142">
        <v>24391625</v>
      </c>
      <c r="L45" s="142">
        <v>14898856</v>
      </c>
      <c r="M45" s="139">
        <v>1</v>
      </c>
      <c r="N45" s="143">
        <v>5</v>
      </c>
      <c r="O45" s="139">
        <v>5</v>
      </c>
      <c r="P45" s="87">
        <v>0</v>
      </c>
      <c r="Q45" s="87">
        <v>0</v>
      </c>
      <c r="R45" s="144" t="s">
        <v>322</v>
      </c>
      <c r="S45" s="145">
        <v>704.86</v>
      </c>
      <c r="T45" s="139"/>
    </row>
    <row r="46" spans="1:20" x14ac:dyDescent="0.45">
      <c r="A46" s="74" t="s">
        <v>51</v>
      </c>
      <c r="B46" s="74" t="s">
        <v>323</v>
      </c>
      <c r="C46" s="139">
        <v>37</v>
      </c>
      <c r="D46" s="74">
        <v>1619947090</v>
      </c>
      <c r="E46" s="140">
        <v>44378</v>
      </c>
      <c r="F46" s="140">
        <v>44742</v>
      </c>
      <c r="G46" s="141">
        <v>33945</v>
      </c>
      <c r="H46" s="93">
        <v>3272</v>
      </c>
      <c r="I46" s="74">
        <v>93</v>
      </c>
      <c r="J46" s="142">
        <v>2457256</v>
      </c>
      <c r="K46" s="142">
        <v>18016237</v>
      </c>
      <c r="L46" s="142">
        <v>3534822</v>
      </c>
      <c r="M46" s="139">
        <v>1</v>
      </c>
      <c r="N46" s="143">
        <v>1</v>
      </c>
      <c r="O46" s="139"/>
      <c r="P46" s="87">
        <v>3272</v>
      </c>
      <c r="Q46" s="87">
        <v>0</v>
      </c>
      <c r="R46" s="144" t="s">
        <v>324</v>
      </c>
      <c r="S46" s="145">
        <v>704.86</v>
      </c>
      <c r="T46" s="139"/>
    </row>
    <row r="47" spans="1:20" x14ac:dyDescent="0.45">
      <c r="A47" s="74" t="s">
        <v>52</v>
      </c>
      <c r="B47" s="74" t="s">
        <v>325</v>
      </c>
      <c r="C47" s="139">
        <v>19</v>
      </c>
      <c r="D47" s="74">
        <v>1952348518</v>
      </c>
      <c r="E47" s="140">
        <v>44562</v>
      </c>
      <c r="F47" s="140">
        <v>44926</v>
      </c>
      <c r="G47" s="141">
        <v>15779</v>
      </c>
      <c r="H47" s="93">
        <v>133</v>
      </c>
      <c r="I47" s="74">
        <v>115</v>
      </c>
      <c r="J47" s="142">
        <v>1125057</v>
      </c>
      <c r="K47" s="142">
        <v>18603384</v>
      </c>
      <c r="L47" s="142">
        <v>9434425</v>
      </c>
      <c r="M47" s="139">
        <v>1</v>
      </c>
      <c r="N47" s="143">
        <v>1</v>
      </c>
      <c r="O47" s="139"/>
      <c r="P47" s="87">
        <v>25</v>
      </c>
      <c r="Q47" s="87">
        <v>108</v>
      </c>
      <c r="R47" s="144" t="s">
        <v>326</v>
      </c>
      <c r="S47" s="145">
        <v>704.86</v>
      </c>
      <c r="T47" s="139"/>
    </row>
    <row r="48" spans="1:20" x14ac:dyDescent="0.45">
      <c r="A48" s="74" t="s">
        <v>53</v>
      </c>
      <c r="B48" s="74" t="s">
        <v>327</v>
      </c>
      <c r="C48" s="139">
        <v>19</v>
      </c>
      <c r="D48" s="74">
        <v>1770639809</v>
      </c>
      <c r="E48" s="140">
        <v>44562</v>
      </c>
      <c r="F48" s="140">
        <v>44926</v>
      </c>
      <c r="G48" s="141">
        <v>37937</v>
      </c>
      <c r="H48" s="93">
        <v>0</v>
      </c>
      <c r="I48" s="74">
        <v>125</v>
      </c>
      <c r="J48" s="142">
        <v>1127846</v>
      </c>
      <c r="K48" s="142">
        <v>39933618</v>
      </c>
      <c r="L48" s="142">
        <v>20446853</v>
      </c>
      <c r="M48" s="139">
        <v>1</v>
      </c>
      <c r="N48" s="143">
        <v>5</v>
      </c>
      <c r="O48" s="139">
        <v>5</v>
      </c>
      <c r="P48" s="87">
        <v>0</v>
      </c>
      <c r="Q48" s="87">
        <v>0</v>
      </c>
      <c r="R48" s="144">
        <v>39528</v>
      </c>
      <c r="S48" s="145">
        <v>704.86</v>
      </c>
      <c r="T48" s="139"/>
    </row>
    <row r="49" spans="1:20" x14ac:dyDescent="0.45">
      <c r="A49" s="74" t="s">
        <v>54</v>
      </c>
      <c r="B49" s="74" t="s">
        <v>328</v>
      </c>
      <c r="C49" s="139">
        <v>37</v>
      </c>
      <c r="D49" s="74">
        <v>1114091055</v>
      </c>
      <c r="E49" s="140">
        <v>44378</v>
      </c>
      <c r="F49" s="140">
        <v>44742</v>
      </c>
      <c r="G49" s="141">
        <v>5400</v>
      </c>
      <c r="H49" s="93">
        <v>5062</v>
      </c>
      <c r="I49" s="74">
        <v>20</v>
      </c>
      <c r="J49" s="142">
        <v>565999</v>
      </c>
      <c r="K49" s="142">
        <v>7040041</v>
      </c>
      <c r="L49" s="142">
        <v>3814936</v>
      </c>
      <c r="M49" s="139">
        <v>1</v>
      </c>
      <c r="N49" s="143">
        <v>1</v>
      </c>
      <c r="O49" s="139"/>
      <c r="P49" s="87">
        <v>4386</v>
      </c>
      <c r="Q49" s="87">
        <v>676</v>
      </c>
      <c r="R49" s="144" t="s">
        <v>329</v>
      </c>
      <c r="S49" s="145">
        <v>704.86</v>
      </c>
      <c r="T49" s="139"/>
    </row>
    <row r="50" spans="1:20" x14ac:dyDescent="0.45">
      <c r="A50" s="74" t="s">
        <v>55</v>
      </c>
      <c r="B50" s="74" t="s">
        <v>330</v>
      </c>
      <c r="C50" s="139">
        <v>15</v>
      </c>
      <c r="D50" s="74">
        <v>1669734653</v>
      </c>
      <c r="E50" s="140">
        <v>44562</v>
      </c>
      <c r="F50" s="140">
        <v>44926</v>
      </c>
      <c r="G50" s="141">
        <v>17447</v>
      </c>
      <c r="H50" s="93">
        <v>14113</v>
      </c>
      <c r="I50" s="74">
        <v>125</v>
      </c>
      <c r="J50" s="142">
        <v>581357</v>
      </c>
      <c r="K50" s="142">
        <v>12934976</v>
      </c>
      <c r="L50" s="142">
        <v>8186893</v>
      </c>
      <c r="M50" s="139">
        <v>1</v>
      </c>
      <c r="N50" s="143">
        <v>1</v>
      </c>
      <c r="O50" s="139"/>
      <c r="P50" s="87">
        <v>14113</v>
      </c>
      <c r="Q50" s="87">
        <v>0</v>
      </c>
      <c r="R50" s="144">
        <v>41163</v>
      </c>
      <c r="S50" s="145">
        <v>573.07874577979624</v>
      </c>
      <c r="T50" s="139" t="s">
        <v>93</v>
      </c>
    </row>
    <row r="51" spans="1:20" x14ac:dyDescent="0.45">
      <c r="A51" s="74" t="s">
        <v>56</v>
      </c>
      <c r="B51" s="74" t="s">
        <v>100</v>
      </c>
      <c r="C51" s="139">
        <v>38</v>
      </c>
      <c r="D51" s="74">
        <v>1285677518</v>
      </c>
      <c r="E51" s="140">
        <v>44378</v>
      </c>
      <c r="F51" s="140">
        <v>44742</v>
      </c>
      <c r="G51" s="141">
        <v>10079</v>
      </c>
      <c r="H51" s="93">
        <v>3865</v>
      </c>
      <c r="I51" s="74">
        <v>30</v>
      </c>
      <c r="J51" s="142">
        <v>592320</v>
      </c>
      <c r="K51" s="142">
        <v>12975159</v>
      </c>
      <c r="L51" s="142">
        <v>2199260</v>
      </c>
      <c r="M51" s="139">
        <v>1</v>
      </c>
      <c r="N51" s="143">
        <v>1</v>
      </c>
      <c r="O51" s="139"/>
      <c r="P51" s="87">
        <v>772</v>
      </c>
      <c r="Q51" s="87">
        <v>3093</v>
      </c>
      <c r="R51" s="144">
        <v>35144</v>
      </c>
      <c r="S51" s="145">
        <v>704.86</v>
      </c>
      <c r="T51" s="139"/>
    </row>
    <row r="52" spans="1:20" x14ac:dyDescent="0.45">
      <c r="A52" s="74" t="s">
        <v>57</v>
      </c>
      <c r="B52" s="74" t="s">
        <v>331</v>
      </c>
      <c r="C52" s="139">
        <v>19</v>
      </c>
      <c r="D52" s="74">
        <v>1710174818</v>
      </c>
      <c r="E52" s="140">
        <v>44378</v>
      </c>
      <c r="F52" s="140">
        <v>44742</v>
      </c>
      <c r="G52" s="141">
        <v>11807</v>
      </c>
      <c r="H52" s="93">
        <v>0</v>
      </c>
      <c r="I52" s="74">
        <v>44</v>
      </c>
      <c r="J52" s="142">
        <v>191699</v>
      </c>
      <c r="K52" s="142">
        <v>14398570</v>
      </c>
      <c r="L52" s="142">
        <v>6035141</v>
      </c>
      <c r="M52" s="139">
        <v>1</v>
      </c>
      <c r="N52" s="143">
        <v>5</v>
      </c>
      <c r="O52" s="139">
        <v>5</v>
      </c>
      <c r="P52" s="87">
        <v>0</v>
      </c>
      <c r="Q52" s="87">
        <v>0</v>
      </c>
      <c r="R52" s="144" t="s">
        <v>332</v>
      </c>
      <c r="S52" s="145">
        <v>704.86</v>
      </c>
      <c r="T52" s="139"/>
    </row>
    <row r="53" spans="1:20" x14ac:dyDescent="0.45">
      <c r="A53" s="74" t="s">
        <v>58</v>
      </c>
      <c r="B53" s="74" t="s">
        <v>333</v>
      </c>
      <c r="C53" s="139">
        <v>41</v>
      </c>
      <c r="D53" s="74">
        <v>1710066634</v>
      </c>
      <c r="E53" s="140">
        <v>44378</v>
      </c>
      <c r="F53" s="140">
        <v>44742</v>
      </c>
      <c r="G53" s="141">
        <v>80163</v>
      </c>
      <c r="H53" s="93">
        <v>71816</v>
      </c>
      <c r="I53" s="74">
        <v>345</v>
      </c>
      <c r="J53" s="142">
        <v>358383</v>
      </c>
      <c r="K53" s="142">
        <v>58934966</v>
      </c>
      <c r="L53" s="142">
        <v>8341514</v>
      </c>
      <c r="M53" s="139">
        <v>1</v>
      </c>
      <c r="N53" s="143">
        <v>1</v>
      </c>
      <c r="O53" s="139"/>
      <c r="P53" s="87">
        <v>10428</v>
      </c>
      <c r="Q53" s="87">
        <v>61388</v>
      </c>
      <c r="R53" s="144" t="s">
        <v>334</v>
      </c>
      <c r="S53" s="145">
        <v>573.33169761411625</v>
      </c>
      <c r="T53" s="139"/>
    </row>
    <row r="54" spans="1:20" x14ac:dyDescent="0.45">
      <c r="A54" s="74" t="s">
        <v>59</v>
      </c>
      <c r="B54" s="74" t="s">
        <v>335</v>
      </c>
      <c r="C54" s="139">
        <v>43</v>
      </c>
      <c r="D54" s="74">
        <v>1447724646</v>
      </c>
      <c r="E54" s="140">
        <v>44378</v>
      </c>
      <c r="F54" s="140">
        <v>44742</v>
      </c>
      <c r="G54" s="141">
        <v>8651</v>
      </c>
      <c r="H54" s="93">
        <v>0</v>
      </c>
      <c r="I54" s="74">
        <v>24</v>
      </c>
      <c r="J54" s="142">
        <v>346508</v>
      </c>
      <c r="K54" s="142">
        <v>16548293</v>
      </c>
      <c r="L54" s="142">
        <v>1398525</v>
      </c>
      <c r="M54" s="139">
        <v>1</v>
      </c>
      <c r="N54" s="143">
        <v>5</v>
      </c>
      <c r="O54" s="139">
        <v>5</v>
      </c>
      <c r="P54" s="87">
        <v>0</v>
      </c>
      <c r="Q54" s="87">
        <v>0</v>
      </c>
      <c r="R54" s="144">
        <v>40801</v>
      </c>
      <c r="S54" s="145">
        <v>704.86</v>
      </c>
      <c r="T54" s="139"/>
    </row>
    <row r="55" spans="1:20" x14ac:dyDescent="0.45">
      <c r="A55" s="74" t="s">
        <v>60</v>
      </c>
      <c r="B55" s="74" t="s">
        <v>336</v>
      </c>
      <c r="C55" s="139">
        <v>32</v>
      </c>
      <c r="D55" s="74">
        <v>1326234022</v>
      </c>
      <c r="E55" s="140">
        <v>44378</v>
      </c>
      <c r="F55" s="140">
        <v>44742</v>
      </c>
      <c r="G55" s="141">
        <v>4774</v>
      </c>
      <c r="H55" s="93">
        <v>3673</v>
      </c>
      <c r="I55" s="74">
        <v>16</v>
      </c>
      <c r="J55" s="142">
        <v>54158</v>
      </c>
      <c r="K55" s="142">
        <v>4061814</v>
      </c>
      <c r="L55" s="142">
        <v>1866316</v>
      </c>
      <c r="M55" s="139">
        <v>1</v>
      </c>
      <c r="N55" s="143">
        <v>1</v>
      </c>
      <c r="O55" s="139"/>
      <c r="P55" s="87">
        <v>2979</v>
      </c>
      <c r="Q55" s="87">
        <v>694</v>
      </c>
      <c r="R55" s="144" t="s">
        <v>337</v>
      </c>
      <c r="S55" s="145">
        <v>704.86</v>
      </c>
      <c r="T55" s="139" t="s">
        <v>93</v>
      </c>
    </row>
    <row r="56" spans="1:20" x14ac:dyDescent="0.45">
      <c r="A56" s="74" t="s">
        <v>61</v>
      </c>
      <c r="B56" s="93" t="s">
        <v>338</v>
      </c>
      <c r="C56" s="94">
        <v>41</v>
      </c>
      <c r="D56" s="148">
        <v>1386252112</v>
      </c>
      <c r="E56" s="140">
        <v>44378</v>
      </c>
      <c r="F56" s="140">
        <v>44742</v>
      </c>
      <c r="G56" s="141">
        <v>42592</v>
      </c>
      <c r="H56" s="93">
        <v>18495</v>
      </c>
      <c r="I56" s="74">
        <v>155</v>
      </c>
      <c r="J56" s="142">
        <v>365411</v>
      </c>
      <c r="K56" s="142">
        <v>23539529</v>
      </c>
      <c r="L56" s="142">
        <v>19209727</v>
      </c>
      <c r="M56" s="139">
        <v>1</v>
      </c>
      <c r="N56" s="143">
        <v>1</v>
      </c>
      <c r="O56" s="139"/>
      <c r="P56" s="87">
        <v>3720</v>
      </c>
      <c r="Q56" s="87">
        <v>14775</v>
      </c>
      <c r="R56" s="144"/>
      <c r="S56" s="145">
        <v>636.04</v>
      </c>
      <c r="T56" s="139"/>
    </row>
    <row r="57" spans="1:20" x14ac:dyDescent="0.45">
      <c r="A57" s="74" t="s">
        <v>62</v>
      </c>
      <c r="B57" s="74" t="s">
        <v>339</v>
      </c>
      <c r="C57" s="139">
        <v>37</v>
      </c>
      <c r="D57" s="74">
        <v>1538142369</v>
      </c>
      <c r="E57" s="140">
        <v>44470</v>
      </c>
      <c r="F57" s="140">
        <v>44834</v>
      </c>
      <c r="G57" s="141">
        <v>23993</v>
      </c>
      <c r="H57" s="93">
        <v>13809</v>
      </c>
      <c r="I57" s="74">
        <v>100</v>
      </c>
      <c r="J57" s="142">
        <v>1720646</v>
      </c>
      <c r="K57" s="142">
        <v>21332734</v>
      </c>
      <c r="L57" s="142">
        <v>12121348</v>
      </c>
      <c r="M57" s="139">
        <v>1</v>
      </c>
      <c r="N57" s="143">
        <v>1</v>
      </c>
      <c r="O57" s="139"/>
      <c r="P57" s="87">
        <v>4958</v>
      </c>
      <c r="Q57" s="87">
        <v>8851</v>
      </c>
      <c r="R57" s="144" t="s">
        <v>340</v>
      </c>
      <c r="S57" s="145">
        <v>704.86</v>
      </c>
      <c r="T57" s="139"/>
    </row>
    <row r="58" spans="1:20" x14ac:dyDescent="0.45">
      <c r="A58" s="74" t="s">
        <v>63</v>
      </c>
      <c r="B58" s="74" t="s">
        <v>341</v>
      </c>
      <c r="C58" s="139">
        <v>37</v>
      </c>
      <c r="D58" s="74">
        <v>1184607418</v>
      </c>
      <c r="E58" s="140">
        <v>44470</v>
      </c>
      <c r="F58" s="140">
        <v>44834</v>
      </c>
      <c r="G58" s="141">
        <v>14195</v>
      </c>
      <c r="H58" s="93">
        <v>10625</v>
      </c>
      <c r="I58" s="74">
        <v>51</v>
      </c>
      <c r="J58" s="142">
        <v>716820</v>
      </c>
      <c r="K58" s="142">
        <v>10742446</v>
      </c>
      <c r="L58" s="142">
        <v>6274378</v>
      </c>
      <c r="M58" s="139">
        <v>1</v>
      </c>
      <c r="N58" s="143">
        <v>1</v>
      </c>
      <c r="O58" s="139"/>
      <c r="P58" s="87">
        <v>3643</v>
      </c>
      <c r="Q58" s="87">
        <v>6982</v>
      </c>
      <c r="R58" s="144" t="s">
        <v>342</v>
      </c>
      <c r="S58" s="145">
        <v>704.86</v>
      </c>
      <c r="T58" s="139"/>
    </row>
    <row r="59" spans="1:20" x14ac:dyDescent="0.45">
      <c r="A59" s="74" t="s">
        <v>64</v>
      </c>
      <c r="B59" s="74" t="s">
        <v>343</v>
      </c>
      <c r="C59" s="139">
        <v>19</v>
      </c>
      <c r="D59" s="74">
        <v>1396031639</v>
      </c>
      <c r="E59" s="140">
        <v>44562</v>
      </c>
      <c r="F59" s="140">
        <v>44926</v>
      </c>
      <c r="G59" s="141">
        <v>7557</v>
      </c>
      <c r="H59" s="93">
        <v>0</v>
      </c>
      <c r="I59" s="74">
        <v>22</v>
      </c>
      <c r="J59" s="142">
        <v>506414</v>
      </c>
      <c r="K59" s="142">
        <v>6008432</v>
      </c>
      <c r="L59" s="142">
        <v>3715256</v>
      </c>
      <c r="M59" s="139">
        <v>1</v>
      </c>
      <c r="N59" s="143">
        <v>5</v>
      </c>
      <c r="O59" s="139">
        <v>5</v>
      </c>
      <c r="P59" s="87">
        <v>0</v>
      </c>
      <c r="Q59" s="87">
        <v>0</v>
      </c>
      <c r="R59" s="144">
        <v>41787</v>
      </c>
      <c r="S59" s="145">
        <v>704.86</v>
      </c>
      <c r="T59" s="139"/>
    </row>
    <row r="60" spans="1:20" x14ac:dyDescent="0.45">
      <c r="A60" s="74" t="s">
        <v>65</v>
      </c>
      <c r="B60" s="74" t="s">
        <v>344</v>
      </c>
      <c r="C60" s="139">
        <v>54</v>
      </c>
      <c r="D60" s="74">
        <v>1235352618</v>
      </c>
      <c r="E60" s="140">
        <v>44378</v>
      </c>
      <c r="F60" s="140">
        <v>44742</v>
      </c>
      <c r="G60" s="141">
        <v>11756</v>
      </c>
      <c r="H60" s="93">
        <v>0</v>
      </c>
      <c r="I60" s="74">
        <v>35</v>
      </c>
      <c r="J60" s="142">
        <v>409949</v>
      </c>
      <c r="K60" s="142">
        <v>9252696</v>
      </c>
      <c r="L60" s="142">
        <v>6480936</v>
      </c>
      <c r="M60" s="139">
        <v>1</v>
      </c>
      <c r="N60" s="143">
        <v>5</v>
      </c>
      <c r="O60" s="139">
        <v>5</v>
      </c>
      <c r="P60" s="87">
        <v>0</v>
      </c>
      <c r="Q60" s="87">
        <v>0</v>
      </c>
      <c r="R60" s="144">
        <v>36826</v>
      </c>
      <c r="S60" s="145">
        <v>704.86</v>
      </c>
      <c r="T60" s="139"/>
    </row>
    <row r="61" spans="1:20" x14ac:dyDescent="0.45">
      <c r="A61" s="74" t="s">
        <v>66</v>
      </c>
      <c r="B61" s="74" t="s">
        <v>345</v>
      </c>
      <c r="C61" s="139">
        <v>49</v>
      </c>
      <c r="D61" s="74">
        <v>1407938574</v>
      </c>
      <c r="E61" s="140">
        <v>44378</v>
      </c>
      <c r="F61" s="140">
        <v>44742</v>
      </c>
      <c r="G61" s="141">
        <v>9113</v>
      </c>
      <c r="H61" s="93">
        <v>5454</v>
      </c>
      <c r="I61" s="74">
        <v>27</v>
      </c>
      <c r="J61" s="142">
        <v>607289</v>
      </c>
      <c r="K61" s="142">
        <v>7356842</v>
      </c>
      <c r="L61" s="142">
        <v>3518104</v>
      </c>
      <c r="M61" s="139">
        <v>1</v>
      </c>
      <c r="N61" s="143">
        <v>1</v>
      </c>
      <c r="O61" s="139"/>
      <c r="P61" s="87">
        <v>910</v>
      </c>
      <c r="Q61" s="87">
        <v>4544</v>
      </c>
      <c r="R61" s="144" t="s">
        <v>346</v>
      </c>
      <c r="S61" s="145">
        <v>704.86</v>
      </c>
      <c r="T61" s="139"/>
    </row>
    <row r="62" spans="1:20" x14ac:dyDescent="0.45">
      <c r="A62" s="74" t="s">
        <v>67</v>
      </c>
      <c r="B62" s="74" t="s">
        <v>347</v>
      </c>
      <c r="C62" s="139">
        <v>55</v>
      </c>
      <c r="D62" s="74">
        <v>1801887401</v>
      </c>
      <c r="E62" s="140">
        <v>44562</v>
      </c>
      <c r="F62" s="140">
        <v>44926</v>
      </c>
      <c r="G62" s="141">
        <v>17850</v>
      </c>
      <c r="H62" s="93">
        <v>17289</v>
      </c>
      <c r="I62" s="74">
        <v>68</v>
      </c>
      <c r="J62" s="142">
        <v>205343</v>
      </c>
      <c r="K62" s="142">
        <v>13622314</v>
      </c>
      <c r="L62" s="142">
        <v>7681882</v>
      </c>
      <c r="M62" s="139">
        <v>1</v>
      </c>
      <c r="N62" s="143">
        <v>1</v>
      </c>
      <c r="O62" s="139"/>
      <c r="P62" s="87">
        <v>17108</v>
      </c>
      <c r="Q62" s="87">
        <v>181</v>
      </c>
      <c r="R62" s="144" t="s">
        <v>348</v>
      </c>
      <c r="S62" s="145">
        <v>695.81804641860936</v>
      </c>
      <c r="T62" s="139" t="s">
        <v>93</v>
      </c>
    </row>
    <row r="63" spans="1:20" x14ac:dyDescent="0.45">
      <c r="A63" s="74" t="s">
        <v>68</v>
      </c>
      <c r="B63" s="93" t="s">
        <v>349</v>
      </c>
      <c r="C63" s="139">
        <v>19</v>
      </c>
      <c r="D63" s="74">
        <v>1922350206</v>
      </c>
      <c r="E63" s="140">
        <v>44562</v>
      </c>
      <c r="F63" s="140">
        <v>44926</v>
      </c>
      <c r="G63" s="141">
        <v>5879</v>
      </c>
      <c r="H63" s="93">
        <v>0</v>
      </c>
      <c r="I63" s="74">
        <v>21</v>
      </c>
      <c r="J63" s="142">
        <v>213131</v>
      </c>
      <c r="K63" s="142">
        <v>8956879</v>
      </c>
      <c r="L63" s="142">
        <v>3097731</v>
      </c>
      <c r="M63" s="139">
        <v>1</v>
      </c>
      <c r="N63" s="143">
        <v>5</v>
      </c>
      <c r="O63" s="139">
        <v>5</v>
      </c>
      <c r="P63" s="87">
        <v>0</v>
      </c>
      <c r="Q63" s="87">
        <v>0</v>
      </c>
      <c r="R63" s="144"/>
      <c r="S63" s="145">
        <v>704.86</v>
      </c>
      <c r="T63" s="139"/>
    </row>
    <row r="64" spans="1:20" x14ac:dyDescent="0.45">
      <c r="A64" s="74" t="s">
        <v>69</v>
      </c>
      <c r="B64" s="74" t="s">
        <v>350</v>
      </c>
      <c r="C64" s="139">
        <v>29</v>
      </c>
      <c r="D64" s="74">
        <v>1295897395</v>
      </c>
      <c r="E64" s="140">
        <v>44378</v>
      </c>
      <c r="F64" s="140">
        <v>44742</v>
      </c>
      <c r="G64" s="141">
        <v>7473</v>
      </c>
      <c r="H64" s="93">
        <v>7126</v>
      </c>
      <c r="I64" s="74">
        <v>37</v>
      </c>
      <c r="J64" s="142">
        <v>881697</v>
      </c>
      <c r="K64" s="142">
        <v>8299079</v>
      </c>
      <c r="L64" s="142">
        <v>4109066</v>
      </c>
      <c r="M64" s="139">
        <v>1</v>
      </c>
      <c r="N64" s="143">
        <v>1</v>
      </c>
      <c r="O64" s="139"/>
      <c r="P64" s="87">
        <v>7126</v>
      </c>
      <c r="Q64" s="87">
        <v>0</v>
      </c>
      <c r="R64" s="144" t="s">
        <v>351</v>
      </c>
      <c r="S64" s="145">
        <v>704.86</v>
      </c>
      <c r="T64" s="139" t="s">
        <v>93</v>
      </c>
    </row>
    <row r="65" spans="1:20" x14ac:dyDescent="0.45">
      <c r="A65" s="74" t="s">
        <v>70</v>
      </c>
      <c r="B65" s="74" t="s">
        <v>352</v>
      </c>
      <c r="C65" s="139">
        <v>19</v>
      </c>
      <c r="D65" s="74">
        <v>1740268713</v>
      </c>
      <c r="E65" s="140">
        <v>44378</v>
      </c>
      <c r="F65" s="140">
        <v>44742</v>
      </c>
      <c r="G65" s="141">
        <v>8328</v>
      </c>
      <c r="H65" s="93">
        <v>25</v>
      </c>
      <c r="I65" s="74">
        <v>40</v>
      </c>
      <c r="J65" s="142">
        <v>884616</v>
      </c>
      <c r="K65" s="142">
        <v>11833392</v>
      </c>
      <c r="L65" s="142">
        <v>8201029</v>
      </c>
      <c r="M65" s="139">
        <v>1</v>
      </c>
      <c r="N65" s="143">
        <v>1</v>
      </c>
      <c r="O65" s="139"/>
      <c r="P65" s="87">
        <v>25</v>
      </c>
      <c r="Q65" s="87">
        <v>0</v>
      </c>
      <c r="R65" s="144" t="s">
        <v>353</v>
      </c>
      <c r="S65" s="145">
        <v>704.86</v>
      </c>
      <c r="T65" s="139"/>
    </row>
    <row r="66" spans="1:20" x14ac:dyDescent="0.45">
      <c r="A66" s="74" t="s">
        <v>71</v>
      </c>
      <c r="B66" s="74" t="s">
        <v>354</v>
      </c>
      <c r="C66" s="139">
        <v>53</v>
      </c>
      <c r="D66" s="74">
        <v>1154404010</v>
      </c>
      <c r="E66" s="140">
        <v>44562</v>
      </c>
      <c r="F66" s="140">
        <v>44926</v>
      </c>
      <c r="G66" s="141">
        <v>4254</v>
      </c>
      <c r="H66" s="93">
        <v>3772</v>
      </c>
      <c r="I66" s="74">
        <v>13</v>
      </c>
      <c r="J66" s="142">
        <v>20388</v>
      </c>
      <c r="K66" s="142">
        <v>3041544</v>
      </c>
      <c r="L66" s="142">
        <v>1865722</v>
      </c>
      <c r="M66" s="139">
        <v>1</v>
      </c>
      <c r="N66" s="143">
        <v>1</v>
      </c>
      <c r="O66" s="139"/>
      <c r="P66" s="87">
        <v>102</v>
      </c>
      <c r="Q66" s="87">
        <v>3670</v>
      </c>
      <c r="R66" s="144">
        <v>42887</v>
      </c>
      <c r="S66" s="145">
        <v>650.17999999999995</v>
      </c>
      <c r="T66" s="139" t="s">
        <v>93</v>
      </c>
    </row>
    <row r="67" spans="1:20" x14ac:dyDescent="0.45">
      <c r="A67" s="74" t="s">
        <v>72</v>
      </c>
      <c r="B67" s="74" t="s">
        <v>293</v>
      </c>
      <c r="C67" s="139">
        <v>19</v>
      </c>
      <c r="D67" s="74">
        <v>1942281936</v>
      </c>
      <c r="E67" s="140">
        <v>44562</v>
      </c>
      <c r="F67" s="140">
        <v>44926</v>
      </c>
      <c r="G67" s="141">
        <v>2791</v>
      </c>
      <c r="H67" s="93">
        <v>175</v>
      </c>
      <c r="I67" s="74">
        <v>27</v>
      </c>
      <c r="J67" s="142">
        <v>337570</v>
      </c>
      <c r="K67" s="142">
        <v>5132309</v>
      </c>
      <c r="L67" s="142">
        <v>2631062</v>
      </c>
      <c r="M67" s="139">
        <v>1</v>
      </c>
      <c r="N67" s="143">
        <v>1</v>
      </c>
      <c r="O67" s="139"/>
      <c r="P67" s="87">
        <v>0</v>
      </c>
      <c r="Q67" s="87">
        <v>175</v>
      </c>
      <c r="R67" s="144" t="s">
        <v>355</v>
      </c>
      <c r="S67" s="145">
        <v>704.86</v>
      </c>
      <c r="T67" s="139"/>
    </row>
    <row r="68" spans="1:20" hidden="1" x14ac:dyDescent="0.45">
      <c r="C68" s="135"/>
      <c r="G68" s="151"/>
      <c r="H68" s="151"/>
      <c r="I68" s="151"/>
      <c r="J68" s="151"/>
      <c r="K68" s="151"/>
      <c r="L68" s="151"/>
      <c r="M68" s="135"/>
      <c r="N68" s="135"/>
      <c r="O68" s="135"/>
      <c r="P68" s="135"/>
      <c r="Q68" s="135"/>
      <c r="T68" s="135"/>
    </row>
    <row r="72" spans="1:20" hidden="1" x14ac:dyDescent="0.45">
      <c r="A72" s="152"/>
    </row>
  </sheetData>
  <sheetProtection sheet="1" objects="1" scenarios="1" selectLockedCells="1"/>
  <phoneticPr fontId="14" type="noConversion"/>
  <dataValidations count="2">
    <dataValidation type="whole" errorStyle="warning" operator="greaterThanOrEqual" allowBlank="1" showInputMessage="1" showErrorMessage="1" error="Total SNF days are less than Medi-Cal SNF days." sqref="P2:P3" xr:uid="{FA69BC90-4542-4B80-AF42-85B312A451C3}">
      <formula1>Q2</formula1>
    </dataValidation>
    <dataValidation type="whole" errorStyle="warning" operator="lessThanOrEqual" allowBlank="1" showInputMessage="1" showErrorMessage="1" error="Medi-Cal days are less than Total days." sqref="Q2:Q3" xr:uid="{3AA4C284-405E-48BA-B05A-784F864924B3}">
      <formula1>P2</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15E2B-FC99-41A8-9A94-96CC78F89B70}">
  <sheetPr codeName="Sheet5"/>
  <dimension ref="A1:Q69"/>
  <sheetViews>
    <sheetView topLeftCell="F1" workbookViewId="0">
      <selection activeCell="M2" sqref="M2"/>
    </sheetView>
  </sheetViews>
  <sheetFormatPr defaultColWidth="8.7265625" defaultRowHeight="16" x14ac:dyDescent="0.45"/>
  <cols>
    <col min="1" max="1" width="14.7265625" style="2" customWidth="1"/>
    <col min="2" max="2" width="15.26953125" style="2" customWidth="1"/>
    <col min="3" max="3" width="15.7265625" style="2" customWidth="1"/>
    <col min="4" max="4" width="16.7265625" style="2" customWidth="1"/>
    <col min="5" max="5" width="20.453125" style="2" bestFit="1" customWidth="1"/>
    <col min="6" max="6" width="19.54296875" style="2" customWidth="1"/>
    <col min="7" max="7" width="16" style="2" customWidth="1"/>
    <col min="8" max="8" width="21.54296875" style="2" customWidth="1"/>
    <col min="9" max="9" width="16.453125" style="2" customWidth="1"/>
    <col min="10" max="10" width="17" style="2" customWidth="1"/>
    <col min="11" max="11" width="18.26953125" style="2" customWidth="1"/>
    <col min="12" max="12" width="16.26953125" style="2" customWidth="1"/>
    <col min="13" max="13" width="8.7265625" style="2" bestFit="1" customWidth="1"/>
    <col min="14" max="14" width="10.7265625" style="2" customWidth="1"/>
    <col min="15" max="15" width="9.7265625" style="2" customWidth="1"/>
    <col min="16" max="16" width="11.453125" style="2" customWidth="1"/>
    <col min="17" max="17" width="10.26953125" style="2" customWidth="1"/>
    <col min="18" max="16384" width="8.7265625" style="2"/>
  </cols>
  <sheetData>
    <row r="1" spans="1:17" ht="48" x14ac:dyDescent="0.45">
      <c r="A1" s="26" t="s">
        <v>356</v>
      </c>
      <c r="B1" s="27" t="s">
        <v>357</v>
      </c>
      <c r="C1" s="27" t="s">
        <v>358</v>
      </c>
      <c r="D1" s="28" t="s">
        <v>359</v>
      </c>
      <c r="E1" s="29" t="s">
        <v>360</v>
      </c>
      <c r="F1" s="26" t="s">
        <v>361</v>
      </c>
      <c r="G1" s="26" t="s">
        <v>362</v>
      </c>
      <c r="H1" s="30" t="s">
        <v>363</v>
      </c>
      <c r="I1" s="26" t="s">
        <v>364</v>
      </c>
      <c r="J1" s="30" t="s">
        <v>365</v>
      </c>
      <c r="K1" s="31" t="s">
        <v>366</v>
      </c>
      <c r="L1" s="30" t="s">
        <v>367</v>
      </c>
      <c r="M1" s="30" t="s">
        <v>368</v>
      </c>
      <c r="N1" s="30" t="s">
        <v>369</v>
      </c>
      <c r="O1" s="30" t="s">
        <v>370</v>
      </c>
      <c r="P1" s="30" t="s">
        <v>371</v>
      </c>
      <c r="Q1" s="30" t="s">
        <v>222</v>
      </c>
    </row>
    <row r="2" spans="1:17" x14ac:dyDescent="0.45">
      <c r="A2" s="32">
        <f>Data!J3*Data!M3</f>
        <v>3114685</v>
      </c>
      <c r="B2" s="33">
        <f>Data!K3*Data!M3</f>
        <v>36476352</v>
      </c>
      <c r="C2" s="33">
        <f>B2-A2</f>
        <v>33361667</v>
      </c>
      <c r="D2" s="34">
        <f>C2*'SWB Ratio'!$B$8/0.9</f>
        <v>20275272.591295708</v>
      </c>
      <c r="E2" s="35">
        <f>C2-D2</f>
        <v>13086394.408704292</v>
      </c>
      <c r="F2" s="35">
        <f t="shared" ref="F2" si="0">(A2*1)</f>
        <v>3114685</v>
      </c>
      <c r="G2" s="33" t="e">
        <f>D2*Data!#REF!</f>
        <v>#REF!</v>
      </c>
      <c r="H2" s="36" t="e">
        <f>(E2-(Data!I3*'License Fees'!$A$4))*Data!#REF!</f>
        <v>#REF!</v>
      </c>
      <c r="I2" s="36" t="e">
        <f>(H2+(IF(Data!C3=19,'License Fees'!$B$4+'License Fees'!$D$4,'License Fees'!$B$4)*Data!I3))</f>
        <v>#REF!</v>
      </c>
      <c r="J2" s="33" t="e">
        <f>(F2+G2+I2)/Data!G3</f>
        <v>#REF!</v>
      </c>
      <c r="K2" s="37">
        <f>'Min Wage Add-Ons'!$B$4</f>
        <v>0.45</v>
      </c>
      <c r="L2" s="38" t="e">
        <f>J2+K2</f>
        <v>#REF!</v>
      </c>
      <c r="M2" s="24">
        <f>IF(Data!N3=1,(Data!H3/Data!G3),0)</f>
        <v>0.96717112313442588</v>
      </c>
      <c r="N2" s="39" t="e">
        <f>IF(M2&gt;=20%,L2,"")</f>
        <v>#REF!</v>
      </c>
      <c r="O2" s="39" t="str">
        <f>IF(Data!T3="Y",IF(L2&gt;=$Q$65,$Q$65,L2),"")</f>
        <v/>
      </c>
      <c r="P2" s="39" t="str">
        <f>IF(O2="","",$Q$68)</f>
        <v/>
      </c>
      <c r="Q2" s="39" t="e">
        <f>IF(L2&lt;$Q$65,L2,$Q$65)</f>
        <v>#REF!</v>
      </c>
    </row>
    <row r="3" spans="1:17" x14ac:dyDescent="0.45">
      <c r="A3" s="32">
        <f>Data!J4*Data!M4</f>
        <v>50069</v>
      </c>
      <c r="B3" s="33">
        <f>Data!K4*Data!M4</f>
        <v>25561202</v>
      </c>
      <c r="C3" s="33">
        <f t="shared" ref="C3:C62" si="1">B3-A3</f>
        <v>25511133</v>
      </c>
      <c r="D3" s="34">
        <f>C3*'SWB Ratio'!$B$8/0.9</f>
        <v>15504176.565511534</v>
      </c>
      <c r="E3" s="35">
        <f t="shared" ref="E3:E62" si="2">C3-D3</f>
        <v>10006956.434488466</v>
      </c>
      <c r="F3" s="35">
        <f t="shared" ref="F3:F62" si="3">(A3*1)</f>
        <v>50069</v>
      </c>
      <c r="G3" s="33" t="e">
        <f>D3*Data!#REF!</f>
        <v>#REF!</v>
      </c>
      <c r="H3" s="36" t="e">
        <f>(E3-(Data!I4*'License Fees'!$A$4))*Data!#REF!</f>
        <v>#REF!</v>
      </c>
      <c r="I3" s="36" t="e">
        <f>(H3+(IF(Data!C4=19,'License Fees'!$B$4+'License Fees'!$D$4,'License Fees'!$B$4)*Data!I4))</f>
        <v>#REF!</v>
      </c>
      <c r="J3" s="33" t="e">
        <f>(F3+G3+I3)/Data!G4</f>
        <v>#REF!</v>
      </c>
      <c r="K3" s="37">
        <f>'Min Wage Add-Ons'!$B$4</f>
        <v>0.45</v>
      </c>
      <c r="L3" s="38" t="e">
        <f t="shared" ref="L3:L62" si="4">J3+K3</f>
        <v>#REF!</v>
      </c>
      <c r="M3" s="24">
        <f>IF(Data!N4=1,(Data!H4/Data!G4),0)</f>
        <v>0.92132646974349908</v>
      </c>
      <c r="N3" s="39" t="e">
        <f t="shared" ref="N3:N62" si="5">IF(M3&gt;=20%,L3,"")</f>
        <v>#REF!</v>
      </c>
      <c r="O3" s="39" t="str">
        <f>IF(Data!T4="Y",IF(L3&gt;=$Q$65,$Q$65,L3),"")</f>
        <v/>
      </c>
      <c r="P3" s="39" t="str">
        <f t="shared" ref="P3:P62" si="6">IF(O3="","",$Q$68)</f>
        <v/>
      </c>
      <c r="Q3" s="39" t="e">
        <f t="shared" ref="Q3:Q62" si="7">IF(L3&lt;$Q$65,L3,$Q$65)</f>
        <v>#REF!</v>
      </c>
    </row>
    <row r="4" spans="1:17" x14ac:dyDescent="0.45">
      <c r="A4" s="32">
        <f>Data!J5*Data!M5</f>
        <v>392163</v>
      </c>
      <c r="B4" s="33">
        <f>Data!K5*Data!M5</f>
        <v>12201254</v>
      </c>
      <c r="C4" s="33">
        <f t="shared" si="1"/>
        <v>11809091</v>
      </c>
      <c r="D4" s="34">
        <f>C4*'SWB Ratio'!$B$8/0.9</f>
        <v>7176875.7562509356</v>
      </c>
      <c r="E4" s="35">
        <f t="shared" si="2"/>
        <v>4632215.2437490644</v>
      </c>
      <c r="F4" s="35">
        <f t="shared" si="3"/>
        <v>392163</v>
      </c>
      <c r="G4" s="33" t="e">
        <f>D4*Data!#REF!</f>
        <v>#REF!</v>
      </c>
      <c r="H4" s="36" t="e">
        <f>(E4-(Data!I5*'License Fees'!$A$4))*Data!#REF!</f>
        <v>#REF!</v>
      </c>
      <c r="I4" s="36" t="e">
        <f>(H4+(IF(Data!C5=19,'License Fees'!$B$4+'License Fees'!$D$4,'License Fees'!$B$4)*Data!I5))</f>
        <v>#REF!</v>
      </c>
      <c r="J4" s="33" t="e">
        <f>(F4+G4+I4)/Data!G5</f>
        <v>#REF!</v>
      </c>
      <c r="K4" s="37">
        <f>'Min Wage Add-Ons'!$B$4</f>
        <v>0.45</v>
      </c>
      <c r="L4" s="38" t="e">
        <f t="shared" si="4"/>
        <v>#REF!</v>
      </c>
      <c r="M4" s="24">
        <f>IF(Data!N5=1,(Data!H5/Data!G5),0)</f>
        <v>0.90861330015208075</v>
      </c>
      <c r="N4" s="39" t="e">
        <f t="shared" si="5"/>
        <v>#REF!</v>
      </c>
      <c r="O4" s="39" t="e">
        <f>IF(Data!T5="Y",IF(L4&gt;=$Q$65,$Q$65,L4),"")</f>
        <v>#REF!</v>
      </c>
      <c r="P4" s="39" t="e">
        <f t="shared" si="6"/>
        <v>#REF!</v>
      </c>
      <c r="Q4" s="39" t="e">
        <f t="shared" si="7"/>
        <v>#REF!</v>
      </c>
    </row>
    <row r="5" spans="1:17" x14ac:dyDescent="0.45">
      <c r="A5" s="32">
        <f>Data!J6*Data!M6</f>
        <v>162872</v>
      </c>
      <c r="B5" s="33">
        <f>Data!K6*Data!M6</f>
        <v>3944145</v>
      </c>
      <c r="C5" s="33">
        <f t="shared" si="1"/>
        <v>3781273</v>
      </c>
      <c r="D5" s="34">
        <f>C5*'SWB Ratio'!$B$8/0.9</f>
        <v>2298036.8701931625</v>
      </c>
      <c r="E5" s="35">
        <f t="shared" si="2"/>
        <v>1483236.1298068375</v>
      </c>
      <c r="F5" s="35">
        <f t="shared" si="3"/>
        <v>162872</v>
      </c>
      <c r="G5" s="33" t="e">
        <f>D5*Data!#REF!</f>
        <v>#REF!</v>
      </c>
      <c r="H5" s="36" t="e">
        <f>(E5-(Data!I6*'License Fees'!$A$4))*Data!#REF!</f>
        <v>#REF!</v>
      </c>
      <c r="I5" s="36" t="e">
        <f>(H5+(IF(Data!C6=19,'License Fees'!$B$4+'License Fees'!$D$4,'License Fees'!$B$4)*Data!I6))</f>
        <v>#REF!</v>
      </c>
      <c r="J5" s="33" t="e">
        <f>(F5+G5+I5)/Data!G6</f>
        <v>#REF!</v>
      </c>
      <c r="K5" s="37">
        <f>'Min Wage Add-Ons'!$B$4</f>
        <v>0.45</v>
      </c>
      <c r="L5" s="38" t="e">
        <f t="shared" si="4"/>
        <v>#REF!</v>
      </c>
      <c r="M5" s="24">
        <f>IF(Data!N6=1,(Data!H6/Data!G6),0)</f>
        <v>0</v>
      </c>
      <c r="N5" s="39" t="str">
        <f t="shared" si="5"/>
        <v/>
      </c>
      <c r="O5" s="39" t="e">
        <f>IF(Data!T6="Y",IF(L5&gt;=$Q$65,$Q$65,L5),"")</f>
        <v>#REF!</v>
      </c>
      <c r="P5" s="39" t="e">
        <f t="shared" si="6"/>
        <v>#REF!</v>
      </c>
      <c r="Q5" s="39" t="e">
        <f t="shared" si="7"/>
        <v>#REF!</v>
      </c>
    </row>
    <row r="6" spans="1:17" x14ac:dyDescent="0.45">
      <c r="A6" s="32">
        <f>Data!J7*Data!M7</f>
        <v>697183</v>
      </c>
      <c r="B6" s="33">
        <f>Data!K7*Data!M7</f>
        <v>38370395</v>
      </c>
      <c r="C6" s="33">
        <f t="shared" si="1"/>
        <v>37673212</v>
      </c>
      <c r="D6" s="34">
        <f>C6*'SWB Ratio'!$B$8/0.9</f>
        <v>22895577.810595397</v>
      </c>
      <c r="E6" s="35">
        <f t="shared" si="2"/>
        <v>14777634.189404603</v>
      </c>
      <c r="F6" s="35">
        <f t="shared" si="3"/>
        <v>697183</v>
      </c>
      <c r="G6" s="33" t="e">
        <f>D6*Data!#REF!</f>
        <v>#REF!</v>
      </c>
      <c r="H6" s="36" t="e">
        <f>(E6-(Data!I7*'License Fees'!$A$4))*Data!#REF!</f>
        <v>#REF!</v>
      </c>
      <c r="I6" s="36" t="e">
        <f>(H6+(IF(Data!C7=19,'License Fees'!$B$4+'License Fees'!$D$4,'License Fees'!$B$4)*Data!I7))</f>
        <v>#REF!</v>
      </c>
      <c r="J6" s="33" t="e">
        <f>(F6+G6+I6)/Data!G7</f>
        <v>#REF!</v>
      </c>
      <c r="K6" s="37">
        <f>'Min Wage Add-Ons'!$B$4</f>
        <v>0.45</v>
      </c>
      <c r="L6" s="38" t="e">
        <f t="shared" si="4"/>
        <v>#REF!</v>
      </c>
      <c r="M6" s="24">
        <f>IF(Data!N7=1,(Data!H7/Data!G7),0)</f>
        <v>0.81138744178340672</v>
      </c>
      <c r="N6" s="39" t="e">
        <f t="shared" si="5"/>
        <v>#REF!</v>
      </c>
      <c r="O6" s="39" t="str">
        <f>IF(Data!T7="Y",IF(L6&gt;=$Q$65,$Q$65,L6),"")</f>
        <v/>
      </c>
      <c r="P6" s="39" t="str">
        <f t="shared" si="6"/>
        <v/>
      </c>
      <c r="Q6" s="39" t="e">
        <f t="shared" si="7"/>
        <v>#REF!</v>
      </c>
    </row>
    <row r="7" spans="1:17" x14ac:dyDescent="0.45">
      <c r="A7" s="32">
        <f>Data!J8*Data!M8</f>
        <v>776147</v>
      </c>
      <c r="B7" s="33">
        <f>Data!K8*Data!M8</f>
        <v>11804126</v>
      </c>
      <c r="C7" s="33">
        <f t="shared" si="1"/>
        <v>11027979</v>
      </c>
      <c r="D7" s="34">
        <f>C7*'SWB Ratio'!$B$8/0.9</f>
        <v>6702161.5063805021</v>
      </c>
      <c r="E7" s="35">
        <f t="shared" si="2"/>
        <v>4325817.4936194979</v>
      </c>
      <c r="F7" s="35">
        <f t="shared" si="3"/>
        <v>776147</v>
      </c>
      <c r="G7" s="33" t="e">
        <f>D7*Data!#REF!</f>
        <v>#REF!</v>
      </c>
      <c r="H7" s="36" t="e">
        <f>(E7-(Data!I8*'License Fees'!$A$4))*Data!#REF!</f>
        <v>#REF!</v>
      </c>
      <c r="I7" s="36" t="e">
        <f>(H7+(IF(Data!C8=19,'License Fees'!$B$4+'License Fees'!$D$4,'License Fees'!$B$4)*Data!I8))</f>
        <v>#REF!</v>
      </c>
      <c r="J7" s="33" t="e">
        <f>(F7+G7+I7)/Data!G8</f>
        <v>#REF!</v>
      </c>
      <c r="K7" s="37">
        <f>'Min Wage Add-Ons'!$B$4</f>
        <v>0.45</v>
      </c>
      <c r="L7" s="38" t="e">
        <f t="shared" si="4"/>
        <v>#REF!</v>
      </c>
      <c r="M7" s="24">
        <f>IF(Data!N8=1,(Data!H8/Data!G8),0)</f>
        <v>0.33240997229916897</v>
      </c>
      <c r="N7" s="39" t="e">
        <f t="shared" si="5"/>
        <v>#REF!</v>
      </c>
      <c r="O7" s="39" t="str">
        <f>IF(Data!T8="Y",IF(L7&gt;=$Q$65,$Q$65,L7),"")</f>
        <v/>
      </c>
      <c r="P7" s="39" t="str">
        <f t="shared" si="6"/>
        <v/>
      </c>
      <c r="Q7" s="39" t="e">
        <f t="shared" si="7"/>
        <v>#REF!</v>
      </c>
    </row>
    <row r="8" spans="1:17" x14ac:dyDescent="0.45">
      <c r="A8" s="32">
        <f>Data!J9*Data!M9</f>
        <v>49312</v>
      </c>
      <c r="B8" s="33">
        <f>Data!K9*Data!M9</f>
        <v>757910</v>
      </c>
      <c r="C8" s="33">
        <f t="shared" si="1"/>
        <v>708598</v>
      </c>
      <c r="D8" s="34">
        <f>C8*'SWB Ratio'!$B$8/0.9</f>
        <v>430644.4761182635</v>
      </c>
      <c r="E8" s="35">
        <f t="shared" si="2"/>
        <v>277953.5238817365</v>
      </c>
      <c r="F8" s="35">
        <f t="shared" si="3"/>
        <v>49312</v>
      </c>
      <c r="G8" s="33" t="e">
        <f>D8*Data!#REF!</f>
        <v>#REF!</v>
      </c>
      <c r="H8" s="36" t="e">
        <f>(E8-(Data!I9*'License Fees'!$A$4))*Data!#REF!</f>
        <v>#REF!</v>
      </c>
      <c r="I8" s="36" t="e">
        <f>(H8+(IF(Data!C9=19,'License Fees'!$B$4+'License Fees'!$D$4,'License Fees'!$B$4)*Data!I9))</f>
        <v>#REF!</v>
      </c>
      <c r="J8" s="33" t="e">
        <f>(F8+G8+I8)/Data!G9</f>
        <v>#REF!</v>
      </c>
      <c r="K8" s="37">
        <f>'Min Wage Add-Ons'!$B$4</f>
        <v>0.45</v>
      </c>
      <c r="L8" s="38" t="e">
        <f t="shared" si="4"/>
        <v>#REF!</v>
      </c>
      <c r="M8" s="24">
        <f>IF(Data!N9=1,(Data!H9/Data!G9),0)</f>
        <v>1</v>
      </c>
      <c r="N8" s="39" t="e">
        <f t="shared" si="5"/>
        <v>#REF!</v>
      </c>
      <c r="O8" s="39" t="e">
        <f>IF(Data!T9="Y",IF(L8&gt;=$Q$65,$Q$65,L8),"")</f>
        <v>#REF!</v>
      </c>
      <c r="P8" s="39" t="e">
        <f t="shared" si="6"/>
        <v>#REF!</v>
      </c>
      <c r="Q8" s="39" t="e">
        <f t="shared" si="7"/>
        <v>#REF!</v>
      </c>
    </row>
    <row r="9" spans="1:17" x14ac:dyDescent="0.45">
      <c r="A9" s="32">
        <f>Data!J10*Data!M10</f>
        <v>247225</v>
      </c>
      <c r="B9" s="33">
        <f>Data!K10*Data!M10</f>
        <v>8104680</v>
      </c>
      <c r="C9" s="33">
        <f t="shared" si="1"/>
        <v>7857455</v>
      </c>
      <c r="D9" s="34">
        <f>C9*'SWB Ratio'!$B$8/0.9</f>
        <v>4775302.2053376241</v>
      </c>
      <c r="E9" s="35">
        <f t="shared" si="2"/>
        <v>3082152.7946623759</v>
      </c>
      <c r="F9" s="35">
        <f t="shared" si="3"/>
        <v>247225</v>
      </c>
      <c r="G9" s="33" t="e">
        <f>D9*Data!#REF!</f>
        <v>#REF!</v>
      </c>
      <c r="H9" s="36" t="e">
        <f>(E9-(Data!I10*'License Fees'!$A$4))*Data!#REF!</f>
        <v>#REF!</v>
      </c>
      <c r="I9" s="36" t="e">
        <f>(H9+(IF(Data!C10=19,'License Fees'!$B$4+'License Fees'!$D$4,'License Fees'!$B$4)*Data!I10))</f>
        <v>#REF!</v>
      </c>
      <c r="J9" s="33" t="e">
        <f>(F9+G9+I9)/Data!G10</f>
        <v>#REF!</v>
      </c>
      <c r="K9" s="37">
        <f>'Min Wage Add-Ons'!$B$4</f>
        <v>0.45</v>
      </c>
      <c r="L9" s="38" t="e">
        <f t="shared" si="4"/>
        <v>#REF!</v>
      </c>
      <c r="M9" s="24">
        <f>IF(Data!N10=1,(Data!H10/Data!G10),0)</f>
        <v>0</v>
      </c>
      <c r="N9" s="39" t="str">
        <f t="shared" si="5"/>
        <v/>
      </c>
      <c r="O9" s="39" t="str">
        <f>IF(Data!T10="Y",IF(L9&gt;=$Q$65,$Q$65,L9),"")</f>
        <v/>
      </c>
      <c r="P9" s="39" t="str">
        <f t="shared" si="6"/>
        <v/>
      </c>
      <c r="Q9" s="39" t="e">
        <f t="shared" si="7"/>
        <v>#REF!</v>
      </c>
    </row>
    <row r="10" spans="1:17" x14ac:dyDescent="0.45">
      <c r="A10" s="32">
        <f>Data!J13*Data!M13</f>
        <v>525705</v>
      </c>
      <c r="B10" s="33">
        <f>Data!K13*Data!M13</f>
        <v>27328010</v>
      </c>
      <c r="C10" s="33">
        <f t="shared" si="1"/>
        <v>26802305</v>
      </c>
      <c r="D10" s="34">
        <f>C10*'SWB Ratio'!$B$8/0.9</f>
        <v>16288875.491444957</v>
      </c>
      <c r="E10" s="35">
        <f t="shared" si="2"/>
        <v>10513429.508555043</v>
      </c>
      <c r="F10" s="35">
        <f t="shared" si="3"/>
        <v>525705</v>
      </c>
      <c r="G10" s="33" t="e">
        <f>D10*Data!#REF!</f>
        <v>#REF!</v>
      </c>
      <c r="H10" s="36" t="e">
        <f>(E10-(Data!I13*'License Fees'!$A$4))*Data!#REF!</f>
        <v>#REF!</v>
      </c>
      <c r="I10" s="36" t="e">
        <f>(H10+(IF(Data!C13=19,'License Fees'!$B$4+'License Fees'!$D$4,'License Fees'!$B$4)*Data!I13))</f>
        <v>#REF!</v>
      </c>
      <c r="J10" s="33" t="e">
        <f>(F10+G10+I10)/Data!G13</f>
        <v>#REF!</v>
      </c>
      <c r="K10" s="37">
        <f>'Min Wage Add-Ons'!$B$4</f>
        <v>0.45</v>
      </c>
      <c r="L10" s="38" t="e">
        <f t="shared" si="4"/>
        <v>#REF!</v>
      </c>
      <c r="M10" s="24">
        <f>IF(Data!N13=1,(Data!H13/Data!G13),0)</f>
        <v>0</v>
      </c>
      <c r="N10" s="39" t="str">
        <f t="shared" si="5"/>
        <v/>
      </c>
      <c r="O10" s="39" t="str">
        <f>IF(Data!T13="Y",IF(L10&gt;=$Q$65,$Q$65,L10),"")</f>
        <v/>
      </c>
      <c r="P10" s="39" t="str">
        <f t="shared" si="6"/>
        <v/>
      </c>
      <c r="Q10" s="39" t="e">
        <f t="shared" si="7"/>
        <v>#REF!</v>
      </c>
    </row>
    <row r="11" spans="1:17" x14ac:dyDescent="0.45">
      <c r="A11" s="32">
        <f>Data!J14*Data!M14</f>
        <v>586086</v>
      </c>
      <c r="B11" s="33">
        <f>Data!K14*Data!M14</f>
        <v>7550584</v>
      </c>
      <c r="C11" s="33">
        <f t="shared" si="1"/>
        <v>6964498</v>
      </c>
      <c r="D11" s="34">
        <f>C11*'SWB Ratio'!$B$8/0.9</f>
        <v>4232615.0971872536</v>
      </c>
      <c r="E11" s="35">
        <f t="shared" si="2"/>
        <v>2731882.9028127464</v>
      </c>
      <c r="F11" s="35">
        <f t="shared" si="3"/>
        <v>586086</v>
      </c>
      <c r="G11" s="33" t="e">
        <f>D11*Data!#REF!</f>
        <v>#REF!</v>
      </c>
      <c r="H11" s="36" t="e">
        <f>(E11-(Data!I14*'License Fees'!$A$4))*Data!#REF!</f>
        <v>#REF!</v>
      </c>
      <c r="I11" s="36" t="e">
        <f>(H11+(IF(Data!C14=19,'License Fees'!$B$4+'License Fees'!$D$4,'License Fees'!$B$4)*Data!I14))</f>
        <v>#REF!</v>
      </c>
      <c r="J11" s="33" t="e">
        <f>(F11+G11+I11)/Data!G14</f>
        <v>#REF!</v>
      </c>
      <c r="K11" s="37">
        <f>'Min Wage Add-Ons'!$B$4</f>
        <v>0.45</v>
      </c>
      <c r="L11" s="38" t="e">
        <f t="shared" si="4"/>
        <v>#REF!</v>
      </c>
      <c r="M11" s="24">
        <f>IF(Data!N14=1,(Data!H14/Data!G14),0)</f>
        <v>0.9924591296338936</v>
      </c>
      <c r="N11" s="39" t="e">
        <f t="shared" si="5"/>
        <v>#REF!</v>
      </c>
      <c r="O11" s="39" t="str">
        <f>IF(Data!T14="Y",IF(L11&gt;=$Q$65,$Q$65,L11),"")</f>
        <v/>
      </c>
      <c r="P11" s="39" t="str">
        <f t="shared" si="6"/>
        <v/>
      </c>
      <c r="Q11" s="39" t="e">
        <f t="shared" si="7"/>
        <v>#REF!</v>
      </c>
    </row>
    <row r="12" spans="1:17" x14ac:dyDescent="0.45">
      <c r="A12" s="32">
        <f>Data!J15*Data!M15</f>
        <v>304537</v>
      </c>
      <c r="B12" s="33">
        <f>Data!K15*Data!M15</f>
        <v>15928281</v>
      </c>
      <c r="C12" s="33">
        <f t="shared" si="1"/>
        <v>15623744</v>
      </c>
      <c r="D12" s="34">
        <f>C12*'SWB Ratio'!$B$8/0.9</f>
        <v>9495199.0407619867</v>
      </c>
      <c r="E12" s="35">
        <f t="shared" si="2"/>
        <v>6128544.9592380133</v>
      </c>
      <c r="F12" s="35">
        <f t="shared" si="3"/>
        <v>304537</v>
      </c>
      <c r="G12" s="33" t="e">
        <f>D12*Data!#REF!</f>
        <v>#REF!</v>
      </c>
      <c r="H12" s="36" t="e">
        <f>(E12-(Data!I15*'License Fees'!$A$4))*Data!#REF!</f>
        <v>#REF!</v>
      </c>
      <c r="I12" s="36" t="e">
        <f>(H12+(IF(Data!C15=19,'License Fees'!$B$4+'License Fees'!$D$4,'License Fees'!$B$4)*Data!I15))</f>
        <v>#REF!</v>
      </c>
      <c r="J12" s="33" t="e">
        <f>(F12+G12+I12)/Data!G15</f>
        <v>#REF!</v>
      </c>
      <c r="K12" s="37">
        <f>'Min Wage Add-Ons'!$B$4</f>
        <v>0.45</v>
      </c>
      <c r="L12" s="38" t="e">
        <f t="shared" si="4"/>
        <v>#REF!</v>
      </c>
      <c r="M12" s="24">
        <f>IF(Data!N15=1,(Data!H15/Data!G15),0)</f>
        <v>0</v>
      </c>
      <c r="N12" s="39" t="str">
        <f t="shared" si="5"/>
        <v/>
      </c>
      <c r="O12" s="39" t="str">
        <f>IF(Data!T15="Y",IF(L12&gt;=$Q$65,$Q$65,L12),"")</f>
        <v/>
      </c>
      <c r="P12" s="39" t="str">
        <f t="shared" si="6"/>
        <v/>
      </c>
      <c r="Q12" s="39" t="e">
        <f t="shared" si="7"/>
        <v>#REF!</v>
      </c>
    </row>
    <row r="13" spans="1:17" x14ac:dyDescent="0.45">
      <c r="A13" s="32">
        <f>Data!J16*Data!M16</f>
        <v>356383</v>
      </c>
      <c r="B13" s="33">
        <f>Data!K16*Data!M16</f>
        <v>7293581</v>
      </c>
      <c r="C13" s="33">
        <f t="shared" si="1"/>
        <v>6937198</v>
      </c>
      <c r="D13" s="34">
        <f>C13*'SWB Ratio'!$B$8/0.9</f>
        <v>4216023.7517445227</v>
      </c>
      <c r="E13" s="35">
        <f t="shared" si="2"/>
        <v>2721174.2482554773</v>
      </c>
      <c r="F13" s="35">
        <f t="shared" si="3"/>
        <v>356383</v>
      </c>
      <c r="G13" s="33" t="e">
        <f>D13*Data!#REF!</f>
        <v>#REF!</v>
      </c>
      <c r="H13" s="36" t="e">
        <f>(E13-(Data!I16*'License Fees'!$A$4))*Data!#REF!</f>
        <v>#REF!</v>
      </c>
      <c r="I13" s="36" t="e">
        <f>(H13+(IF(Data!C16=19,'License Fees'!$B$4+'License Fees'!$D$4,'License Fees'!$B$4)*Data!I16))</f>
        <v>#REF!</v>
      </c>
      <c r="J13" s="33" t="e">
        <f>(F13+G13+I13)/Data!G16</f>
        <v>#REF!</v>
      </c>
      <c r="K13" s="37">
        <f>'Min Wage Add-Ons'!$B$4</f>
        <v>0.45</v>
      </c>
      <c r="L13" s="38" t="e">
        <f t="shared" si="4"/>
        <v>#REF!</v>
      </c>
      <c r="M13" s="24">
        <f>IF(Data!N16=1,(Data!H16/Data!G16),0)</f>
        <v>0</v>
      </c>
      <c r="N13" s="39" t="str">
        <f t="shared" si="5"/>
        <v/>
      </c>
      <c r="O13" s="39" t="str">
        <f>IF(Data!T16="Y",IF(L13&gt;=$Q$65,$Q$65,L13),"")</f>
        <v/>
      </c>
      <c r="P13" s="39" t="str">
        <f t="shared" si="6"/>
        <v/>
      </c>
      <c r="Q13" s="39" t="e">
        <f t="shared" si="7"/>
        <v>#REF!</v>
      </c>
    </row>
    <row r="14" spans="1:17" x14ac:dyDescent="0.45">
      <c r="A14" s="32">
        <f>Data!J17*Data!M17</f>
        <v>237254</v>
      </c>
      <c r="B14" s="33">
        <f>Data!K17*Data!M17</f>
        <v>9574870</v>
      </c>
      <c r="C14" s="33">
        <f t="shared" si="1"/>
        <v>9337616</v>
      </c>
      <c r="D14" s="34">
        <f>C14*'SWB Ratio'!$B$8/0.9</f>
        <v>5674857.6068709129</v>
      </c>
      <c r="E14" s="35">
        <f t="shared" si="2"/>
        <v>3662758.3931290871</v>
      </c>
      <c r="F14" s="35">
        <f t="shared" si="3"/>
        <v>237254</v>
      </c>
      <c r="G14" s="33" t="e">
        <f>D14*Data!#REF!</f>
        <v>#REF!</v>
      </c>
      <c r="H14" s="36" t="e">
        <f>(E14-(Data!I17*'License Fees'!$A$4))*Data!#REF!</f>
        <v>#REF!</v>
      </c>
      <c r="I14" s="36" t="e">
        <f>(H14+(IF(Data!C17=19,'License Fees'!$B$4+'License Fees'!$D$4,'License Fees'!$B$4)*Data!I17))</f>
        <v>#REF!</v>
      </c>
      <c r="J14" s="33" t="e">
        <f>(F14+G14+I14)/Data!G17</f>
        <v>#REF!</v>
      </c>
      <c r="K14" s="37">
        <f>'Min Wage Add-Ons'!$B$4</f>
        <v>0.45</v>
      </c>
      <c r="L14" s="38" t="e">
        <f t="shared" si="4"/>
        <v>#REF!</v>
      </c>
      <c r="M14" s="24">
        <f>IF(Data!N17=1,(Data!H17/Data!G17),0)</f>
        <v>0.95943024995843262</v>
      </c>
      <c r="N14" s="39" t="e">
        <f t="shared" si="5"/>
        <v>#REF!</v>
      </c>
      <c r="O14" s="39" t="e">
        <f>IF(Data!T17="Y",IF(L14&gt;=$Q$65,$Q$65,L14),"")</f>
        <v>#REF!</v>
      </c>
      <c r="P14" s="39" t="e">
        <f t="shared" si="6"/>
        <v>#REF!</v>
      </c>
      <c r="Q14" s="39" t="e">
        <f t="shared" si="7"/>
        <v>#REF!</v>
      </c>
    </row>
    <row r="15" spans="1:17" x14ac:dyDescent="0.45">
      <c r="A15" s="32">
        <f>Data!J18*Data!M18</f>
        <v>0</v>
      </c>
      <c r="B15" s="33">
        <f>Data!K18*Data!M18</f>
        <v>57248011</v>
      </c>
      <c r="C15" s="33">
        <f t="shared" si="1"/>
        <v>57248011</v>
      </c>
      <c r="D15" s="34">
        <f>C15*'SWB Ratio'!$B$8/0.9</f>
        <v>34791997.304406144</v>
      </c>
      <c r="E15" s="35">
        <f t="shared" si="2"/>
        <v>22456013.695593856</v>
      </c>
      <c r="F15" s="35">
        <f t="shared" si="3"/>
        <v>0</v>
      </c>
      <c r="G15" s="33" t="e">
        <f>D15*Data!#REF!</f>
        <v>#REF!</v>
      </c>
      <c r="H15" s="36" t="e">
        <f>(E15-(Data!I18*'License Fees'!$A$4))*Data!#REF!</f>
        <v>#REF!</v>
      </c>
      <c r="I15" s="36" t="e">
        <f>(H15+(IF(Data!C18=19,'License Fees'!$B$4+'License Fees'!$D$4,'License Fees'!$B$4)*Data!I18))</f>
        <v>#REF!</v>
      </c>
      <c r="J15" s="33" t="e">
        <f>(F15+G15+I15)/Data!G18</f>
        <v>#REF!</v>
      </c>
      <c r="K15" s="37">
        <f>'Min Wage Add-Ons'!$B$4</f>
        <v>0.45</v>
      </c>
      <c r="L15" s="38" t="e">
        <f t="shared" si="4"/>
        <v>#REF!</v>
      </c>
      <c r="M15" s="24">
        <f>IF(Data!N18=1,(Data!H18/Data!G18),0)</f>
        <v>0</v>
      </c>
      <c r="N15" s="39" t="str">
        <f t="shared" si="5"/>
        <v/>
      </c>
      <c r="O15" s="39" t="str">
        <f>IF(Data!T18="Y",IF(L15&gt;=$Q$65,$Q$65,L15),"")</f>
        <v/>
      </c>
      <c r="P15" s="39" t="str">
        <f t="shared" si="6"/>
        <v/>
      </c>
      <c r="Q15" s="39" t="e">
        <f t="shared" si="7"/>
        <v>#REF!</v>
      </c>
    </row>
    <row r="16" spans="1:17" x14ac:dyDescent="0.45">
      <c r="A16" s="32">
        <f>Data!J19*Data!M19</f>
        <v>387518</v>
      </c>
      <c r="B16" s="33">
        <f>Data!K19*Data!M19</f>
        <v>10667407</v>
      </c>
      <c r="C16" s="33">
        <f t="shared" si="1"/>
        <v>10279889</v>
      </c>
      <c r="D16" s="34">
        <f>C16*'SWB Ratio'!$B$8/0.9</f>
        <v>6247516.0993382698</v>
      </c>
      <c r="E16" s="35">
        <f t="shared" si="2"/>
        <v>4032372.9006617302</v>
      </c>
      <c r="F16" s="35">
        <f t="shared" si="3"/>
        <v>387518</v>
      </c>
      <c r="G16" s="33" t="e">
        <f>D16*Data!#REF!</f>
        <v>#REF!</v>
      </c>
      <c r="H16" s="36" t="e">
        <f>(E16-(Data!I19*'License Fees'!$A$4))*Data!#REF!</f>
        <v>#REF!</v>
      </c>
      <c r="I16" s="36" t="e">
        <f>(H16+(IF(Data!C19=19,'License Fees'!$B$4+'License Fees'!$D$4,'License Fees'!$B$4)*Data!I19))</f>
        <v>#REF!</v>
      </c>
      <c r="J16" s="33" t="e">
        <f>(F16+G16+I16)/Data!G19</f>
        <v>#REF!</v>
      </c>
      <c r="K16" s="37">
        <f>'Min Wage Add-Ons'!$B$4</f>
        <v>0.45</v>
      </c>
      <c r="L16" s="38" t="e">
        <f t="shared" si="4"/>
        <v>#REF!</v>
      </c>
      <c r="M16" s="24">
        <f>IF(Data!N19=1,(Data!H19/Data!G19),0)</f>
        <v>0</v>
      </c>
      <c r="N16" s="39" t="str">
        <f t="shared" si="5"/>
        <v/>
      </c>
      <c r="O16" s="39" t="str">
        <f>IF(Data!T19="Y",IF(L16&gt;=$Q$65,$Q$65,L16),"")</f>
        <v/>
      </c>
      <c r="P16" s="39" t="str">
        <f t="shared" si="6"/>
        <v/>
      </c>
      <c r="Q16" s="39" t="e">
        <f t="shared" si="7"/>
        <v>#REF!</v>
      </c>
    </row>
    <row r="17" spans="1:17" x14ac:dyDescent="0.45">
      <c r="A17" s="32">
        <f>Data!J20*Data!M20</f>
        <v>150368</v>
      </c>
      <c r="B17" s="33">
        <f>Data!K20*Data!M20</f>
        <v>6977080</v>
      </c>
      <c r="C17" s="33">
        <f t="shared" si="1"/>
        <v>6826712</v>
      </c>
      <c r="D17" s="34">
        <f>C17*'SWB Ratio'!$B$8/0.9</f>
        <v>4148876.8142871736</v>
      </c>
      <c r="E17" s="35">
        <f t="shared" si="2"/>
        <v>2677835.1857128264</v>
      </c>
      <c r="F17" s="35">
        <f t="shared" si="3"/>
        <v>150368</v>
      </c>
      <c r="G17" s="33" t="e">
        <f>D17*Data!#REF!</f>
        <v>#REF!</v>
      </c>
      <c r="H17" s="36" t="e">
        <f>(E17-(Data!I20*'License Fees'!$A$4))*Data!#REF!</f>
        <v>#REF!</v>
      </c>
      <c r="I17" s="36" t="e">
        <f>(H17+(IF(Data!C20=19,'License Fees'!$B$4+'License Fees'!$D$4,'License Fees'!$B$4)*Data!I20))</f>
        <v>#REF!</v>
      </c>
      <c r="J17" s="33" t="e">
        <f>(F17+G17+I17)/Data!G20</f>
        <v>#REF!</v>
      </c>
      <c r="K17" s="37">
        <f>'Min Wage Add-Ons'!$B$4</f>
        <v>0.45</v>
      </c>
      <c r="L17" s="38" t="e">
        <f t="shared" si="4"/>
        <v>#REF!</v>
      </c>
      <c r="M17" s="24">
        <f>IF(Data!N20=1,(Data!H20/Data!G20),0)</f>
        <v>0.24872630084356467</v>
      </c>
      <c r="N17" s="39" t="e">
        <f t="shared" si="5"/>
        <v>#REF!</v>
      </c>
      <c r="O17" s="39" t="e">
        <f>IF(Data!T20="Y",IF(L17&gt;=$Q$65,$Q$65,L17),"")</f>
        <v>#REF!</v>
      </c>
      <c r="P17" s="39" t="e">
        <f t="shared" si="6"/>
        <v>#REF!</v>
      </c>
      <c r="Q17" s="39" t="e">
        <f t="shared" si="7"/>
        <v>#REF!</v>
      </c>
    </row>
    <row r="18" spans="1:17" x14ac:dyDescent="0.45">
      <c r="A18" s="32">
        <f>Data!J21*Data!M21</f>
        <v>676926</v>
      </c>
      <c r="B18" s="33">
        <f>Data!K21*Data!M21</f>
        <v>6334827</v>
      </c>
      <c r="C18" s="33">
        <f t="shared" si="1"/>
        <v>5657901</v>
      </c>
      <c r="D18" s="34">
        <f>C18*'SWB Ratio'!$B$8/0.9</f>
        <v>3438541.7572078938</v>
      </c>
      <c r="E18" s="35">
        <f t="shared" si="2"/>
        <v>2219359.2427921062</v>
      </c>
      <c r="F18" s="35">
        <f t="shared" si="3"/>
        <v>676926</v>
      </c>
      <c r="G18" s="33" t="e">
        <f>D18*Data!#REF!</f>
        <v>#REF!</v>
      </c>
      <c r="H18" s="36" t="e">
        <f>(E18-(Data!I21*'License Fees'!$A$4))*Data!#REF!</f>
        <v>#REF!</v>
      </c>
      <c r="I18" s="36" t="e">
        <f>(H18+(IF(Data!C21=19,'License Fees'!$B$4+'License Fees'!$D$4,'License Fees'!$B$4)*Data!I21))</f>
        <v>#REF!</v>
      </c>
      <c r="J18" s="33" t="e">
        <f>(F18+G18+I18)/Data!G21</f>
        <v>#REF!</v>
      </c>
      <c r="K18" s="37">
        <f>'Min Wage Add-Ons'!$B$4</f>
        <v>0.45</v>
      </c>
      <c r="L18" s="38" t="e">
        <f t="shared" si="4"/>
        <v>#REF!</v>
      </c>
      <c r="M18" s="24">
        <f>IF(Data!N21=1,(Data!H21/Data!G21),0)</f>
        <v>0.18691449814126393</v>
      </c>
      <c r="N18" s="39" t="str">
        <f t="shared" si="5"/>
        <v/>
      </c>
      <c r="O18" s="39" t="str">
        <f>IF(Data!T21="Y",IF(L18&gt;=$Q$65,$Q$65,L18),"")</f>
        <v/>
      </c>
      <c r="P18" s="39" t="str">
        <f t="shared" si="6"/>
        <v/>
      </c>
      <c r="Q18" s="39" t="e">
        <f t="shared" si="7"/>
        <v>#REF!</v>
      </c>
    </row>
    <row r="19" spans="1:17" x14ac:dyDescent="0.45">
      <c r="A19" s="32">
        <f>Data!J22*Data!M22</f>
        <v>137753</v>
      </c>
      <c r="B19" s="33">
        <f>Data!K22*Data!M22</f>
        <v>21992943</v>
      </c>
      <c r="C19" s="33">
        <f t="shared" si="1"/>
        <v>21855190</v>
      </c>
      <c r="D19" s="34">
        <f>C19*'SWB Ratio'!$B$8/0.9</f>
        <v>13282307.94895711</v>
      </c>
      <c r="E19" s="35">
        <f t="shared" si="2"/>
        <v>8572882.0510428902</v>
      </c>
      <c r="F19" s="35">
        <f t="shared" si="3"/>
        <v>137753</v>
      </c>
      <c r="G19" s="33" t="e">
        <f>D19*Data!#REF!</f>
        <v>#REF!</v>
      </c>
      <c r="H19" s="36" t="e">
        <f>(E19-(Data!I22*'License Fees'!$A$4))*Data!#REF!</f>
        <v>#REF!</v>
      </c>
      <c r="I19" s="36" t="e">
        <f>(H19+(IF(Data!C22=19,'License Fees'!$B$4+'License Fees'!$D$4,'License Fees'!$B$4)*Data!I22))</f>
        <v>#REF!</v>
      </c>
      <c r="J19" s="33" t="e">
        <f>(F19+G19+I19)/Data!G22</f>
        <v>#REF!</v>
      </c>
      <c r="K19" s="37">
        <f>'Min Wage Add-Ons'!$B$4</f>
        <v>0.45</v>
      </c>
      <c r="L19" s="38" t="e">
        <f t="shared" si="4"/>
        <v>#REF!</v>
      </c>
      <c r="M19" s="24">
        <f>IF(Data!N22=1,(Data!H22/Data!G22),0)</f>
        <v>0.84305481991525422</v>
      </c>
      <c r="N19" s="39" t="e">
        <f t="shared" si="5"/>
        <v>#REF!</v>
      </c>
      <c r="O19" s="39" t="e">
        <f>IF(Data!T22="Y",IF(L19&gt;=$Q$65,$Q$65,L19),"")</f>
        <v>#REF!</v>
      </c>
      <c r="P19" s="39" t="e">
        <f t="shared" si="6"/>
        <v>#REF!</v>
      </c>
      <c r="Q19" s="39" t="e">
        <f t="shared" si="7"/>
        <v>#REF!</v>
      </c>
    </row>
    <row r="20" spans="1:17" x14ac:dyDescent="0.45">
      <c r="A20" s="32" t="e">
        <f>Data!#REF!*Data!#REF!</f>
        <v>#REF!</v>
      </c>
      <c r="B20" s="33" t="e">
        <f>Data!#REF!*Data!#REF!</f>
        <v>#REF!</v>
      </c>
      <c r="C20" s="33" t="e">
        <f t="shared" si="1"/>
        <v>#REF!</v>
      </c>
      <c r="D20" s="34" t="e">
        <f>C20*'SWB Ratio'!$B$8/0.9</f>
        <v>#REF!</v>
      </c>
      <c r="E20" s="35" t="e">
        <f t="shared" si="2"/>
        <v>#REF!</v>
      </c>
      <c r="F20" s="35" t="e">
        <f t="shared" si="3"/>
        <v>#REF!</v>
      </c>
      <c r="G20" s="33" t="e">
        <f>D20*Data!#REF!</f>
        <v>#REF!</v>
      </c>
      <c r="H20" s="36" t="e">
        <f>(E20-(Data!#REF!*'License Fees'!$A$4))*Data!#REF!</f>
        <v>#REF!</v>
      </c>
      <c r="I20" s="36" t="e">
        <f>(H20+(IF(Data!#REF!=19,'License Fees'!$B$4+'License Fees'!$D$4,'License Fees'!$B$4)*Data!#REF!))</f>
        <v>#REF!</v>
      </c>
      <c r="J20" s="33" t="e">
        <f>(F20+G20+I20)/Data!#REF!</f>
        <v>#REF!</v>
      </c>
      <c r="K20" s="37">
        <f>'Min Wage Add-Ons'!$B$4</f>
        <v>0.45</v>
      </c>
      <c r="L20" s="38" t="e">
        <f t="shared" si="4"/>
        <v>#REF!</v>
      </c>
      <c r="M20" s="24" t="e">
        <f>IF(Data!#REF!=1,(Data!#REF!/Data!#REF!),0)</f>
        <v>#REF!</v>
      </c>
      <c r="N20" s="39" t="e">
        <f t="shared" si="5"/>
        <v>#REF!</v>
      </c>
      <c r="O20" s="39" t="e">
        <f>IF(Data!#REF!="Y",IF(L20&gt;=$Q$65,$Q$65,L20),"")</f>
        <v>#REF!</v>
      </c>
      <c r="P20" s="39" t="e">
        <f t="shared" si="6"/>
        <v>#REF!</v>
      </c>
      <c r="Q20" s="39" t="e">
        <f t="shared" si="7"/>
        <v>#REF!</v>
      </c>
    </row>
    <row r="21" spans="1:17" x14ac:dyDescent="0.45">
      <c r="A21" s="32">
        <f>Data!J24*Data!M24</f>
        <v>254362</v>
      </c>
      <c r="B21" s="33">
        <f>Data!K24*Data!M24</f>
        <v>12702880</v>
      </c>
      <c r="C21" s="33">
        <f t="shared" si="1"/>
        <v>12448518</v>
      </c>
      <c r="D21" s="34">
        <f>C21*'SWB Ratio'!$B$8/0.9</f>
        <v>7565482.1387567744</v>
      </c>
      <c r="E21" s="35">
        <f t="shared" si="2"/>
        <v>4883035.8612432256</v>
      </c>
      <c r="F21" s="35">
        <f t="shared" si="3"/>
        <v>254362</v>
      </c>
      <c r="G21" s="33" t="e">
        <f>D21*Data!#REF!</f>
        <v>#REF!</v>
      </c>
      <c r="H21" s="36" t="e">
        <f>(E21-(Data!I24*'License Fees'!$A$4))*Data!#REF!</f>
        <v>#REF!</v>
      </c>
      <c r="I21" s="36" t="e">
        <f>(H21+(IF(Data!C24=19,'License Fees'!$B$4+'License Fees'!$D$4,'License Fees'!$B$4)*Data!I24))</f>
        <v>#REF!</v>
      </c>
      <c r="J21" s="33" t="e">
        <f>(F21+G21+I21)/Data!G24</f>
        <v>#REF!</v>
      </c>
      <c r="K21" s="37">
        <f>'Min Wage Add-Ons'!$B$4</f>
        <v>0.45</v>
      </c>
      <c r="L21" s="38" t="e">
        <f t="shared" si="4"/>
        <v>#REF!</v>
      </c>
      <c r="M21" s="24">
        <f>IF(Data!N24=1,(Data!H24/Data!G24),0)</f>
        <v>0.62701019640046529</v>
      </c>
      <c r="N21" s="39" t="e">
        <f t="shared" si="5"/>
        <v>#REF!</v>
      </c>
      <c r="O21" s="39" t="e">
        <f>IF(Data!T24="Y",IF(L21&gt;=$Q$65,$Q$65,L21),"")</f>
        <v>#REF!</v>
      </c>
      <c r="P21" s="39" t="e">
        <f t="shared" si="6"/>
        <v>#REF!</v>
      </c>
      <c r="Q21" s="39" t="e">
        <f t="shared" si="7"/>
        <v>#REF!</v>
      </c>
    </row>
    <row r="22" spans="1:17" x14ac:dyDescent="0.45">
      <c r="A22" s="32">
        <f>Data!J25*Data!M25</f>
        <v>418491</v>
      </c>
      <c r="B22" s="33">
        <f>Data!K25*Data!M25</f>
        <v>23648751</v>
      </c>
      <c r="C22" s="33">
        <f t="shared" si="1"/>
        <v>23230260</v>
      </c>
      <c r="D22" s="34">
        <f>C22*'SWB Ratio'!$B$8/0.9</f>
        <v>14117995.17891816</v>
      </c>
      <c r="E22" s="35">
        <f t="shared" si="2"/>
        <v>9112264.8210818395</v>
      </c>
      <c r="F22" s="35">
        <f t="shared" si="3"/>
        <v>418491</v>
      </c>
      <c r="G22" s="33" t="e">
        <f>D22*Data!#REF!</f>
        <v>#REF!</v>
      </c>
      <c r="H22" s="36" t="e">
        <f>(E22-(Data!I25*'License Fees'!$A$4))*Data!#REF!</f>
        <v>#REF!</v>
      </c>
      <c r="I22" s="36" t="e">
        <f>(H22+(IF(Data!C25=19,'License Fees'!$B$4+'License Fees'!$D$4,'License Fees'!$B$4)*Data!I25))</f>
        <v>#REF!</v>
      </c>
      <c r="J22" s="33" t="e">
        <f>(F22+G22+I22)/Data!G25</f>
        <v>#REF!</v>
      </c>
      <c r="K22" s="37">
        <f>'Min Wage Add-Ons'!$B$4</f>
        <v>0.45</v>
      </c>
      <c r="L22" s="38" t="e">
        <f t="shared" si="4"/>
        <v>#REF!</v>
      </c>
      <c r="M22" s="24">
        <f>IF(Data!N25=1,(Data!H25/Data!G25),0)</f>
        <v>0</v>
      </c>
      <c r="N22" s="39" t="str">
        <f t="shared" si="5"/>
        <v/>
      </c>
      <c r="O22" s="39" t="str">
        <f>IF(Data!T25="Y",IF(L22&gt;=$Q$65,$Q$65,L22),"")</f>
        <v/>
      </c>
      <c r="P22" s="39" t="str">
        <f t="shared" si="6"/>
        <v/>
      </c>
      <c r="Q22" s="39" t="e">
        <f t="shared" si="7"/>
        <v>#REF!</v>
      </c>
    </row>
    <row r="23" spans="1:17" x14ac:dyDescent="0.45">
      <c r="A23" s="32">
        <f>Data!J26*Data!M26</f>
        <v>814952</v>
      </c>
      <c r="B23" s="33">
        <f>Data!K26*Data!M26</f>
        <v>14281177</v>
      </c>
      <c r="C23" s="33">
        <f t="shared" si="1"/>
        <v>13466225</v>
      </c>
      <c r="D23" s="34">
        <f>C23*'SWB Ratio'!$B$8/0.9</f>
        <v>8183985.0104229236</v>
      </c>
      <c r="E23" s="35">
        <f t="shared" si="2"/>
        <v>5282239.9895770764</v>
      </c>
      <c r="F23" s="35">
        <f t="shared" si="3"/>
        <v>814952</v>
      </c>
      <c r="G23" s="33" t="e">
        <f>D23*Data!#REF!</f>
        <v>#REF!</v>
      </c>
      <c r="H23" s="36" t="e">
        <f>(E23-(Data!I26*'License Fees'!$A$4))*Data!#REF!</f>
        <v>#REF!</v>
      </c>
      <c r="I23" s="36" t="e">
        <f>(H23+(IF(Data!C26=19,'License Fees'!$B$4+'License Fees'!$D$4,'License Fees'!$B$4)*Data!I26))</f>
        <v>#REF!</v>
      </c>
      <c r="J23" s="33" t="e">
        <f>(F23+G23+I23)/Data!G26</f>
        <v>#REF!</v>
      </c>
      <c r="K23" s="37">
        <f>'Min Wage Add-Ons'!$B$4</f>
        <v>0.45</v>
      </c>
      <c r="L23" s="38" t="e">
        <f t="shared" si="4"/>
        <v>#REF!</v>
      </c>
      <c r="M23" s="24">
        <f>IF(Data!N26=1,(Data!H26/Data!G26),0)</f>
        <v>0</v>
      </c>
      <c r="N23" s="39" t="str">
        <f t="shared" si="5"/>
        <v/>
      </c>
      <c r="O23" s="39" t="str">
        <f>IF(Data!T26="Y",IF(L23&gt;=$Q$65,$Q$65,L23),"")</f>
        <v/>
      </c>
      <c r="P23" s="39" t="str">
        <f t="shared" si="6"/>
        <v/>
      </c>
      <c r="Q23" s="39" t="e">
        <f t="shared" si="7"/>
        <v>#REF!</v>
      </c>
    </row>
    <row r="24" spans="1:17" x14ac:dyDescent="0.45">
      <c r="A24" s="32">
        <f>Data!J27*Data!M27</f>
        <v>4447456</v>
      </c>
      <c r="B24" s="33">
        <f>Data!K27*Data!M27</f>
        <v>70237584</v>
      </c>
      <c r="C24" s="33">
        <f t="shared" si="1"/>
        <v>65790128</v>
      </c>
      <c r="D24" s="34">
        <f>C24*'SWB Ratio'!$B$8/0.9</f>
        <v>39983397.083132468</v>
      </c>
      <c r="E24" s="35">
        <f t="shared" si="2"/>
        <v>25806730.916867532</v>
      </c>
      <c r="F24" s="35">
        <f t="shared" si="3"/>
        <v>4447456</v>
      </c>
      <c r="G24" s="33" t="e">
        <f>D24*Data!#REF!</f>
        <v>#REF!</v>
      </c>
      <c r="H24" s="36" t="e">
        <f>(E24-(Data!I27*'License Fees'!$A$4))*Data!#REF!</f>
        <v>#REF!</v>
      </c>
      <c r="I24" s="36" t="e">
        <f>(H24+(IF(Data!C27=19,'License Fees'!$B$4+'License Fees'!$D$4,'License Fees'!$B$4)*Data!I27))</f>
        <v>#REF!</v>
      </c>
      <c r="J24" s="33" t="e">
        <f>(F24+G24+I24)/Data!G27</f>
        <v>#REF!</v>
      </c>
      <c r="K24" s="37">
        <f>'Min Wage Add-Ons'!$B$4</f>
        <v>0.45</v>
      </c>
      <c r="L24" s="38" t="e">
        <f t="shared" si="4"/>
        <v>#REF!</v>
      </c>
      <c r="M24" s="24">
        <f>IF(Data!N27=1,(Data!H27/Data!G27),0)</f>
        <v>0.73741405332886134</v>
      </c>
      <c r="N24" s="39" t="e">
        <f t="shared" si="5"/>
        <v>#REF!</v>
      </c>
      <c r="O24" s="39" t="str">
        <f>IF(Data!T27="Y",IF(L24&gt;=$Q$65,$Q$65,L24),"")</f>
        <v/>
      </c>
      <c r="P24" s="39" t="str">
        <f t="shared" si="6"/>
        <v/>
      </c>
      <c r="Q24" s="39" t="e">
        <f t="shared" si="7"/>
        <v>#REF!</v>
      </c>
    </row>
    <row r="25" spans="1:17" x14ac:dyDescent="0.45">
      <c r="A25" s="32">
        <f>Data!J29*Data!M29</f>
        <v>3038484</v>
      </c>
      <c r="B25" s="33">
        <f>Data!K29*Data!M29</f>
        <v>36402995</v>
      </c>
      <c r="C25" s="33">
        <f t="shared" si="1"/>
        <v>33364511</v>
      </c>
      <c r="D25" s="34">
        <f>C25*'SWB Ratio'!$B$8/0.9</f>
        <v>20277001.008381393</v>
      </c>
      <c r="E25" s="35">
        <f t="shared" si="2"/>
        <v>13087509.991618607</v>
      </c>
      <c r="F25" s="35">
        <f t="shared" si="3"/>
        <v>3038484</v>
      </c>
      <c r="G25" s="33" t="e">
        <f>D25*Data!#REF!</f>
        <v>#REF!</v>
      </c>
      <c r="H25" s="36" t="e">
        <f>(E25-(Data!I29*'License Fees'!$A$4))*Data!#REF!</f>
        <v>#REF!</v>
      </c>
      <c r="I25" s="36" t="e">
        <f>(H25+(IF(Data!C29=19,'License Fees'!$B$4+'License Fees'!$D$4,'License Fees'!$B$4)*Data!I29))</f>
        <v>#REF!</v>
      </c>
      <c r="J25" s="33" t="e">
        <f>(F25+G25+I25)/Data!G29</f>
        <v>#REF!</v>
      </c>
      <c r="K25" s="37">
        <f>'Min Wage Add-Ons'!$B$4</f>
        <v>0.45</v>
      </c>
      <c r="L25" s="38" t="e">
        <f t="shared" si="4"/>
        <v>#REF!</v>
      </c>
      <c r="M25" s="24">
        <f>IF(Data!N29=1,(Data!H29/Data!G29),0)</f>
        <v>0.79664731153508062</v>
      </c>
      <c r="N25" s="39" t="e">
        <f t="shared" si="5"/>
        <v>#REF!</v>
      </c>
      <c r="O25" s="39" t="str">
        <f>IF(Data!T29="Y",IF(L25&gt;=$Q$65,$Q$65,L25),"")</f>
        <v/>
      </c>
      <c r="P25" s="39" t="str">
        <f t="shared" si="6"/>
        <v/>
      </c>
      <c r="Q25" s="39" t="e">
        <f t="shared" si="7"/>
        <v>#REF!</v>
      </c>
    </row>
    <row r="26" spans="1:17" x14ac:dyDescent="0.45">
      <c r="A26" s="32">
        <f>Data!J30*Data!M30</f>
        <v>523117</v>
      </c>
      <c r="B26" s="33">
        <f>Data!K30*Data!M30</f>
        <v>6939141</v>
      </c>
      <c r="C26" s="33">
        <f t="shared" si="1"/>
        <v>6416024</v>
      </c>
      <c r="D26" s="34">
        <f>C26*'SWB Ratio'!$B$8/0.9</f>
        <v>3899284.6356357276</v>
      </c>
      <c r="E26" s="35">
        <f t="shared" si="2"/>
        <v>2516739.3643642724</v>
      </c>
      <c r="F26" s="35">
        <f t="shared" si="3"/>
        <v>523117</v>
      </c>
      <c r="G26" s="33" t="e">
        <f>D26*Data!#REF!</f>
        <v>#REF!</v>
      </c>
      <c r="H26" s="36" t="e">
        <f>(E26-(Data!I30*'License Fees'!$A$4))*Data!#REF!</f>
        <v>#REF!</v>
      </c>
      <c r="I26" s="36" t="e">
        <f>(H26+(IF(Data!C30=19,'License Fees'!$B$4+'License Fees'!$D$4,'License Fees'!$B$4)*Data!I30))</f>
        <v>#REF!</v>
      </c>
      <c r="J26" s="33" t="e">
        <f>(F26+G26+I26)/Data!G30</f>
        <v>#REF!</v>
      </c>
      <c r="K26" s="37">
        <f>'Min Wage Add-Ons'!$B$4</f>
        <v>0.45</v>
      </c>
      <c r="L26" s="38" t="e">
        <f t="shared" si="4"/>
        <v>#REF!</v>
      </c>
      <c r="M26" s="24">
        <f>IF(Data!N30=1,(Data!H30/Data!G30),0)</f>
        <v>0.34146863626632412</v>
      </c>
      <c r="N26" s="39" t="e">
        <f t="shared" si="5"/>
        <v>#REF!</v>
      </c>
      <c r="O26" s="39" t="str">
        <f>IF(Data!T30="Y",IF(L26&gt;=$Q$65,$Q$65,L26),"")</f>
        <v/>
      </c>
      <c r="P26" s="39" t="str">
        <f t="shared" si="6"/>
        <v/>
      </c>
      <c r="Q26" s="39" t="e">
        <f t="shared" si="7"/>
        <v>#REF!</v>
      </c>
    </row>
    <row r="27" spans="1:17" x14ac:dyDescent="0.45">
      <c r="A27" s="32">
        <f>Data!J31*Data!M31</f>
        <v>344968</v>
      </c>
      <c r="B27" s="33">
        <f>Data!K31*Data!M31</f>
        <v>7457956</v>
      </c>
      <c r="C27" s="33">
        <f t="shared" si="1"/>
        <v>7112988</v>
      </c>
      <c r="D27" s="34">
        <f>C27*'SWB Ratio'!$B$8/0.9</f>
        <v>4322858.6460807035</v>
      </c>
      <c r="E27" s="35">
        <f t="shared" si="2"/>
        <v>2790129.3539192965</v>
      </c>
      <c r="F27" s="35">
        <f t="shared" si="3"/>
        <v>344968</v>
      </c>
      <c r="G27" s="33" t="e">
        <f>D27*Data!#REF!</f>
        <v>#REF!</v>
      </c>
      <c r="H27" s="36" t="e">
        <f>(E27-(Data!I31*'License Fees'!$A$4))*Data!#REF!</f>
        <v>#REF!</v>
      </c>
      <c r="I27" s="36" t="e">
        <f>(H27+(IF(Data!C31=19,'License Fees'!$B$4+'License Fees'!$D$4,'License Fees'!$B$4)*Data!I31))</f>
        <v>#REF!</v>
      </c>
      <c r="J27" s="33" t="e">
        <f>(F27+G27+I27)/Data!G31</f>
        <v>#REF!</v>
      </c>
      <c r="K27" s="37">
        <f>'Min Wage Add-Ons'!$B$4</f>
        <v>0.45</v>
      </c>
      <c r="L27" s="38" t="e">
        <f t="shared" si="4"/>
        <v>#REF!</v>
      </c>
      <c r="M27" s="24">
        <f>IF(Data!N31=1,(Data!H31/Data!G31),0)</f>
        <v>0.8822662421884212</v>
      </c>
      <c r="N27" s="39" t="e">
        <f t="shared" si="5"/>
        <v>#REF!</v>
      </c>
      <c r="O27" s="39" t="e">
        <f>IF(Data!T31="Y",IF(L27&gt;=$Q$65,$Q$65,L27),"")</f>
        <v>#REF!</v>
      </c>
      <c r="P27" s="39" t="e">
        <f t="shared" si="6"/>
        <v>#REF!</v>
      </c>
      <c r="Q27" s="39" t="e">
        <f t="shared" si="7"/>
        <v>#REF!</v>
      </c>
    </row>
    <row r="28" spans="1:17" x14ac:dyDescent="0.45">
      <c r="A28" s="32">
        <f>Data!J32*Data!M32</f>
        <v>178114</v>
      </c>
      <c r="B28" s="33">
        <f>Data!K32*Data!M32</f>
        <v>3426916</v>
      </c>
      <c r="C28" s="33">
        <f t="shared" si="1"/>
        <v>3248802</v>
      </c>
      <c r="D28" s="34">
        <f>C28*'SWB Ratio'!$B$8/0.9</f>
        <v>1974432.0973273513</v>
      </c>
      <c r="E28" s="35">
        <f t="shared" si="2"/>
        <v>1274369.9026726487</v>
      </c>
      <c r="F28" s="35">
        <f t="shared" si="3"/>
        <v>178114</v>
      </c>
      <c r="G28" s="33" t="e">
        <f>D28*Data!#REF!</f>
        <v>#REF!</v>
      </c>
      <c r="H28" s="36" t="e">
        <f>(E28-(Data!I32*'License Fees'!$A$4))*Data!#REF!</f>
        <v>#REF!</v>
      </c>
      <c r="I28" s="36" t="e">
        <f>(H28+(IF(Data!C32=19,'License Fees'!$B$4+'License Fees'!$D$4,'License Fees'!$B$4)*Data!I32))</f>
        <v>#REF!</v>
      </c>
      <c r="J28" s="33" t="e">
        <f>(F28+G28+I28)/Data!G32</f>
        <v>#REF!</v>
      </c>
      <c r="K28" s="37">
        <f>'Min Wage Add-Ons'!$B$4</f>
        <v>0.45</v>
      </c>
      <c r="L28" s="38" t="e">
        <f t="shared" si="4"/>
        <v>#REF!</v>
      </c>
      <c r="M28" s="24">
        <f>IF(Data!N32=1,(Data!H32/Data!G32),0)</f>
        <v>0.34273858921161826</v>
      </c>
      <c r="N28" s="39" t="e">
        <f t="shared" si="5"/>
        <v>#REF!</v>
      </c>
      <c r="O28" s="39" t="str">
        <f>IF(Data!T32="Y",IF(L28&gt;=$Q$65,$Q$65,L28),"")</f>
        <v/>
      </c>
      <c r="P28" s="39" t="str">
        <f t="shared" si="6"/>
        <v/>
      </c>
      <c r="Q28" s="39" t="e">
        <f t="shared" si="7"/>
        <v>#REF!</v>
      </c>
    </row>
    <row r="29" spans="1:17" x14ac:dyDescent="0.45">
      <c r="A29" s="32">
        <f>Data!J33*Data!M33</f>
        <v>22125461</v>
      </c>
      <c r="B29" s="33">
        <f>Data!K33*Data!M33</f>
        <v>277568588</v>
      </c>
      <c r="C29" s="33">
        <f t="shared" si="1"/>
        <v>255443127</v>
      </c>
      <c r="D29" s="34">
        <f>C29*'SWB Ratio'!$B$8/0.9</f>
        <v>155243412.49188685</v>
      </c>
      <c r="E29" s="35">
        <f t="shared" si="2"/>
        <v>100199714.50811315</v>
      </c>
      <c r="F29" s="35">
        <f t="shared" si="3"/>
        <v>22125461</v>
      </c>
      <c r="G29" s="33" t="e">
        <f>D29*Data!#REF!</f>
        <v>#REF!</v>
      </c>
      <c r="H29" s="36" t="e">
        <f>(E29-(Data!I33*'License Fees'!$A$4))*Data!#REF!</f>
        <v>#REF!</v>
      </c>
      <c r="I29" s="36" t="e">
        <f>(H29+(IF(Data!C33=19,'License Fees'!$B$4+'License Fees'!$D$4,'License Fees'!$B$4)*Data!I33))</f>
        <v>#REF!</v>
      </c>
      <c r="J29" s="33" t="e">
        <f>(F29+G29+I29)/Data!G33</f>
        <v>#REF!</v>
      </c>
      <c r="K29" s="37">
        <f>'Min Wage Add-Ons'!$B$4</f>
        <v>0.45</v>
      </c>
      <c r="L29" s="38" t="e">
        <f t="shared" si="4"/>
        <v>#REF!</v>
      </c>
      <c r="M29" s="24">
        <f>IF(Data!N33=1,(Data!H33/Data!G33),0)</f>
        <v>0.95980064754313366</v>
      </c>
      <c r="N29" s="39" t="e">
        <f t="shared" si="5"/>
        <v>#REF!</v>
      </c>
      <c r="O29" s="39" t="str">
        <f>IF(Data!T33="Y",IF(L29&gt;=$Q$65,$Q$65,L29),"")</f>
        <v/>
      </c>
      <c r="P29" s="39" t="str">
        <f t="shared" si="6"/>
        <v/>
      </c>
      <c r="Q29" s="39" t="e">
        <f t="shared" si="7"/>
        <v>#REF!</v>
      </c>
    </row>
    <row r="30" spans="1:17" x14ac:dyDescent="0.45">
      <c r="A30" s="32">
        <f>Data!J34*Data!M34</f>
        <v>239755</v>
      </c>
      <c r="B30" s="33">
        <f>Data!K34*Data!M34</f>
        <v>15469691</v>
      </c>
      <c r="C30" s="33">
        <f t="shared" si="1"/>
        <v>15229936</v>
      </c>
      <c r="D30" s="34">
        <f>C30*'SWB Ratio'!$B$8/0.9</f>
        <v>9255865.5401718337</v>
      </c>
      <c r="E30" s="35">
        <f t="shared" si="2"/>
        <v>5974070.4598281663</v>
      </c>
      <c r="F30" s="35">
        <f t="shared" si="3"/>
        <v>239755</v>
      </c>
      <c r="G30" s="33" t="e">
        <f>D30*Data!#REF!</f>
        <v>#REF!</v>
      </c>
      <c r="H30" s="36" t="e">
        <f>(E30-(Data!I34*'License Fees'!$A$4))*Data!#REF!</f>
        <v>#REF!</v>
      </c>
      <c r="I30" s="36" t="e">
        <f>(H30+(IF(Data!C34=19,'License Fees'!$B$4+'License Fees'!$D$4,'License Fees'!$B$4)*Data!I34))</f>
        <v>#REF!</v>
      </c>
      <c r="J30" s="33" t="e">
        <f>(F30+G30+I30)/Data!G34</f>
        <v>#REF!</v>
      </c>
      <c r="K30" s="37">
        <f>'Min Wage Add-Ons'!$B$4</f>
        <v>0.45</v>
      </c>
      <c r="L30" s="38" t="e">
        <f t="shared" si="4"/>
        <v>#REF!</v>
      </c>
      <c r="M30" s="24">
        <f>IF(Data!N34=1,(Data!H34/Data!G34),0)</f>
        <v>0.84515556162699357</v>
      </c>
      <c r="N30" s="39" t="e">
        <f t="shared" si="5"/>
        <v>#REF!</v>
      </c>
      <c r="O30" s="39" t="e">
        <f>IF(Data!T34="Y",IF(L30&gt;=$Q$65,$Q$65,L30),"")</f>
        <v>#REF!</v>
      </c>
      <c r="P30" s="39" t="e">
        <f t="shared" si="6"/>
        <v>#REF!</v>
      </c>
      <c r="Q30" s="39" t="e">
        <f t="shared" si="7"/>
        <v>#REF!</v>
      </c>
    </row>
    <row r="31" spans="1:17" x14ac:dyDescent="0.45">
      <c r="A31" s="32">
        <f>Data!J35*Data!M35</f>
        <v>788161</v>
      </c>
      <c r="B31" s="33">
        <f>Data!K35*Data!M35</f>
        <v>17111327</v>
      </c>
      <c r="C31" s="33">
        <f t="shared" si="1"/>
        <v>16323166</v>
      </c>
      <c r="D31" s="34">
        <f>C31*'SWB Ratio'!$B$8/0.9</f>
        <v>9920266.8800383992</v>
      </c>
      <c r="E31" s="35">
        <f t="shared" si="2"/>
        <v>6402899.1199616008</v>
      </c>
      <c r="F31" s="35">
        <f t="shared" si="3"/>
        <v>788161</v>
      </c>
      <c r="G31" s="33" t="e">
        <f>D31*Data!#REF!</f>
        <v>#REF!</v>
      </c>
      <c r="H31" s="36" t="e">
        <f>(E31-(Data!I35*'License Fees'!$A$4))*Data!#REF!</f>
        <v>#REF!</v>
      </c>
      <c r="I31" s="36" t="e">
        <f>(H31+(IF(Data!C35=19,'License Fees'!$B$4+'License Fees'!$D$4,'License Fees'!$B$4)*Data!I35))</f>
        <v>#REF!</v>
      </c>
      <c r="J31" s="33" t="e">
        <f>(F31+G31+I31)/Data!G35</f>
        <v>#REF!</v>
      </c>
      <c r="K31" s="37">
        <f>'Min Wage Add-Ons'!$B$4</f>
        <v>0.45</v>
      </c>
      <c r="L31" s="38" t="e">
        <f t="shared" si="4"/>
        <v>#REF!</v>
      </c>
      <c r="M31" s="24">
        <f>IF(Data!N35=1,(Data!H35/Data!G35),0)</f>
        <v>0.57098418161360776</v>
      </c>
      <c r="N31" s="39" t="e">
        <f t="shared" si="5"/>
        <v>#REF!</v>
      </c>
      <c r="O31" s="39" t="str">
        <f>IF(Data!T35="Y",IF(L31&gt;=$Q$65,$Q$65,L31),"")</f>
        <v/>
      </c>
      <c r="P31" s="39" t="str">
        <f t="shared" si="6"/>
        <v/>
      </c>
      <c r="Q31" s="39" t="e">
        <f t="shared" si="7"/>
        <v>#REF!</v>
      </c>
    </row>
    <row r="32" spans="1:17" x14ac:dyDescent="0.45">
      <c r="A32" s="32">
        <f>Data!J36*Data!M36</f>
        <v>938630</v>
      </c>
      <c r="B32" s="33">
        <f>Data!K36*Data!M36</f>
        <v>14483095</v>
      </c>
      <c r="C32" s="33">
        <f t="shared" si="1"/>
        <v>13544465</v>
      </c>
      <c r="D32" s="34">
        <f>C32*'SWB Ratio'!$B$8/0.9</f>
        <v>8231534.7125269268</v>
      </c>
      <c r="E32" s="35">
        <f t="shared" si="2"/>
        <v>5312930.2874730732</v>
      </c>
      <c r="F32" s="35">
        <f t="shared" si="3"/>
        <v>938630</v>
      </c>
      <c r="G32" s="33" t="e">
        <f>D32*Data!#REF!</f>
        <v>#REF!</v>
      </c>
      <c r="H32" s="36" t="e">
        <f>(E32-(Data!I36*'License Fees'!$A$4))*Data!#REF!</f>
        <v>#REF!</v>
      </c>
      <c r="I32" s="36" t="e">
        <f>(H32+(IF(Data!C36=19,'License Fees'!$B$4+'License Fees'!$D$4,'License Fees'!$B$4)*Data!I36))</f>
        <v>#REF!</v>
      </c>
      <c r="J32" s="33" t="e">
        <f>(F32+G32+I32)/Data!G36</f>
        <v>#REF!</v>
      </c>
      <c r="K32" s="37">
        <f>'Min Wage Add-Ons'!$B$4</f>
        <v>0.45</v>
      </c>
      <c r="L32" s="38" t="e">
        <f t="shared" si="4"/>
        <v>#REF!</v>
      </c>
      <c r="M32" s="24">
        <f>IF(Data!N36=1,(Data!H36/Data!G36),0)</f>
        <v>0.95793819033805649</v>
      </c>
      <c r="N32" s="39" t="e">
        <f t="shared" si="5"/>
        <v>#REF!</v>
      </c>
      <c r="O32" s="39" t="e">
        <f>IF(Data!T36="Y",IF(L32&gt;=$Q$65,$Q$65,L32),"")</f>
        <v>#REF!</v>
      </c>
      <c r="P32" s="39" t="e">
        <f t="shared" si="6"/>
        <v>#REF!</v>
      </c>
      <c r="Q32" s="39" t="e">
        <f t="shared" si="7"/>
        <v>#REF!</v>
      </c>
    </row>
    <row r="33" spans="1:17" x14ac:dyDescent="0.45">
      <c r="A33" s="32">
        <f>Data!J37*Data!M37</f>
        <v>1577013</v>
      </c>
      <c r="B33" s="33">
        <f>Data!K37*Data!M37</f>
        <v>18605435</v>
      </c>
      <c r="C33" s="33">
        <f t="shared" si="1"/>
        <v>17028422</v>
      </c>
      <c r="D33" s="34">
        <f>C33*'SWB Ratio'!$B$8/0.9</f>
        <v>10348880.28375851</v>
      </c>
      <c r="E33" s="35">
        <f t="shared" si="2"/>
        <v>6679541.7162414901</v>
      </c>
      <c r="F33" s="35">
        <f t="shared" si="3"/>
        <v>1577013</v>
      </c>
      <c r="G33" s="33" t="e">
        <f>D33*Data!#REF!</f>
        <v>#REF!</v>
      </c>
      <c r="H33" s="36" t="e">
        <f>(E33-(Data!I37*'License Fees'!$A$4))*Data!#REF!</f>
        <v>#REF!</v>
      </c>
      <c r="I33" s="36" t="e">
        <f>(H33+(IF(Data!C37=19,'License Fees'!$B$4+'License Fees'!$D$4,'License Fees'!$B$4)*Data!I37))</f>
        <v>#REF!</v>
      </c>
      <c r="J33" s="33" t="e">
        <f>(F33+G33+I33)/Data!G37</f>
        <v>#REF!</v>
      </c>
      <c r="K33" s="37">
        <f>'Min Wage Add-Ons'!$B$4</f>
        <v>0.45</v>
      </c>
      <c r="L33" s="38" t="e">
        <f t="shared" si="4"/>
        <v>#REF!</v>
      </c>
      <c r="M33" s="24">
        <f>IF(Data!N37=1,(Data!H37/Data!G37),0)</f>
        <v>0</v>
      </c>
      <c r="N33" s="39" t="str">
        <f t="shared" si="5"/>
        <v/>
      </c>
      <c r="O33" s="39" t="str">
        <f>IF(Data!T37="Y",IF(L33&gt;=$Q$65,$Q$65,L33),"")</f>
        <v/>
      </c>
      <c r="P33" s="39" t="str">
        <f t="shared" si="6"/>
        <v/>
      </c>
      <c r="Q33" s="39" t="e">
        <f t="shared" si="7"/>
        <v>#REF!</v>
      </c>
    </row>
    <row r="34" spans="1:17" x14ac:dyDescent="0.45">
      <c r="A34" s="32">
        <f>Data!J38*Data!M38</f>
        <v>123670</v>
      </c>
      <c r="B34" s="33">
        <f>Data!K38*Data!M38</f>
        <v>7836729</v>
      </c>
      <c r="C34" s="33">
        <f t="shared" si="1"/>
        <v>7713059</v>
      </c>
      <c r="D34" s="34">
        <f>C34*'SWB Ratio'!$B$8/0.9</f>
        <v>4687546.7505189916</v>
      </c>
      <c r="E34" s="35">
        <f t="shared" si="2"/>
        <v>3025512.2494810084</v>
      </c>
      <c r="F34" s="35">
        <f t="shared" si="3"/>
        <v>123670</v>
      </c>
      <c r="G34" s="33" t="e">
        <f>D34*Data!#REF!</f>
        <v>#REF!</v>
      </c>
      <c r="H34" s="36" t="e">
        <f>(E34-(Data!I38*'License Fees'!$A$4))*Data!#REF!</f>
        <v>#REF!</v>
      </c>
      <c r="I34" s="36" t="e">
        <f>(H34+(IF(Data!C38=19,'License Fees'!$B$4+'License Fees'!$D$4,'License Fees'!$B$4)*Data!I38))</f>
        <v>#REF!</v>
      </c>
      <c r="J34" s="33" t="e">
        <f>(F34+G34+I34)/Data!G38</f>
        <v>#REF!</v>
      </c>
      <c r="K34" s="37">
        <f>'Min Wage Add-Ons'!$B$4</f>
        <v>0.45</v>
      </c>
      <c r="L34" s="38" t="e">
        <f t="shared" si="4"/>
        <v>#REF!</v>
      </c>
      <c r="M34" s="24">
        <f>IF(Data!N38=1,(Data!H38/Data!G38),0)</f>
        <v>0.8077520426767506</v>
      </c>
      <c r="N34" s="39" t="e">
        <f t="shared" si="5"/>
        <v>#REF!</v>
      </c>
      <c r="O34" s="39" t="e">
        <f>IF(Data!T38="Y",IF(L34&gt;=$Q$65,$Q$65,L34),"")</f>
        <v>#REF!</v>
      </c>
      <c r="P34" s="39" t="e">
        <f t="shared" si="6"/>
        <v>#REF!</v>
      </c>
      <c r="Q34" s="39" t="e">
        <f t="shared" si="7"/>
        <v>#REF!</v>
      </c>
    </row>
    <row r="35" spans="1:17" x14ac:dyDescent="0.45">
      <c r="A35" s="32">
        <f>Data!J39*Data!M39</f>
        <v>744961</v>
      </c>
      <c r="B35" s="33">
        <f>Data!K39*Data!M39</f>
        <v>18162335</v>
      </c>
      <c r="C35" s="33">
        <f t="shared" si="1"/>
        <v>17417374</v>
      </c>
      <c r="D35" s="34">
        <f>C35*'SWB Ratio'!$B$8/0.9</f>
        <v>10585262.591181267</v>
      </c>
      <c r="E35" s="35">
        <f t="shared" si="2"/>
        <v>6832111.4088187329</v>
      </c>
      <c r="F35" s="35">
        <f t="shared" si="3"/>
        <v>744961</v>
      </c>
      <c r="G35" s="33" t="e">
        <f>D35*Data!#REF!</f>
        <v>#REF!</v>
      </c>
      <c r="H35" s="36" t="e">
        <f>(E35-(Data!I39*'License Fees'!$A$4))*Data!#REF!</f>
        <v>#REF!</v>
      </c>
      <c r="I35" s="36" t="e">
        <f>(H35+(IF(Data!C39=19,'License Fees'!$B$4+'License Fees'!$D$4,'License Fees'!$B$4)*Data!I39))</f>
        <v>#REF!</v>
      </c>
      <c r="J35" s="33" t="e">
        <f>(F35+G35+I35)/Data!G39</f>
        <v>#REF!</v>
      </c>
      <c r="K35" s="37">
        <f>'Min Wage Add-Ons'!$B$4</f>
        <v>0.45</v>
      </c>
      <c r="L35" s="38" t="e">
        <f t="shared" si="4"/>
        <v>#REF!</v>
      </c>
      <c r="M35" s="24">
        <f>IF(Data!N39=1,(Data!H39/Data!G39),0)</f>
        <v>0.79096638655462181</v>
      </c>
      <c r="N35" s="39" t="e">
        <f t="shared" si="5"/>
        <v>#REF!</v>
      </c>
      <c r="O35" s="39" t="str">
        <f>IF(Data!T39="Y",IF(L35&gt;=$Q$65,$Q$65,L35),"")</f>
        <v/>
      </c>
      <c r="P35" s="39" t="str">
        <f t="shared" si="6"/>
        <v/>
      </c>
      <c r="Q35" s="39" t="e">
        <f t="shared" si="7"/>
        <v>#REF!</v>
      </c>
    </row>
    <row r="36" spans="1:17" x14ac:dyDescent="0.45">
      <c r="A36" s="32">
        <f>Data!J40*Data!M40</f>
        <v>312200</v>
      </c>
      <c r="B36" s="33">
        <f>Data!K40*Data!M40</f>
        <v>4473307</v>
      </c>
      <c r="C36" s="33">
        <f t="shared" si="1"/>
        <v>4161107</v>
      </c>
      <c r="D36" s="34">
        <f>C36*'SWB Ratio'!$B$8/0.9</f>
        <v>2528877.7897863653</v>
      </c>
      <c r="E36" s="35">
        <f t="shared" si="2"/>
        <v>1632229.2102136347</v>
      </c>
      <c r="F36" s="35">
        <f t="shared" si="3"/>
        <v>312200</v>
      </c>
      <c r="G36" s="33" t="e">
        <f>D36*Data!#REF!</f>
        <v>#REF!</v>
      </c>
      <c r="H36" s="36" t="e">
        <f>(E36-(Data!I40*'License Fees'!$A$4))*Data!#REF!</f>
        <v>#REF!</v>
      </c>
      <c r="I36" s="36" t="e">
        <f>(H36+(IF(Data!C40=19,'License Fees'!$B$4+'License Fees'!$D$4,'License Fees'!$B$4)*Data!I40))</f>
        <v>#REF!</v>
      </c>
      <c r="J36" s="33" t="e">
        <f>(F36+G36+I36)/Data!G40</f>
        <v>#REF!</v>
      </c>
      <c r="K36" s="37">
        <f>'Min Wage Add-Ons'!$B$4</f>
        <v>0.45</v>
      </c>
      <c r="L36" s="38" t="e">
        <f t="shared" si="4"/>
        <v>#REF!</v>
      </c>
      <c r="M36" s="24">
        <f>IF(Data!N40=1,(Data!H40/Data!G40),0)</f>
        <v>0.99270789510587576</v>
      </c>
      <c r="N36" s="39" t="e">
        <f t="shared" si="5"/>
        <v>#REF!</v>
      </c>
      <c r="O36" s="39" t="e">
        <f>IF(Data!T40="Y",IF(L36&gt;=$Q$65,$Q$65,L36),"")</f>
        <v>#REF!</v>
      </c>
      <c r="P36" s="39" t="e">
        <f t="shared" si="6"/>
        <v>#REF!</v>
      </c>
      <c r="Q36" s="39" t="e">
        <f t="shared" si="7"/>
        <v>#REF!</v>
      </c>
    </row>
    <row r="37" spans="1:17" x14ac:dyDescent="0.45">
      <c r="A37" s="32" t="e">
        <f>Data!#REF!*Data!#REF!</f>
        <v>#REF!</v>
      </c>
      <c r="B37" s="33" t="e">
        <f>Data!#REF!*Data!#REF!</f>
        <v>#REF!</v>
      </c>
      <c r="C37" s="33" t="e">
        <f t="shared" si="1"/>
        <v>#REF!</v>
      </c>
      <c r="D37" s="34" t="e">
        <f>C37*'SWB Ratio'!$B$8/0.9</f>
        <v>#REF!</v>
      </c>
      <c r="E37" s="35" t="e">
        <f t="shared" si="2"/>
        <v>#REF!</v>
      </c>
      <c r="F37" s="35" t="e">
        <f t="shared" si="3"/>
        <v>#REF!</v>
      </c>
      <c r="G37" s="33" t="e">
        <f>D37*Data!#REF!</f>
        <v>#REF!</v>
      </c>
      <c r="H37" s="36" t="e">
        <f>(E37-(Data!#REF!*'License Fees'!$A$4))*Data!#REF!</f>
        <v>#REF!</v>
      </c>
      <c r="I37" s="36" t="e">
        <f>(H37+(IF(Data!#REF!=19,'License Fees'!$B$4+'License Fees'!$D$4,'License Fees'!$B$4)*Data!#REF!))</f>
        <v>#REF!</v>
      </c>
      <c r="J37" s="33" t="e">
        <f>(F37+G37+I37)/Data!#REF!</f>
        <v>#REF!</v>
      </c>
      <c r="K37" s="37">
        <f>'Min Wage Add-Ons'!$B$4</f>
        <v>0.45</v>
      </c>
      <c r="L37" s="38" t="e">
        <f t="shared" si="4"/>
        <v>#REF!</v>
      </c>
      <c r="M37" s="24" t="e">
        <f>IF(Data!#REF!=1,(Data!#REF!/Data!#REF!),0)</f>
        <v>#REF!</v>
      </c>
      <c r="N37" s="39" t="e">
        <f t="shared" si="5"/>
        <v>#REF!</v>
      </c>
      <c r="O37" s="39" t="e">
        <f>IF(Data!#REF!="Y",IF(L37&gt;=$Q$65,$Q$65,L37),"")</f>
        <v>#REF!</v>
      </c>
      <c r="P37" s="39" t="e">
        <f t="shared" si="6"/>
        <v>#REF!</v>
      </c>
      <c r="Q37" s="39" t="e">
        <f t="shared" si="7"/>
        <v>#REF!</v>
      </c>
    </row>
    <row r="38" spans="1:17" x14ac:dyDescent="0.45">
      <c r="A38" s="32">
        <f>Data!J42*Data!M42</f>
        <v>1368585</v>
      </c>
      <c r="B38" s="33">
        <f>Data!K42*Data!M42</f>
        <v>14380768</v>
      </c>
      <c r="C38" s="33">
        <f t="shared" si="1"/>
        <v>13012183</v>
      </c>
      <c r="D38" s="34">
        <f>C38*'SWB Ratio'!$B$8/0.9</f>
        <v>7908044.8028218737</v>
      </c>
      <c r="E38" s="35">
        <f t="shared" si="2"/>
        <v>5104138.1971781263</v>
      </c>
      <c r="F38" s="35">
        <f t="shared" si="3"/>
        <v>1368585</v>
      </c>
      <c r="G38" s="33" t="e">
        <f>D38*Data!#REF!</f>
        <v>#REF!</v>
      </c>
      <c r="H38" s="36" t="e">
        <f>(E38-(Data!I42*'License Fees'!$A$4))*Data!#REF!</f>
        <v>#REF!</v>
      </c>
      <c r="I38" s="36" t="e">
        <f>(H38+(IF(Data!C42=19,'License Fees'!$B$4+'License Fees'!$D$4,'License Fees'!$B$4)*Data!I42))</f>
        <v>#REF!</v>
      </c>
      <c r="J38" s="33" t="e">
        <f>(F38+G38+I38)/Data!G42</f>
        <v>#REF!</v>
      </c>
      <c r="K38" s="37">
        <f>'Min Wage Add-Ons'!$B$4</f>
        <v>0.45</v>
      </c>
      <c r="L38" s="38" t="e">
        <f t="shared" si="4"/>
        <v>#REF!</v>
      </c>
      <c r="M38" s="24">
        <f>IF(Data!N42=1,(Data!H42/Data!G42),0)</f>
        <v>0.94978603117270621</v>
      </c>
      <c r="N38" s="39" t="e">
        <f t="shared" si="5"/>
        <v>#REF!</v>
      </c>
      <c r="O38" s="39" t="str">
        <f>IF(Data!T42="Y",IF(L38&gt;=$Q$65,$Q$65,L38),"")</f>
        <v/>
      </c>
      <c r="P38" s="39" t="str">
        <f t="shared" si="6"/>
        <v/>
      </c>
      <c r="Q38" s="39" t="e">
        <f t="shared" si="7"/>
        <v>#REF!</v>
      </c>
    </row>
    <row r="39" spans="1:17" x14ac:dyDescent="0.45">
      <c r="A39" s="32">
        <f>Data!J43*Data!M43</f>
        <v>544030</v>
      </c>
      <c r="B39" s="33">
        <f>Data!K43*Data!M43</f>
        <v>19685355</v>
      </c>
      <c r="C39" s="33">
        <f t="shared" si="1"/>
        <v>19141325</v>
      </c>
      <c r="D39" s="34">
        <f>C39*'SWB Ratio'!$B$8/0.9</f>
        <v>11632979.315259738</v>
      </c>
      <c r="E39" s="35">
        <f t="shared" si="2"/>
        <v>7508345.6847402621</v>
      </c>
      <c r="F39" s="35">
        <f t="shared" si="3"/>
        <v>544030</v>
      </c>
      <c r="G39" s="33" t="e">
        <f>D39*Data!#REF!</f>
        <v>#REF!</v>
      </c>
      <c r="H39" s="36" t="e">
        <f>(E39-(Data!I43*'License Fees'!$A$4))*Data!#REF!</f>
        <v>#REF!</v>
      </c>
      <c r="I39" s="36" t="e">
        <f>(H39+(IF(Data!C43=19,'License Fees'!$B$4+'License Fees'!$D$4,'License Fees'!$B$4)*Data!I43))</f>
        <v>#REF!</v>
      </c>
      <c r="J39" s="33" t="e">
        <f>(F39+G39+I39)/Data!G43</f>
        <v>#REF!</v>
      </c>
      <c r="K39" s="37">
        <f>'Min Wage Add-Ons'!$B$4</f>
        <v>0.45</v>
      </c>
      <c r="L39" s="38" t="e">
        <f t="shared" si="4"/>
        <v>#REF!</v>
      </c>
      <c r="M39" s="24">
        <f>IF(Data!N43=1,(Data!H43/Data!G43),0)</f>
        <v>0.5905355990535599</v>
      </c>
      <c r="N39" s="39" t="e">
        <f t="shared" si="5"/>
        <v>#REF!</v>
      </c>
      <c r="O39" s="39" t="e">
        <f>IF(Data!T43="Y",IF(L39&gt;=$Q$65,$Q$65,L39),"")</f>
        <v>#REF!</v>
      </c>
      <c r="P39" s="39" t="e">
        <f t="shared" si="6"/>
        <v>#REF!</v>
      </c>
      <c r="Q39" s="39" t="e">
        <f t="shared" si="7"/>
        <v>#REF!</v>
      </c>
    </row>
    <row r="40" spans="1:17" x14ac:dyDescent="0.45">
      <c r="A40" s="32">
        <f>Data!J45*Data!M45</f>
        <v>1540396</v>
      </c>
      <c r="B40" s="33">
        <f>Data!K45*Data!M45</f>
        <v>24391625</v>
      </c>
      <c r="C40" s="33">
        <f t="shared" si="1"/>
        <v>22851229</v>
      </c>
      <c r="D40" s="34">
        <f>C40*'SWB Ratio'!$B$8/0.9</f>
        <v>13887642.275822779</v>
      </c>
      <c r="E40" s="35">
        <f t="shared" si="2"/>
        <v>8963586.7241772208</v>
      </c>
      <c r="F40" s="35">
        <f t="shared" si="3"/>
        <v>1540396</v>
      </c>
      <c r="G40" s="33" t="e">
        <f>D40*Data!#REF!</f>
        <v>#REF!</v>
      </c>
      <c r="H40" s="36" t="e">
        <f>(E40-(Data!I45*'License Fees'!$A$4))*Data!#REF!</f>
        <v>#REF!</v>
      </c>
      <c r="I40" s="36" t="e">
        <f>(H40+(IF(Data!C45=19,'License Fees'!$B$4+'License Fees'!$D$4,'License Fees'!$B$4)*Data!I45))</f>
        <v>#REF!</v>
      </c>
      <c r="J40" s="33" t="e">
        <f>(F40+G40+I40)/Data!G45</f>
        <v>#REF!</v>
      </c>
      <c r="K40" s="37">
        <f>'Min Wage Add-Ons'!$B$4</f>
        <v>0.45</v>
      </c>
      <c r="L40" s="38" t="e">
        <f t="shared" si="4"/>
        <v>#REF!</v>
      </c>
      <c r="M40" s="24">
        <f>IF(Data!N45=1,(Data!H45/Data!G45),0)</f>
        <v>0</v>
      </c>
      <c r="N40" s="39" t="str">
        <f t="shared" si="5"/>
        <v/>
      </c>
      <c r="O40" s="39" t="str">
        <f>IF(Data!T45="Y",IF(L40&gt;=$Q$65,$Q$65,L40),"")</f>
        <v/>
      </c>
      <c r="P40" s="39" t="str">
        <f t="shared" si="6"/>
        <v/>
      </c>
      <c r="Q40" s="39" t="e">
        <f t="shared" si="7"/>
        <v>#REF!</v>
      </c>
    </row>
    <row r="41" spans="1:17" x14ac:dyDescent="0.45">
      <c r="A41" s="32">
        <f>Data!J46*Data!M46</f>
        <v>2457256</v>
      </c>
      <c r="B41" s="33">
        <f>Data!K46*Data!M46</f>
        <v>18016237</v>
      </c>
      <c r="C41" s="33">
        <f t="shared" si="1"/>
        <v>15558981</v>
      </c>
      <c r="D41" s="34">
        <f>C41*'SWB Ratio'!$B$8/0.9</f>
        <v>9455839.8720840532</v>
      </c>
      <c r="E41" s="35">
        <f t="shared" si="2"/>
        <v>6103141.1279159468</v>
      </c>
      <c r="F41" s="35">
        <f t="shared" si="3"/>
        <v>2457256</v>
      </c>
      <c r="G41" s="33" t="e">
        <f>D41*Data!#REF!</f>
        <v>#REF!</v>
      </c>
      <c r="H41" s="36" t="e">
        <f>(E41-(Data!I46*'License Fees'!$A$4))*Data!#REF!</f>
        <v>#REF!</v>
      </c>
      <c r="I41" s="36" t="e">
        <f>(H41+(IF(Data!C46=19,'License Fees'!$B$4+'License Fees'!$D$4,'License Fees'!$B$4)*Data!I46))</f>
        <v>#REF!</v>
      </c>
      <c r="J41" s="33" t="e">
        <f>(F41+G41+I41)/Data!G46</f>
        <v>#REF!</v>
      </c>
      <c r="K41" s="37">
        <f>'Min Wage Add-Ons'!$B$4</f>
        <v>0.45</v>
      </c>
      <c r="L41" s="38" t="e">
        <f t="shared" si="4"/>
        <v>#REF!</v>
      </c>
      <c r="M41" s="24">
        <f>IF(Data!N46=1,(Data!H46/Data!G46),0)</f>
        <v>9.6391221092944471E-2</v>
      </c>
      <c r="N41" s="39" t="str">
        <f t="shared" si="5"/>
        <v/>
      </c>
      <c r="O41" s="39" t="str">
        <f>IF(Data!T46="Y",IF(L41&gt;=$Q$65,$Q$65,L41),"")</f>
        <v/>
      </c>
      <c r="P41" s="39" t="str">
        <f t="shared" si="6"/>
        <v/>
      </c>
      <c r="Q41" s="39" t="e">
        <f t="shared" si="7"/>
        <v>#REF!</v>
      </c>
    </row>
    <row r="42" spans="1:17" x14ac:dyDescent="0.45">
      <c r="A42" s="32">
        <f>Data!J47*Data!M47</f>
        <v>1125057</v>
      </c>
      <c r="B42" s="33">
        <f>Data!K47*Data!M47</f>
        <v>18603384</v>
      </c>
      <c r="C42" s="33">
        <f t="shared" si="1"/>
        <v>17478327</v>
      </c>
      <c r="D42" s="34">
        <f>C42*'SWB Ratio'!$B$8/0.9</f>
        <v>10622306.264396314</v>
      </c>
      <c r="E42" s="35">
        <f t="shared" si="2"/>
        <v>6856020.7356036864</v>
      </c>
      <c r="F42" s="35">
        <f t="shared" si="3"/>
        <v>1125057</v>
      </c>
      <c r="G42" s="33" t="e">
        <f>D42*Data!#REF!</f>
        <v>#REF!</v>
      </c>
      <c r="H42" s="36" t="e">
        <f>(E42-(Data!I47*'License Fees'!$A$4))*Data!#REF!</f>
        <v>#REF!</v>
      </c>
      <c r="I42" s="36" t="e">
        <f>(H42+(IF(Data!C47=19,'License Fees'!$B$4+'License Fees'!$D$4,'License Fees'!$B$4)*Data!I47))</f>
        <v>#REF!</v>
      </c>
      <c r="J42" s="33" t="e">
        <f>(F42+G42+I42)/Data!G47</f>
        <v>#REF!</v>
      </c>
      <c r="K42" s="37">
        <f>'Min Wage Add-Ons'!$B$4</f>
        <v>0.45</v>
      </c>
      <c r="L42" s="38" t="e">
        <f t="shared" si="4"/>
        <v>#REF!</v>
      </c>
      <c r="M42" s="24">
        <f>IF(Data!N47=1,(Data!H47/Data!G47),0)</f>
        <v>8.4289245199315552E-3</v>
      </c>
      <c r="N42" s="39" t="str">
        <f t="shared" si="5"/>
        <v/>
      </c>
      <c r="O42" s="39" t="str">
        <f>IF(Data!T47="Y",IF(L42&gt;=$Q$65,$Q$65,L42),"")</f>
        <v/>
      </c>
      <c r="P42" s="39" t="str">
        <f t="shared" si="6"/>
        <v/>
      </c>
      <c r="Q42" s="39" t="e">
        <f t="shared" si="7"/>
        <v>#REF!</v>
      </c>
    </row>
    <row r="43" spans="1:17" x14ac:dyDescent="0.45">
      <c r="A43" s="32">
        <f>Data!J48*Data!M48</f>
        <v>1127846</v>
      </c>
      <c r="B43" s="33">
        <f>Data!K48*Data!M48</f>
        <v>39933618</v>
      </c>
      <c r="C43" s="33">
        <f t="shared" si="1"/>
        <v>38805772</v>
      </c>
      <c r="D43" s="34">
        <f>C43*'SWB Ratio'!$B$8/0.9</f>
        <v>23583881.627248142</v>
      </c>
      <c r="E43" s="35">
        <f t="shared" si="2"/>
        <v>15221890.372751858</v>
      </c>
      <c r="F43" s="35">
        <f t="shared" si="3"/>
        <v>1127846</v>
      </c>
      <c r="G43" s="33" t="e">
        <f>D43*Data!#REF!</f>
        <v>#REF!</v>
      </c>
      <c r="H43" s="36" t="e">
        <f>(E43-(Data!I48*'License Fees'!$A$4))*Data!#REF!</f>
        <v>#REF!</v>
      </c>
      <c r="I43" s="36" t="e">
        <f>(H43+(IF(Data!C48=19,'License Fees'!$B$4+'License Fees'!$D$4,'License Fees'!$B$4)*Data!I48))</f>
        <v>#REF!</v>
      </c>
      <c r="J43" s="33" t="e">
        <f>(F43+G43+I43)/Data!G48</f>
        <v>#REF!</v>
      </c>
      <c r="K43" s="37">
        <f>'Min Wage Add-Ons'!$B$4</f>
        <v>0.45</v>
      </c>
      <c r="L43" s="38" t="e">
        <f t="shared" si="4"/>
        <v>#REF!</v>
      </c>
      <c r="M43" s="24">
        <f>IF(Data!N48=1,(Data!H48/Data!G48),0)</f>
        <v>0</v>
      </c>
      <c r="N43" s="39" t="str">
        <f t="shared" si="5"/>
        <v/>
      </c>
      <c r="O43" s="39" t="str">
        <f>IF(Data!T48="Y",IF(L43&gt;=$Q$65,$Q$65,L43),"")</f>
        <v/>
      </c>
      <c r="P43" s="39" t="str">
        <f t="shared" si="6"/>
        <v/>
      </c>
      <c r="Q43" s="39" t="e">
        <f t="shared" si="7"/>
        <v>#REF!</v>
      </c>
    </row>
    <row r="44" spans="1:17" x14ac:dyDescent="0.45">
      <c r="A44" s="32">
        <f>Data!J49*Data!M49</f>
        <v>565999</v>
      </c>
      <c r="B44" s="33">
        <f>Data!K49*Data!M49</f>
        <v>7040041</v>
      </c>
      <c r="C44" s="33">
        <f t="shared" si="1"/>
        <v>6474042</v>
      </c>
      <c r="D44" s="34">
        <f>C44*'SWB Ratio'!$B$8/0.9</f>
        <v>3934544.5872802841</v>
      </c>
      <c r="E44" s="35">
        <f t="shared" si="2"/>
        <v>2539497.4127197159</v>
      </c>
      <c r="F44" s="35">
        <f t="shared" si="3"/>
        <v>565999</v>
      </c>
      <c r="G44" s="33" t="e">
        <f>D44*Data!#REF!</f>
        <v>#REF!</v>
      </c>
      <c r="H44" s="36" t="e">
        <f>(E44-(Data!I49*'License Fees'!$A$4))*Data!#REF!</f>
        <v>#REF!</v>
      </c>
      <c r="I44" s="36" t="e">
        <f>(H44+(IF(Data!C49=19,'License Fees'!$B$4+'License Fees'!$D$4,'License Fees'!$B$4)*Data!I49))</f>
        <v>#REF!</v>
      </c>
      <c r="J44" s="33" t="e">
        <f>(F44+G44+I44)/Data!G49</f>
        <v>#REF!</v>
      </c>
      <c r="K44" s="37">
        <f>'Min Wage Add-Ons'!$B$4</f>
        <v>0.45</v>
      </c>
      <c r="L44" s="38" t="e">
        <f t="shared" si="4"/>
        <v>#REF!</v>
      </c>
      <c r="M44" s="24">
        <f>IF(Data!N49=1,(Data!H49/Data!G49),0)</f>
        <v>0.93740740740740736</v>
      </c>
      <c r="N44" s="39" t="e">
        <f t="shared" si="5"/>
        <v>#REF!</v>
      </c>
      <c r="O44" s="39" t="str">
        <f>IF(Data!T49="Y",IF(L44&gt;=$Q$65,$Q$65,L44),"")</f>
        <v/>
      </c>
      <c r="P44" s="39" t="str">
        <f t="shared" si="6"/>
        <v/>
      </c>
      <c r="Q44" s="39" t="e">
        <f t="shared" si="7"/>
        <v>#REF!</v>
      </c>
    </row>
    <row r="45" spans="1:17" x14ac:dyDescent="0.45">
      <c r="A45" s="32">
        <f>Data!J50*Data!M50</f>
        <v>581357</v>
      </c>
      <c r="B45" s="33">
        <f>Data!K50*Data!M50</f>
        <v>12934976</v>
      </c>
      <c r="C45" s="33">
        <f t="shared" si="1"/>
        <v>12353619</v>
      </c>
      <c r="D45" s="34">
        <f>C45*'SWB Ratio'!$B$8/0.9</f>
        <v>7507808.0694831563</v>
      </c>
      <c r="E45" s="35">
        <f t="shared" si="2"/>
        <v>4845810.9305168437</v>
      </c>
      <c r="F45" s="35">
        <f t="shared" si="3"/>
        <v>581357</v>
      </c>
      <c r="G45" s="33" t="e">
        <f>D45*Data!#REF!</f>
        <v>#REF!</v>
      </c>
      <c r="H45" s="36" t="e">
        <f>(E45-(Data!I50*'License Fees'!$A$4))*Data!#REF!</f>
        <v>#REF!</v>
      </c>
      <c r="I45" s="36" t="e">
        <f>(H45+(IF(Data!C50=19,'License Fees'!$B$4+'License Fees'!$D$4,'License Fees'!$B$4)*Data!I50))</f>
        <v>#REF!</v>
      </c>
      <c r="J45" s="33" t="e">
        <f>(F45+G45+I45)/Data!G50</f>
        <v>#REF!</v>
      </c>
      <c r="K45" s="37">
        <f>'Min Wage Add-Ons'!$B$4</f>
        <v>0.45</v>
      </c>
      <c r="L45" s="38" t="e">
        <f t="shared" si="4"/>
        <v>#REF!</v>
      </c>
      <c r="M45" s="24">
        <f>IF(Data!N50=1,(Data!H50/Data!G50),0)</f>
        <v>0.80890697541124545</v>
      </c>
      <c r="N45" s="39" t="e">
        <f t="shared" si="5"/>
        <v>#REF!</v>
      </c>
      <c r="O45" s="39" t="e">
        <f>IF(Data!T50="Y",IF(L45&gt;=$Q$65,$Q$65,L45),"")</f>
        <v>#REF!</v>
      </c>
      <c r="P45" s="39" t="e">
        <f t="shared" si="6"/>
        <v>#REF!</v>
      </c>
      <c r="Q45" s="39" t="e">
        <f t="shared" si="7"/>
        <v>#REF!</v>
      </c>
    </row>
    <row r="46" spans="1:17" x14ac:dyDescent="0.45">
      <c r="A46" s="32">
        <f>Data!J51*Data!M51</f>
        <v>592320</v>
      </c>
      <c r="B46" s="33">
        <f>Data!K51*Data!M51</f>
        <v>12975159</v>
      </c>
      <c r="C46" s="33">
        <f t="shared" si="1"/>
        <v>12382839</v>
      </c>
      <c r="D46" s="34">
        <f>C46*'SWB Ratio'!$B$8/0.9</f>
        <v>7525566.2787812008</v>
      </c>
      <c r="E46" s="35">
        <f t="shared" si="2"/>
        <v>4857272.7212187992</v>
      </c>
      <c r="F46" s="35">
        <f t="shared" si="3"/>
        <v>592320</v>
      </c>
      <c r="G46" s="33" t="e">
        <f>D46*Data!#REF!</f>
        <v>#REF!</v>
      </c>
      <c r="H46" s="36" t="e">
        <f>(E46-(Data!I51*'License Fees'!$A$4))*Data!#REF!</f>
        <v>#REF!</v>
      </c>
      <c r="I46" s="36" t="e">
        <f>(H46+(IF(Data!C51=19,'License Fees'!$B$4+'License Fees'!$D$4,'License Fees'!$B$4)*Data!I51))</f>
        <v>#REF!</v>
      </c>
      <c r="J46" s="33" t="e">
        <f>(F46+G46+I46)/Data!G51</f>
        <v>#REF!</v>
      </c>
      <c r="K46" s="37">
        <f>'Min Wage Add-Ons'!$B$4</f>
        <v>0.45</v>
      </c>
      <c r="L46" s="38" t="e">
        <f t="shared" si="4"/>
        <v>#REF!</v>
      </c>
      <c r="M46" s="24">
        <f>IF(Data!N51=1,(Data!H51/Data!G51),0)</f>
        <v>0.38347058239904752</v>
      </c>
      <c r="N46" s="39" t="e">
        <f t="shared" si="5"/>
        <v>#REF!</v>
      </c>
      <c r="O46" s="39" t="str">
        <f>IF(Data!T51="Y",IF(L46&gt;=$Q$65,$Q$65,L46),"")</f>
        <v/>
      </c>
      <c r="P46" s="39" t="str">
        <f t="shared" si="6"/>
        <v/>
      </c>
      <c r="Q46" s="39" t="e">
        <f t="shared" si="7"/>
        <v>#REF!</v>
      </c>
    </row>
    <row r="47" spans="1:17" x14ac:dyDescent="0.45">
      <c r="A47" s="32">
        <f>Data!J52*Data!M52</f>
        <v>191699</v>
      </c>
      <c r="B47" s="33">
        <f>Data!K52*Data!M52</f>
        <v>14398570</v>
      </c>
      <c r="C47" s="33">
        <f t="shared" si="1"/>
        <v>14206871</v>
      </c>
      <c r="D47" s="34">
        <f>C47*'SWB Ratio'!$B$8/0.9</f>
        <v>8634106.3890594523</v>
      </c>
      <c r="E47" s="35">
        <f t="shared" si="2"/>
        <v>5572764.6109405477</v>
      </c>
      <c r="F47" s="35">
        <f t="shared" si="3"/>
        <v>191699</v>
      </c>
      <c r="G47" s="33" t="e">
        <f>D47*Data!#REF!</f>
        <v>#REF!</v>
      </c>
      <c r="H47" s="36" t="e">
        <f>(E47-(Data!I52*'License Fees'!$A$4))*Data!#REF!</f>
        <v>#REF!</v>
      </c>
      <c r="I47" s="36" t="e">
        <f>(H47+(IF(Data!C52=19,'License Fees'!$B$4+'License Fees'!$D$4,'License Fees'!$B$4)*Data!I52))</f>
        <v>#REF!</v>
      </c>
      <c r="J47" s="33" t="e">
        <f>(F47+G47+I47)/Data!G52</f>
        <v>#REF!</v>
      </c>
      <c r="K47" s="37">
        <f>'Min Wage Add-Ons'!$B$4</f>
        <v>0.45</v>
      </c>
      <c r="L47" s="38" t="e">
        <f t="shared" si="4"/>
        <v>#REF!</v>
      </c>
      <c r="M47" s="24">
        <f>IF(Data!N52=1,(Data!H52/Data!G52),0)</f>
        <v>0</v>
      </c>
      <c r="N47" s="39" t="str">
        <f t="shared" si="5"/>
        <v/>
      </c>
      <c r="O47" s="39" t="str">
        <f>IF(Data!T52="Y",IF(L47&gt;=$Q$65,$Q$65,L47),"")</f>
        <v/>
      </c>
      <c r="P47" s="39" t="str">
        <f t="shared" si="6"/>
        <v/>
      </c>
      <c r="Q47" s="39" t="e">
        <f t="shared" si="7"/>
        <v>#REF!</v>
      </c>
    </row>
    <row r="48" spans="1:17" x14ac:dyDescent="0.45">
      <c r="A48" s="32">
        <f>Data!J53*Data!M53</f>
        <v>358383</v>
      </c>
      <c r="B48" s="33">
        <f>Data!K53*Data!M53</f>
        <v>58934966</v>
      </c>
      <c r="C48" s="33">
        <f t="shared" si="1"/>
        <v>58576583</v>
      </c>
      <c r="D48" s="34">
        <f>C48*'SWB Ratio'!$B$8/0.9</f>
        <v>35599425.765854515</v>
      </c>
      <c r="E48" s="35">
        <f t="shared" si="2"/>
        <v>22977157.234145485</v>
      </c>
      <c r="F48" s="35">
        <f t="shared" si="3"/>
        <v>358383</v>
      </c>
      <c r="G48" s="33" t="e">
        <f>D48*Data!#REF!</f>
        <v>#REF!</v>
      </c>
      <c r="H48" s="36" t="e">
        <f>(E48-(Data!I53*'License Fees'!$A$4))*Data!#REF!</f>
        <v>#REF!</v>
      </c>
      <c r="I48" s="36" t="e">
        <f>(H48+(IF(Data!C53=19,'License Fees'!$B$4+'License Fees'!$D$4,'License Fees'!$B$4)*Data!I53))</f>
        <v>#REF!</v>
      </c>
      <c r="J48" s="33" t="e">
        <f>(F48+G48+I48)/Data!G53</f>
        <v>#REF!</v>
      </c>
      <c r="K48" s="37">
        <f>'Min Wage Add-Ons'!$B$4</f>
        <v>0.45</v>
      </c>
      <c r="L48" s="38" t="e">
        <f t="shared" si="4"/>
        <v>#REF!</v>
      </c>
      <c r="M48" s="24">
        <f>IF(Data!N53=1,(Data!H53/Data!G53),0)</f>
        <v>0.89587465538964361</v>
      </c>
      <c r="N48" s="39" t="e">
        <f t="shared" si="5"/>
        <v>#REF!</v>
      </c>
      <c r="O48" s="39" t="str">
        <f>IF(Data!T53="Y",IF(L48&gt;=$Q$65,$Q$65,L48),"")</f>
        <v/>
      </c>
      <c r="P48" s="39" t="str">
        <f t="shared" si="6"/>
        <v/>
      </c>
      <c r="Q48" s="39" t="e">
        <f t="shared" si="7"/>
        <v>#REF!</v>
      </c>
    </row>
    <row r="49" spans="1:17" x14ac:dyDescent="0.45">
      <c r="A49" s="32">
        <f>Data!J54*Data!M54</f>
        <v>346508</v>
      </c>
      <c r="B49" s="33">
        <f>Data!K54*Data!M54</f>
        <v>16548293</v>
      </c>
      <c r="C49" s="33">
        <f t="shared" si="1"/>
        <v>16201785</v>
      </c>
      <c r="D49" s="34">
        <f>C49*'SWB Ratio'!$B$8/0.9</f>
        <v>9846498.5979437418</v>
      </c>
      <c r="E49" s="35">
        <f t="shared" si="2"/>
        <v>6355286.4020562582</v>
      </c>
      <c r="F49" s="35">
        <f t="shared" si="3"/>
        <v>346508</v>
      </c>
      <c r="G49" s="33" t="e">
        <f>D49*Data!#REF!</f>
        <v>#REF!</v>
      </c>
      <c r="H49" s="36" t="e">
        <f>(E49-(Data!I54*'License Fees'!$A$4))*Data!#REF!</f>
        <v>#REF!</v>
      </c>
      <c r="I49" s="36" t="e">
        <f>(H49+(IF(Data!C54=19,'License Fees'!$B$4+'License Fees'!$D$4,'License Fees'!$B$4)*Data!I54))</f>
        <v>#REF!</v>
      </c>
      <c r="J49" s="33" t="e">
        <f>(F49+G49+I49)/Data!G54</f>
        <v>#REF!</v>
      </c>
      <c r="K49" s="37">
        <f>'Min Wage Add-Ons'!$B$4</f>
        <v>0.45</v>
      </c>
      <c r="L49" s="38" t="e">
        <f t="shared" si="4"/>
        <v>#REF!</v>
      </c>
      <c r="M49" s="24">
        <f>IF(Data!N54=1,(Data!H54/Data!G54),0)</f>
        <v>0</v>
      </c>
      <c r="N49" s="39" t="str">
        <f t="shared" si="5"/>
        <v/>
      </c>
      <c r="O49" s="39" t="str">
        <f>IF(Data!T54="Y",IF(L49&gt;=$Q$65,$Q$65,L49),"")</f>
        <v/>
      </c>
      <c r="P49" s="39" t="str">
        <f t="shared" si="6"/>
        <v/>
      </c>
      <c r="Q49" s="39" t="e">
        <f t="shared" si="7"/>
        <v>#REF!</v>
      </c>
    </row>
    <row r="50" spans="1:17" x14ac:dyDescent="0.45">
      <c r="A50" s="32">
        <f>Data!J55*Data!M55</f>
        <v>54158</v>
      </c>
      <c r="B50" s="33">
        <f>Data!K55*Data!M55</f>
        <v>4061814</v>
      </c>
      <c r="C50" s="33">
        <f t="shared" si="1"/>
        <v>4007656</v>
      </c>
      <c r="D50" s="34">
        <f>C50*'SWB Ratio'!$B$8/0.9</f>
        <v>2435619.2348584319</v>
      </c>
      <c r="E50" s="35">
        <f t="shared" si="2"/>
        <v>1572036.7651415681</v>
      </c>
      <c r="F50" s="35">
        <f t="shared" si="3"/>
        <v>54158</v>
      </c>
      <c r="G50" s="33" t="e">
        <f>D50*Data!#REF!</f>
        <v>#REF!</v>
      </c>
      <c r="H50" s="36" t="e">
        <f>(E50-(Data!I55*'License Fees'!$A$4))*Data!#REF!</f>
        <v>#REF!</v>
      </c>
      <c r="I50" s="36" t="e">
        <f>(H50+(IF(Data!C55=19,'License Fees'!$B$4+'License Fees'!$D$4,'License Fees'!$B$4)*Data!I55))</f>
        <v>#REF!</v>
      </c>
      <c r="J50" s="33" t="e">
        <f>(F50+G50+I50)/Data!G55</f>
        <v>#REF!</v>
      </c>
      <c r="K50" s="37">
        <f>'Min Wage Add-Ons'!$B$4</f>
        <v>0.45</v>
      </c>
      <c r="L50" s="38" t="e">
        <f t="shared" si="4"/>
        <v>#REF!</v>
      </c>
      <c r="M50" s="24">
        <f>IF(Data!N55=1,(Data!H55/Data!G55),0)</f>
        <v>0.76937578550481778</v>
      </c>
      <c r="N50" s="39" t="e">
        <f t="shared" si="5"/>
        <v>#REF!</v>
      </c>
      <c r="O50" s="39" t="e">
        <f>IF(Data!T55="Y",IF(L50&gt;=$Q$65,$Q$65,L50),"")</f>
        <v>#REF!</v>
      </c>
      <c r="P50" s="39" t="e">
        <f t="shared" si="6"/>
        <v>#REF!</v>
      </c>
      <c r="Q50" s="39" t="e">
        <f t="shared" si="7"/>
        <v>#REF!</v>
      </c>
    </row>
    <row r="51" spans="1:17" x14ac:dyDescent="0.45">
      <c r="A51" s="32">
        <f>Data!J57*Data!M57</f>
        <v>1720646</v>
      </c>
      <c r="B51" s="33">
        <f>Data!K57*Data!M57</f>
        <v>21332734</v>
      </c>
      <c r="C51" s="33">
        <f t="shared" si="1"/>
        <v>19612088</v>
      </c>
      <c r="D51" s="34">
        <f>C51*'SWB Ratio'!$B$8/0.9</f>
        <v>11919081.570009062</v>
      </c>
      <c r="E51" s="35">
        <f t="shared" si="2"/>
        <v>7693006.4299909379</v>
      </c>
      <c r="F51" s="35">
        <f t="shared" si="3"/>
        <v>1720646</v>
      </c>
      <c r="G51" s="33" t="e">
        <f>D51*Data!#REF!</f>
        <v>#REF!</v>
      </c>
      <c r="H51" s="36" t="e">
        <f>(E51-(Data!I57*'License Fees'!$A$4))*Data!#REF!</f>
        <v>#REF!</v>
      </c>
      <c r="I51" s="36" t="e">
        <f>(H51+(IF(Data!C57=19,'License Fees'!$B$4+'License Fees'!$D$4,'License Fees'!$B$4)*Data!I57))</f>
        <v>#REF!</v>
      </c>
      <c r="J51" s="33" t="e">
        <f>(F51+G51+I51)/Data!G57</f>
        <v>#REF!</v>
      </c>
      <c r="K51" s="37">
        <f>'Min Wage Add-Ons'!$B$4</f>
        <v>0.45</v>
      </c>
      <c r="L51" s="38" t="e">
        <f t="shared" si="4"/>
        <v>#REF!</v>
      </c>
      <c r="M51" s="24">
        <f>IF(Data!N57=1,(Data!H57/Data!G57),0)</f>
        <v>0.57554286666944521</v>
      </c>
      <c r="N51" s="39" t="e">
        <f t="shared" si="5"/>
        <v>#REF!</v>
      </c>
      <c r="O51" s="39" t="str">
        <f>IF(Data!T57="Y",IF(L51&gt;=$Q$65,$Q$65,L51),"")</f>
        <v/>
      </c>
      <c r="P51" s="39" t="str">
        <f t="shared" si="6"/>
        <v/>
      </c>
      <c r="Q51" s="39" t="e">
        <f t="shared" si="7"/>
        <v>#REF!</v>
      </c>
    </row>
    <row r="52" spans="1:17" x14ac:dyDescent="0.45">
      <c r="A52" s="32">
        <f>Data!J58*Data!M58</f>
        <v>716820</v>
      </c>
      <c r="B52" s="33">
        <f>Data!K58*Data!M58</f>
        <v>10742446</v>
      </c>
      <c r="C52" s="33">
        <f t="shared" si="1"/>
        <v>10025626</v>
      </c>
      <c r="D52" s="34">
        <f>C52*'SWB Ratio'!$B$8/0.9</f>
        <v>6092989.89910731</v>
      </c>
      <c r="E52" s="35">
        <f t="shared" si="2"/>
        <v>3932636.10089269</v>
      </c>
      <c r="F52" s="35">
        <f t="shared" si="3"/>
        <v>716820</v>
      </c>
      <c r="G52" s="33" t="e">
        <f>D52*Data!#REF!</f>
        <v>#REF!</v>
      </c>
      <c r="H52" s="36" t="e">
        <f>(E52-(Data!I58*'License Fees'!$A$4))*Data!#REF!</f>
        <v>#REF!</v>
      </c>
      <c r="I52" s="36" t="e">
        <f>(H52+(IF(Data!C58=19,'License Fees'!$B$4+'License Fees'!$D$4,'License Fees'!$B$4)*Data!I58))</f>
        <v>#REF!</v>
      </c>
      <c r="J52" s="33" t="e">
        <f>(F52+G52+I52)/Data!G58</f>
        <v>#REF!</v>
      </c>
      <c r="K52" s="37">
        <f>'Min Wage Add-Ons'!$B$4</f>
        <v>0.45</v>
      </c>
      <c r="L52" s="38" t="e">
        <f t="shared" si="4"/>
        <v>#REF!</v>
      </c>
      <c r="M52" s="24">
        <f>IF(Data!N58=1,(Data!H58/Data!G58),0)</f>
        <v>0.74850299401197606</v>
      </c>
      <c r="N52" s="39" t="e">
        <f t="shared" si="5"/>
        <v>#REF!</v>
      </c>
      <c r="O52" s="39" t="str">
        <f>IF(Data!T58="Y",IF(L52&gt;=$Q$65,$Q$65,L52),"")</f>
        <v/>
      </c>
      <c r="P52" s="39" t="str">
        <f t="shared" si="6"/>
        <v/>
      </c>
      <c r="Q52" s="39" t="e">
        <f t="shared" si="7"/>
        <v>#REF!</v>
      </c>
    </row>
    <row r="53" spans="1:17" x14ac:dyDescent="0.45">
      <c r="A53" s="32">
        <f>Data!J59*Data!M59</f>
        <v>506414</v>
      </c>
      <c r="B53" s="33">
        <f>Data!K59*Data!M59</f>
        <v>6008432</v>
      </c>
      <c r="C53" s="33">
        <f t="shared" si="1"/>
        <v>5502018</v>
      </c>
      <c r="D53" s="34">
        <f>C53*'SWB Ratio'!$B$8/0.9</f>
        <v>3343805.1747298967</v>
      </c>
      <c r="E53" s="35">
        <f t="shared" si="2"/>
        <v>2158212.8252701033</v>
      </c>
      <c r="F53" s="35">
        <f t="shared" si="3"/>
        <v>506414</v>
      </c>
      <c r="G53" s="33" t="e">
        <f>D53*Data!#REF!</f>
        <v>#REF!</v>
      </c>
      <c r="H53" s="36" t="e">
        <f>(E53-(Data!I59*'License Fees'!$A$4))*Data!#REF!</f>
        <v>#REF!</v>
      </c>
      <c r="I53" s="36" t="e">
        <f>(H53+(IF(Data!C59=19,'License Fees'!$B$4+'License Fees'!$D$4,'License Fees'!$B$4)*Data!I59))</f>
        <v>#REF!</v>
      </c>
      <c r="J53" s="33" t="e">
        <f>(F53+G53+I53)/Data!G59</f>
        <v>#REF!</v>
      </c>
      <c r="K53" s="37">
        <f>'Min Wage Add-Ons'!$B$4</f>
        <v>0.45</v>
      </c>
      <c r="L53" s="38" t="e">
        <f t="shared" si="4"/>
        <v>#REF!</v>
      </c>
      <c r="M53" s="24">
        <f>IF(Data!N59=1,(Data!H59/Data!G59),0)</f>
        <v>0</v>
      </c>
      <c r="N53" s="39" t="str">
        <f t="shared" si="5"/>
        <v/>
      </c>
      <c r="O53" s="39" t="str">
        <f>IF(Data!T59="Y",IF(L53&gt;=$Q$65,$Q$65,L53),"")</f>
        <v/>
      </c>
      <c r="P53" s="39" t="str">
        <f t="shared" si="6"/>
        <v/>
      </c>
      <c r="Q53" s="39" t="e">
        <f t="shared" si="7"/>
        <v>#REF!</v>
      </c>
    </row>
    <row r="54" spans="1:17" x14ac:dyDescent="0.45">
      <c r="A54" s="32">
        <f>Data!J60*Data!M60</f>
        <v>409949</v>
      </c>
      <c r="B54" s="33">
        <f>Data!K60*Data!M60</f>
        <v>9252696</v>
      </c>
      <c r="C54" s="33">
        <f t="shared" si="1"/>
        <v>8842747</v>
      </c>
      <c r="D54" s="34">
        <f>C54*'SWB Ratio'!$B$8/0.9</f>
        <v>5374105.1333214967</v>
      </c>
      <c r="E54" s="35">
        <f t="shared" si="2"/>
        <v>3468641.8666785033</v>
      </c>
      <c r="F54" s="35">
        <f t="shared" si="3"/>
        <v>409949</v>
      </c>
      <c r="G54" s="33" t="e">
        <f>D54*Data!#REF!</f>
        <v>#REF!</v>
      </c>
      <c r="H54" s="36" t="e">
        <f>(E54-(Data!I60*'License Fees'!$A$4))*Data!#REF!</f>
        <v>#REF!</v>
      </c>
      <c r="I54" s="36" t="e">
        <f>(H54+(IF(Data!C60=19,'License Fees'!$B$4+'License Fees'!$D$4,'License Fees'!$B$4)*Data!I60))</f>
        <v>#REF!</v>
      </c>
      <c r="J54" s="33" t="e">
        <f>(F54+G54+I54)/Data!G60</f>
        <v>#REF!</v>
      </c>
      <c r="K54" s="37">
        <f>'Min Wage Add-Ons'!$B$4</f>
        <v>0.45</v>
      </c>
      <c r="L54" s="38" t="e">
        <f t="shared" si="4"/>
        <v>#REF!</v>
      </c>
      <c r="M54" s="24">
        <f>IF(Data!N60=1,(Data!H60/Data!G60),0)</f>
        <v>0</v>
      </c>
      <c r="N54" s="39" t="str">
        <f t="shared" si="5"/>
        <v/>
      </c>
      <c r="O54" s="39" t="str">
        <f>IF(Data!T60="Y",IF(L54&gt;=$Q$65,$Q$65,L54),"")</f>
        <v/>
      </c>
      <c r="P54" s="39" t="str">
        <f t="shared" si="6"/>
        <v/>
      </c>
      <c r="Q54" s="39" t="e">
        <f t="shared" si="7"/>
        <v>#REF!</v>
      </c>
    </row>
    <row r="55" spans="1:17" x14ac:dyDescent="0.45">
      <c r="A55" s="32">
        <f>Data!J61*Data!M61</f>
        <v>607289</v>
      </c>
      <c r="B55" s="33">
        <f>Data!K61*Data!M61</f>
        <v>7356842</v>
      </c>
      <c r="C55" s="33">
        <f t="shared" si="1"/>
        <v>6749553</v>
      </c>
      <c r="D55" s="34">
        <f>C55*'SWB Ratio'!$B$8/0.9</f>
        <v>4101984.0808433741</v>
      </c>
      <c r="E55" s="35">
        <f t="shared" si="2"/>
        <v>2647568.9191566259</v>
      </c>
      <c r="F55" s="35">
        <f t="shared" si="3"/>
        <v>607289</v>
      </c>
      <c r="G55" s="33" t="e">
        <f>D55*Data!#REF!</f>
        <v>#REF!</v>
      </c>
      <c r="H55" s="36" t="e">
        <f>(E55-(Data!I61*'License Fees'!$A$4))*Data!#REF!</f>
        <v>#REF!</v>
      </c>
      <c r="I55" s="36" t="e">
        <f>(H55+(IF(Data!C61=19,'License Fees'!$B$4+'License Fees'!$D$4,'License Fees'!$B$4)*Data!I61))</f>
        <v>#REF!</v>
      </c>
      <c r="J55" s="33" t="e">
        <f>(F55+G55+I55)/Data!G61</f>
        <v>#REF!</v>
      </c>
      <c r="K55" s="37">
        <f>'Min Wage Add-Ons'!$B$4</f>
        <v>0.45</v>
      </c>
      <c r="L55" s="38" t="e">
        <f t="shared" si="4"/>
        <v>#REF!</v>
      </c>
      <c r="M55" s="24">
        <f>IF(Data!N61=1,(Data!H61/Data!G61),0)</f>
        <v>0.59848567979809064</v>
      </c>
      <c r="N55" s="39" t="e">
        <f t="shared" si="5"/>
        <v>#REF!</v>
      </c>
      <c r="O55" s="39" t="str">
        <f>IF(Data!T61="Y",IF(L55&gt;=$Q$65,$Q$65,L55),"")</f>
        <v/>
      </c>
      <c r="P55" s="39" t="str">
        <f t="shared" si="6"/>
        <v/>
      </c>
      <c r="Q55" s="39" t="e">
        <f t="shared" si="7"/>
        <v>#REF!</v>
      </c>
    </row>
    <row r="56" spans="1:17" x14ac:dyDescent="0.45">
      <c r="A56" s="32">
        <f>Data!J62*Data!M62</f>
        <v>205343</v>
      </c>
      <c r="B56" s="33">
        <f>Data!K62*Data!M62</f>
        <v>13622314</v>
      </c>
      <c r="C56" s="33">
        <f t="shared" si="1"/>
        <v>13416971</v>
      </c>
      <c r="D56" s="34">
        <f>C56*'SWB Ratio'!$B$8/0.9</f>
        <v>8154051.3060845975</v>
      </c>
      <c r="E56" s="35">
        <f t="shared" si="2"/>
        <v>5262919.6939154025</v>
      </c>
      <c r="F56" s="35">
        <f t="shared" si="3"/>
        <v>205343</v>
      </c>
      <c r="G56" s="33" t="e">
        <f>D56*Data!#REF!</f>
        <v>#REF!</v>
      </c>
      <c r="H56" s="36" t="e">
        <f>(E56-(Data!I62*'License Fees'!$A$4))*Data!#REF!</f>
        <v>#REF!</v>
      </c>
      <c r="I56" s="36" t="e">
        <f>(H56+(IF(Data!C62=19,'License Fees'!$B$4+'License Fees'!$D$4,'License Fees'!$B$4)*Data!I62))</f>
        <v>#REF!</v>
      </c>
      <c r="J56" s="33" t="e">
        <f>(F56+G56+I56)/Data!G62</f>
        <v>#REF!</v>
      </c>
      <c r="K56" s="37">
        <f>'Min Wage Add-Ons'!$B$4</f>
        <v>0.45</v>
      </c>
      <c r="L56" s="38" t="e">
        <f t="shared" si="4"/>
        <v>#REF!</v>
      </c>
      <c r="M56" s="24">
        <f>IF(Data!N62=1,(Data!H62/Data!G62),0)</f>
        <v>0.96857142857142853</v>
      </c>
      <c r="N56" s="39" t="e">
        <f t="shared" si="5"/>
        <v>#REF!</v>
      </c>
      <c r="O56" s="39" t="e">
        <f>IF(Data!T62="Y",IF(L56&gt;=$Q$65,$Q$65,L56),"")</f>
        <v>#REF!</v>
      </c>
      <c r="P56" s="39" t="e">
        <f t="shared" si="6"/>
        <v>#REF!</v>
      </c>
      <c r="Q56" s="39" t="e">
        <f t="shared" si="7"/>
        <v>#REF!</v>
      </c>
    </row>
    <row r="57" spans="1:17" x14ac:dyDescent="0.45">
      <c r="A57" s="32" t="e">
        <f>Data!#REF!*Data!#REF!</f>
        <v>#REF!</v>
      </c>
      <c r="B57" s="33" t="e">
        <f>Data!#REF!*Data!#REF!</f>
        <v>#REF!</v>
      </c>
      <c r="C57" s="33" t="e">
        <f t="shared" si="1"/>
        <v>#REF!</v>
      </c>
      <c r="D57" s="34" t="e">
        <f>C57*'SWB Ratio'!$B$8/0.9</f>
        <v>#REF!</v>
      </c>
      <c r="E57" s="35" t="e">
        <f t="shared" si="2"/>
        <v>#REF!</v>
      </c>
      <c r="F57" s="35" t="e">
        <f t="shared" si="3"/>
        <v>#REF!</v>
      </c>
      <c r="G57" s="33" t="e">
        <f>D57*Data!#REF!</f>
        <v>#REF!</v>
      </c>
      <c r="H57" s="36" t="e">
        <f>(E57-(Data!#REF!*'License Fees'!$A$4))*Data!#REF!</f>
        <v>#REF!</v>
      </c>
      <c r="I57" s="36" t="e">
        <f>(H57+(IF(Data!#REF!=19,'License Fees'!$B$4+'License Fees'!$D$4,'License Fees'!$B$4)*Data!#REF!))</f>
        <v>#REF!</v>
      </c>
      <c r="J57" s="33" t="e">
        <f>(F57+G57+I57)/Data!#REF!</f>
        <v>#REF!</v>
      </c>
      <c r="K57" s="37">
        <f>'Min Wage Add-Ons'!$B$4</f>
        <v>0.45</v>
      </c>
      <c r="L57" s="38" t="e">
        <f t="shared" si="4"/>
        <v>#REF!</v>
      </c>
      <c r="M57" s="24" t="e">
        <f>IF(Data!#REF!=1,(Data!#REF!/Data!#REF!),0)</f>
        <v>#REF!</v>
      </c>
      <c r="N57" s="39" t="e">
        <f t="shared" si="5"/>
        <v>#REF!</v>
      </c>
      <c r="O57" s="39" t="e">
        <f>IF(Data!#REF!="Y",IF(L57&gt;=$Q$65,$Q$65,L57),"")</f>
        <v>#REF!</v>
      </c>
      <c r="P57" s="39" t="e">
        <f t="shared" si="6"/>
        <v>#REF!</v>
      </c>
      <c r="Q57" s="39" t="e">
        <f t="shared" si="7"/>
        <v>#REF!</v>
      </c>
    </row>
    <row r="58" spans="1:17" x14ac:dyDescent="0.45">
      <c r="A58" s="32">
        <f>Data!J64*Data!M64</f>
        <v>881697</v>
      </c>
      <c r="B58" s="33">
        <f>Data!K64*Data!M64</f>
        <v>8299079</v>
      </c>
      <c r="C58" s="33">
        <f t="shared" si="1"/>
        <v>7417382</v>
      </c>
      <c r="D58" s="34">
        <f>C58*'SWB Ratio'!$B$8/0.9</f>
        <v>4507851.5400255676</v>
      </c>
      <c r="E58" s="35">
        <f t="shared" si="2"/>
        <v>2909530.4599744324</v>
      </c>
      <c r="F58" s="35">
        <f t="shared" si="3"/>
        <v>881697</v>
      </c>
      <c r="G58" s="33" t="e">
        <f>D58*Data!#REF!</f>
        <v>#REF!</v>
      </c>
      <c r="H58" s="36" t="e">
        <f>(E58-(Data!I64*'License Fees'!$A$4))*Data!#REF!</f>
        <v>#REF!</v>
      </c>
      <c r="I58" s="36" t="e">
        <f>(H58+(IF(Data!C64=19,'License Fees'!$B$4+'License Fees'!$D$4,'License Fees'!$B$4)*Data!I64))</f>
        <v>#REF!</v>
      </c>
      <c r="J58" s="33" t="e">
        <f>(F58+G58+I58)/Data!G64</f>
        <v>#REF!</v>
      </c>
      <c r="K58" s="37">
        <f>'Min Wage Add-Ons'!$B$4</f>
        <v>0.45</v>
      </c>
      <c r="L58" s="38" t="e">
        <f t="shared" si="4"/>
        <v>#REF!</v>
      </c>
      <c r="M58" s="24">
        <f>IF(Data!N64=1,(Data!H64/Data!G64),0)</f>
        <v>0.95356617155091661</v>
      </c>
      <c r="N58" s="39" t="e">
        <f t="shared" si="5"/>
        <v>#REF!</v>
      </c>
      <c r="O58" s="39" t="e">
        <f>IF(Data!T64="Y",IF(L58&gt;=$Q$65,$Q$65,L58),"")</f>
        <v>#REF!</v>
      </c>
      <c r="P58" s="39" t="e">
        <f t="shared" si="6"/>
        <v>#REF!</v>
      </c>
      <c r="Q58" s="39" t="e">
        <f t="shared" si="7"/>
        <v>#REF!</v>
      </c>
    </row>
    <row r="59" spans="1:17" x14ac:dyDescent="0.45">
      <c r="A59" s="32">
        <f>Data!J65*Data!M65</f>
        <v>884616</v>
      </c>
      <c r="B59" s="33">
        <f>Data!K65*Data!M65</f>
        <v>11833392</v>
      </c>
      <c r="C59" s="33">
        <f t="shared" si="1"/>
        <v>10948776</v>
      </c>
      <c r="D59" s="34">
        <f>C59*'SWB Ratio'!$B$8/0.9</f>
        <v>6654026.5491240676</v>
      </c>
      <c r="E59" s="35">
        <f t="shared" si="2"/>
        <v>4294749.4508759324</v>
      </c>
      <c r="F59" s="35">
        <f t="shared" si="3"/>
        <v>884616</v>
      </c>
      <c r="G59" s="33" t="e">
        <f>D59*Data!#REF!</f>
        <v>#REF!</v>
      </c>
      <c r="H59" s="36" t="e">
        <f>(E59-(Data!I65*'License Fees'!$A$4))*Data!#REF!</f>
        <v>#REF!</v>
      </c>
      <c r="I59" s="36" t="e">
        <f>(H59+(IF(Data!C65=19,'License Fees'!$B$4+'License Fees'!$D$4,'License Fees'!$B$4)*Data!I65))</f>
        <v>#REF!</v>
      </c>
      <c r="J59" s="33" t="e">
        <f>(F59+G59+I59)/Data!G65</f>
        <v>#REF!</v>
      </c>
      <c r="K59" s="37">
        <f>'Min Wage Add-Ons'!$B$4</f>
        <v>0.45</v>
      </c>
      <c r="L59" s="38" t="e">
        <f t="shared" si="4"/>
        <v>#REF!</v>
      </c>
      <c r="M59" s="24">
        <f>IF(Data!N65=1,(Data!H65/Data!G65),0)</f>
        <v>3.0019212295869357E-3</v>
      </c>
      <c r="N59" s="39" t="str">
        <f t="shared" si="5"/>
        <v/>
      </c>
      <c r="O59" s="39" t="str">
        <f>IF(Data!T65="Y",IF(L59&gt;=$Q$65,$Q$65,L59),"")</f>
        <v/>
      </c>
      <c r="P59" s="39" t="str">
        <f t="shared" si="6"/>
        <v/>
      </c>
      <c r="Q59" s="39" t="e">
        <f t="shared" si="7"/>
        <v>#REF!</v>
      </c>
    </row>
    <row r="60" spans="1:17" x14ac:dyDescent="0.45">
      <c r="A60" s="32">
        <f>Data!J66*Data!M66</f>
        <v>20388</v>
      </c>
      <c r="B60" s="33">
        <f>Data!K66*Data!M66</f>
        <v>3041544</v>
      </c>
      <c r="C60" s="33">
        <f t="shared" si="1"/>
        <v>3021156</v>
      </c>
      <c r="D60" s="34">
        <f>C60*'SWB Ratio'!$B$8/0.9</f>
        <v>1836082.1550322585</v>
      </c>
      <c r="E60" s="35">
        <f t="shared" si="2"/>
        <v>1185073.8449677415</v>
      </c>
      <c r="F60" s="35">
        <f t="shared" si="3"/>
        <v>20388</v>
      </c>
      <c r="G60" s="33" t="e">
        <f>D60*Data!#REF!</f>
        <v>#REF!</v>
      </c>
      <c r="H60" s="36" t="e">
        <f>(E60-(Data!I66*'License Fees'!$A$4))*Data!#REF!</f>
        <v>#REF!</v>
      </c>
      <c r="I60" s="36" t="e">
        <f>(H60+(IF(Data!C66=19,'License Fees'!$B$4+'License Fees'!$D$4,'License Fees'!$B$4)*Data!I66))</f>
        <v>#REF!</v>
      </c>
      <c r="J60" s="33" t="e">
        <f>(F60+G60+I60)/Data!G66</f>
        <v>#REF!</v>
      </c>
      <c r="K60" s="37">
        <f>'Min Wage Add-Ons'!$B$4</f>
        <v>0.45</v>
      </c>
      <c r="L60" s="38" t="e">
        <f t="shared" si="4"/>
        <v>#REF!</v>
      </c>
      <c r="M60" s="24">
        <f>IF(Data!N66=1,(Data!H66/Data!G66),0)</f>
        <v>0.88669487541137748</v>
      </c>
      <c r="N60" s="39" t="e">
        <f t="shared" si="5"/>
        <v>#REF!</v>
      </c>
      <c r="O60" s="39" t="e">
        <f>IF(Data!T66="Y",IF(L60&gt;=$Q$65,$Q$65,L60),"")</f>
        <v>#REF!</v>
      </c>
      <c r="P60" s="39" t="e">
        <f t="shared" si="6"/>
        <v>#REF!</v>
      </c>
      <c r="Q60" s="39" t="e">
        <f t="shared" si="7"/>
        <v>#REF!</v>
      </c>
    </row>
    <row r="61" spans="1:17" x14ac:dyDescent="0.45">
      <c r="A61" s="32" t="e">
        <f>Data!#REF!*Data!#REF!</f>
        <v>#REF!</v>
      </c>
      <c r="B61" s="33" t="e">
        <f>Data!#REF!*Data!#REF!</f>
        <v>#REF!</v>
      </c>
      <c r="C61" s="33" t="e">
        <f t="shared" si="1"/>
        <v>#REF!</v>
      </c>
      <c r="D61" s="34" t="e">
        <f>C61*'SWB Ratio'!$B$8/0.9</f>
        <v>#REF!</v>
      </c>
      <c r="E61" s="35" t="e">
        <f t="shared" si="2"/>
        <v>#REF!</v>
      </c>
      <c r="F61" s="35" t="e">
        <f t="shared" si="3"/>
        <v>#REF!</v>
      </c>
      <c r="G61" s="33" t="e">
        <f>D61*Data!#REF!</f>
        <v>#REF!</v>
      </c>
      <c r="H61" s="36" t="e">
        <f>(E61-(Data!#REF!*'License Fees'!$A$4))*Data!#REF!</f>
        <v>#REF!</v>
      </c>
      <c r="I61" s="36" t="e">
        <f>(H61+(IF(Data!#REF!=19,'License Fees'!$B$4+'License Fees'!$D$4,'License Fees'!$B$4)*Data!#REF!))</f>
        <v>#REF!</v>
      </c>
      <c r="J61" s="33" t="e">
        <f>(F61+G61+I61)/Data!#REF!</f>
        <v>#REF!</v>
      </c>
      <c r="K61" s="37">
        <f>'Min Wage Add-Ons'!$B$4</f>
        <v>0.45</v>
      </c>
      <c r="L61" s="38" t="e">
        <f t="shared" si="4"/>
        <v>#REF!</v>
      </c>
      <c r="M61" s="24" t="e">
        <f>IF(Data!#REF!=1,(Data!#REF!/Data!#REF!),0)</f>
        <v>#REF!</v>
      </c>
      <c r="N61" s="39" t="e">
        <f t="shared" si="5"/>
        <v>#REF!</v>
      </c>
      <c r="O61" s="39" t="e">
        <f>IF(Data!#REF!="Y",IF(L61&gt;=$Q$65,$Q$65,L61),"")</f>
        <v>#REF!</v>
      </c>
      <c r="P61" s="39" t="e">
        <f t="shared" si="6"/>
        <v>#REF!</v>
      </c>
      <c r="Q61" s="39" t="e">
        <f t="shared" si="7"/>
        <v>#REF!</v>
      </c>
    </row>
    <row r="62" spans="1:17" x14ac:dyDescent="0.45">
      <c r="A62" s="32">
        <f>Data!J67*Data!M67</f>
        <v>337570</v>
      </c>
      <c r="B62" s="33">
        <f>Data!K67*Data!M67</f>
        <v>5132309</v>
      </c>
      <c r="C62" s="33">
        <f t="shared" si="1"/>
        <v>4794739</v>
      </c>
      <c r="D62" s="34">
        <f>C62*'SWB Ratio'!$B$8/0.9</f>
        <v>2913962.3097705701</v>
      </c>
      <c r="E62" s="35">
        <f t="shared" si="2"/>
        <v>1880776.6902294299</v>
      </c>
      <c r="F62" s="35">
        <f t="shared" si="3"/>
        <v>337570</v>
      </c>
      <c r="G62" s="33" t="e">
        <f>D62*Data!#REF!</f>
        <v>#REF!</v>
      </c>
      <c r="H62" s="36" t="e">
        <f>(E62-(Data!I67*'License Fees'!$A$4))*Data!#REF!</f>
        <v>#REF!</v>
      </c>
      <c r="I62" s="36" t="e">
        <f>(H62+(IF(Data!C67=19,'License Fees'!$B$4+'License Fees'!$D$4,'License Fees'!$B$4)*Data!I67))</f>
        <v>#REF!</v>
      </c>
      <c r="J62" s="33" t="e">
        <f>(F62+G62+I62)/Data!G67</f>
        <v>#REF!</v>
      </c>
      <c r="K62" s="37">
        <f>'Min Wage Add-Ons'!$B$4</f>
        <v>0.45</v>
      </c>
      <c r="L62" s="38" t="e">
        <f t="shared" si="4"/>
        <v>#REF!</v>
      </c>
      <c r="M62" s="24">
        <f>IF(Data!N67=1,(Data!H67/Data!G67),0)</f>
        <v>6.2701540666427802E-2</v>
      </c>
      <c r="N62" s="39" t="str">
        <f t="shared" si="5"/>
        <v/>
      </c>
      <c r="O62" s="39" t="str">
        <f>IF(Data!T67="Y",IF(L62&gt;=$Q$65,$Q$65,L62),"")</f>
        <v/>
      </c>
      <c r="P62" s="39" t="str">
        <f t="shared" si="6"/>
        <v/>
      </c>
      <c r="Q62" s="39" t="e">
        <f t="shared" si="7"/>
        <v>#REF!</v>
      </c>
    </row>
    <row r="63" spans="1:17" x14ac:dyDescent="0.45">
      <c r="L63" s="3"/>
      <c r="Q63" s="3"/>
    </row>
    <row r="65" spans="16:17" x14ac:dyDescent="0.45">
      <c r="P65" s="6" t="s">
        <v>372</v>
      </c>
      <c r="Q65" s="40" t="e">
        <f>ROUND(MEDIAN(N2:N62),2)</f>
        <v>#REF!</v>
      </c>
    </row>
    <row r="66" spans="16:17" x14ac:dyDescent="0.45">
      <c r="P66" s="6" t="s">
        <v>373</v>
      </c>
      <c r="Q66" s="6">
        <f>COUNT(N2:N62)</f>
        <v>0</v>
      </c>
    </row>
    <row r="68" spans="16:17" x14ac:dyDescent="0.45">
      <c r="P68" s="6" t="s">
        <v>183</v>
      </c>
      <c r="Q68" s="39" t="e">
        <f>ROUND(MEDIAN(O2:O62),2)</f>
        <v>#REF!</v>
      </c>
    </row>
    <row r="69" spans="16:17" x14ac:dyDescent="0.45">
      <c r="P69" s="6" t="s">
        <v>374</v>
      </c>
      <c r="Q69" s="6">
        <f>COUNT(O2:O62)</f>
        <v>0</v>
      </c>
    </row>
  </sheetData>
  <dataValidations disablePrompts="1" count="1">
    <dataValidation type="whole" errorStyle="warning" operator="lessThan" allowBlank="1" showInputMessage="1" showErrorMessage="1" error="Depreciation costs should be less than total SNF costs." sqref="B1:C1 B2:B62" xr:uid="{46DC8E03-0D89-4801-99DB-72E5EFA798D6}">
      <formula1>C1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94E8F-A75B-4EFD-8C77-C7CA388825DC}">
  <sheetPr codeName="Sheet6"/>
  <dimension ref="A1:AW2"/>
  <sheetViews>
    <sheetView workbookViewId="0">
      <selection activeCell="L10" sqref="L10"/>
    </sheetView>
  </sheetViews>
  <sheetFormatPr defaultRowHeight="14.5" x14ac:dyDescent="0.35"/>
  <cols>
    <col min="4" max="4" width="8.7265625" customWidth="1"/>
    <col min="6" max="6" width="9.26953125" bestFit="1" customWidth="1"/>
    <col min="11" max="12" width="9.54296875" bestFit="1" customWidth="1"/>
    <col min="18" max="18" width="10.26953125" bestFit="1" customWidth="1"/>
    <col min="34" max="37" width="9.54296875" bestFit="1" customWidth="1"/>
    <col min="38" max="38" width="7.26953125" bestFit="1" customWidth="1"/>
    <col min="39" max="39" width="9.54296875" bestFit="1" customWidth="1"/>
    <col min="40" max="41" width="10.26953125" bestFit="1" customWidth="1"/>
  </cols>
  <sheetData>
    <row r="1" spans="1:49" s="1" customFormat="1" ht="60.65" customHeight="1" x14ac:dyDescent="0.35">
      <c r="A1" s="7" t="s">
        <v>3</v>
      </c>
      <c r="B1" s="7" t="s">
        <v>82</v>
      </c>
      <c r="C1" s="7" t="s">
        <v>83</v>
      </c>
      <c r="D1" s="7" t="s">
        <v>4</v>
      </c>
      <c r="E1" s="7" t="s">
        <v>85</v>
      </c>
      <c r="F1" s="7" t="s">
        <v>86</v>
      </c>
      <c r="G1" s="7" t="s">
        <v>375</v>
      </c>
      <c r="H1" s="7" t="s">
        <v>376</v>
      </c>
      <c r="I1" s="7" t="s">
        <v>377</v>
      </c>
      <c r="J1" s="7" t="s">
        <v>378</v>
      </c>
      <c r="K1" s="7" t="s">
        <v>379</v>
      </c>
      <c r="L1" s="7" t="s">
        <v>380</v>
      </c>
      <c r="M1" s="7" t="s">
        <v>247</v>
      </c>
      <c r="N1" s="7" t="s">
        <v>248</v>
      </c>
      <c r="O1" s="7" t="s">
        <v>249</v>
      </c>
      <c r="P1" s="41" t="s">
        <v>381</v>
      </c>
      <c r="Q1" s="41" t="s">
        <v>382</v>
      </c>
      <c r="R1" s="7" t="s">
        <v>252</v>
      </c>
      <c r="S1" s="7" t="s">
        <v>383</v>
      </c>
      <c r="T1" s="7" t="s">
        <v>384</v>
      </c>
      <c r="U1" s="7" t="s">
        <v>385</v>
      </c>
      <c r="V1" s="7" t="s">
        <v>386</v>
      </c>
      <c r="W1" s="7" t="s">
        <v>387</v>
      </c>
      <c r="X1" s="7" t="s">
        <v>388</v>
      </c>
      <c r="Y1" s="7" t="s">
        <v>389</v>
      </c>
      <c r="Z1" s="7" t="s">
        <v>87</v>
      </c>
      <c r="AA1" s="5" t="s">
        <v>390</v>
      </c>
      <c r="AB1" s="5" t="s">
        <v>391</v>
      </c>
      <c r="AC1" s="5" t="s">
        <v>392</v>
      </c>
      <c r="AD1" s="5" t="s">
        <v>393</v>
      </c>
      <c r="AE1" s="5" t="s">
        <v>394</v>
      </c>
      <c r="AF1" s="5" t="s">
        <v>395</v>
      </c>
      <c r="AG1" s="42" t="s">
        <v>396</v>
      </c>
      <c r="AH1" s="43" t="s">
        <v>397</v>
      </c>
      <c r="AI1" s="43" t="s">
        <v>398</v>
      </c>
      <c r="AJ1" s="44" t="s">
        <v>399</v>
      </c>
      <c r="AK1" s="45" t="s">
        <v>400</v>
      </c>
      <c r="AL1" s="42" t="s">
        <v>401</v>
      </c>
      <c r="AM1" s="42" t="s">
        <v>402</v>
      </c>
      <c r="AN1" s="46" t="s">
        <v>403</v>
      </c>
      <c r="AO1" s="42" t="s">
        <v>404</v>
      </c>
      <c r="AP1" s="46" t="s">
        <v>405</v>
      </c>
      <c r="AQ1" s="47" t="s">
        <v>406</v>
      </c>
      <c r="AR1" s="46" t="s">
        <v>407</v>
      </c>
      <c r="AS1" s="30" t="s">
        <v>368</v>
      </c>
      <c r="AT1" s="30" t="s">
        <v>369</v>
      </c>
      <c r="AU1" s="30" t="s">
        <v>370</v>
      </c>
      <c r="AV1" s="30" t="s">
        <v>371</v>
      </c>
      <c r="AW1" s="30" t="s">
        <v>408</v>
      </c>
    </row>
    <row r="2" spans="1:49" s="2" customFormat="1" ht="16" x14ac:dyDescent="0.45">
      <c r="A2" s="6" t="s">
        <v>409</v>
      </c>
      <c r="B2" s="6" t="s">
        <v>410</v>
      </c>
      <c r="C2" s="4">
        <v>4</v>
      </c>
      <c r="D2" s="6">
        <v>1295882819</v>
      </c>
      <c r="E2" s="21">
        <v>44013</v>
      </c>
      <c r="F2" s="21">
        <v>44377</v>
      </c>
      <c r="G2" s="22">
        <v>20624</v>
      </c>
      <c r="H2" s="23">
        <f t="shared" ref="H2" si="0">P2+Q2</f>
        <v>20044</v>
      </c>
      <c r="I2" s="6">
        <v>82</v>
      </c>
      <c r="J2" s="32">
        <v>88391</v>
      </c>
      <c r="K2" s="32">
        <v>6658065</v>
      </c>
      <c r="L2" s="32">
        <v>3882898</v>
      </c>
      <c r="M2" s="4">
        <v>1</v>
      </c>
      <c r="N2" s="25">
        <f t="shared" ref="N2" si="1">IF(OR(G2=0,I2=0,J2=0,K2=0),0,IF(OR(O2=4,O2=5),O2,IF(F2-E2&lt;364,2,IF(H2=0,3,1))))</f>
        <v>1</v>
      </c>
      <c r="O2" s="4"/>
      <c r="P2" s="8">
        <v>20044</v>
      </c>
      <c r="Q2" s="8">
        <v>0</v>
      </c>
      <c r="R2" s="48">
        <v>37256</v>
      </c>
      <c r="S2" s="6" t="e">
        <f>VLOOKUP(D2,#REF!,2,0)</f>
        <v>#REF!</v>
      </c>
      <c r="T2" s="6"/>
      <c r="U2" s="6"/>
      <c r="V2" s="6"/>
      <c r="W2" s="6">
        <v>3.92</v>
      </c>
      <c r="X2" s="6">
        <v>8.65</v>
      </c>
      <c r="Y2" s="39">
        <v>363.18</v>
      </c>
      <c r="Z2" s="4" t="s">
        <v>93</v>
      </c>
      <c r="AA2" s="49">
        <f t="shared" ref="AA2" si="2">(DATE(2023,10,15)-(E2+F2)/2)/30.416666</f>
        <v>33.501370597290318</v>
      </c>
      <c r="AB2" s="49">
        <f t="shared" ref="AB2" si="3">IF(AC2&gt;=0.75,1,IF(AC2&gt;=0.25,0.5,0))</f>
        <v>0.5</v>
      </c>
      <c r="AC2" s="49">
        <f t="shared" ref="AC2" si="4">AA2-TRUNC(AA2)</f>
        <v>0.50137059729031819</v>
      </c>
      <c r="AD2" s="50">
        <f t="shared" ref="AD2" si="5">TRUNC(AA2)+AB2</f>
        <v>33.5</v>
      </c>
      <c r="AE2" s="51">
        <f>VLOOKUP(AD2,'Inflation Factors 2025'!$A$4:$D$75,3,0)</f>
        <v>1.1010994235687324</v>
      </c>
      <c r="AF2" s="52">
        <f>VLOOKUP(AD2,'Inflation Factors 2025'!$A$4:$D$75,4,0)</f>
        <v>1.0909497416489076</v>
      </c>
      <c r="AG2" s="53">
        <f t="shared" ref="AG2" si="6">J2*M2</f>
        <v>88391</v>
      </c>
      <c r="AH2" s="54">
        <f t="shared" ref="AH2" si="7">K2*M2</f>
        <v>6658065</v>
      </c>
      <c r="AI2" s="54">
        <f t="shared" ref="AI2" si="8">AH2-AG2</f>
        <v>6569674</v>
      </c>
      <c r="AJ2" s="55" t="e">
        <f>AI2*'Inflation Factors 2025'!#REF!/0.9</f>
        <v>#REF!</v>
      </c>
      <c r="AK2" s="56" t="e">
        <f t="shared" ref="AK2" si="9">AI2-AJ2</f>
        <v>#REF!</v>
      </c>
      <c r="AL2" s="56">
        <f t="shared" ref="AL2" si="10">(AG2*1)</f>
        <v>88391</v>
      </c>
      <c r="AM2" s="54" t="e">
        <f t="shared" ref="AM2" si="11">AJ2*AE2</f>
        <v>#REF!</v>
      </c>
      <c r="AN2" s="57" t="e">
        <f>(AK2-(I2*'Inflation Factors 2025'!#REF!))*Data!#REF!</f>
        <v>#REF!</v>
      </c>
      <c r="AO2" s="57" t="e">
        <f>(AN2+(IF(C2=19,'Inflation Factors 2025'!#REF!+'Inflation Factors 2025'!#REF!,'Inflation Factors 2025'!#REF!)*I2))</f>
        <v>#REF!</v>
      </c>
      <c r="AP2" s="54" t="e">
        <f>(AL2+AM2+AO2)/G2</f>
        <v>#REF!</v>
      </c>
      <c r="AQ2" s="58" t="e">
        <f>'Inflation Factors 2025'!#REF!</f>
        <v>#REF!</v>
      </c>
      <c r="AR2" s="59" t="e">
        <f t="shared" ref="AR2" si="12">AP2+AQ2</f>
        <v>#REF!</v>
      </c>
      <c r="AS2" s="24">
        <f t="shared" ref="AS2" si="13">IF(N2=1,(H2/G2),0)</f>
        <v>0.97187742435996893</v>
      </c>
      <c r="AT2" s="39" t="e">
        <f t="shared" ref="AT2" si="14">IF(AS2&gt;=20%,AR2,"")</f>
        <v>#REF!</v>
      </c>
      <c r="AU2" s="39" t="e">
        <f t="shared" ref="AU2" si="15">IF(Z2="Y",IF(AR2&gt;=$AW$65,$AW$65,AR2),"")</f>
        <v>#REF!</v>
      </c>
      <c r="AV2" s="39" t="e">
        <f t="shared" ref="AV2" si="16">IF(AU2="","",$AW$68)</f>
        <v>#REF!</v>
      </c>
      <c r="AW2" s="39" t="e">
        <f>IF(AV2="",IF(AR2&lt;$AW$65,AR2,$AW$65),AV2)</f>
        <v>#REF!</v>
      </c>
    </row>
  </sheetData>
  <dataValidations count="4">
    <dataValidation type="whole" errorStyle="warning" operator="lessThanOrEqual" allowBlank="1" showInputMessage="1" showErrorMessage="1" error="Medi-Cal days are less than Total days." sqref="AF2" xr:uid="{2E355B75-4C05-48A7-854D-6A1E804FF2CE}">
      <formula1>AB2</formula1>
    </dataValidation>
    <dataValidation type="whole" errorStyle="warning" operator="lessThan" allowBlank="1" showInputMessage="1" showErrorMessage="1" error="Depreciation costs should be less than total SNF costs." sqref="AH2 AH1:AI1" xr:uid="{E5514A58-BAE3-45DA-BC83-B7E87AE4DB20}">
      <formula1>AI1</formula1>
    </dataValidation>
    <dataValidation type="whole" errorStyle="warning" operator="lessThanOrEqual" allowBlank="1" showInputMessage="1" showErrorMessage="1" error="Medi-Cal days are less than Total days." sqref="Q1" xr:uid="{2EC99E21-831A-4E1F-8518-52D60EE8EE65}">
      <formula1>P1</formula1>
    </dataValidation>
    <dataValidation type="whole" errorStyle="warning" operator="greaterThanOrEqual" allowBlank="1" showInputMessage="1" showErrorMessage="1" error="Total SNF days are less than Medi-Cal SNF days." sqref="P1" xr:uid="{933D620F-7A9A-4F14-B4C1-46F642275BD3}">
      <formula1>Q1</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001AD-F015-4C00-A5F8-E41D9082B928}">
  <sheetPr codeName="Sheet7"/>
  <dimension ref="A1:E80"/>
  <sheetViews>
    <sheetView showGridLines="0" zoomScale="85" zoomScaleNormal="85" workbookViewId="0"/>
  </sheetViews>
  <sheetFormatPr defaultColWidth="0" defaultRowHeight="16" zeroHeight="1" x14ac:dyDescent="0.45"/>
  <cols>
    <col min="1" max="1" width="17.26953125" style="2" customWidth="1"/>
    <col min="2" max="3" width="15.453125" style="2" customWidth="1"/>
    <col min="4" max="4" width="13.1796875" style="2" customWidth="1"/>
    <col min="5" max="5" width="3.453125" style="2" hidden="1" customWidth="1"/>
    <col min="6" max="16384" width="8.7265625" style="2" hidden="1"/>
  </cols>
  <sheetData>
    <row r="1" spans="1:4" x14ac:dyDescent="0.45">
      <c r="A1" s="84" t="s">
        <v>453</v>
      </c>
    </row>
    <row r="2" spans="1:4" ht="38.65" customHeight="1" x14ac:dyDescent="0.45">
      <c r="A2" s="153" t="s">
        <v>411</v>
      </c>
    </row>
    <row r="3" spans="1:4" s="1" customFormat="1" ht="51.75" customHeight="1" x14ac:dyDescent="0.35">
      <c r="A3" s="85" t="s">
        <v>412</v>
      </c>
      <c r="B3" s="85" t="s">
        <v>413</v>
      </c>
      <c r="C3" s="154" t="s">
        <v>414</v>
      </c>
      <c r="D3" s="155" t="s">
        <v>415</v>
      </c>
    </row>
    <row r="4" spans="1:4" ht="16.5" x14ac:dyDescent="0.45">
      <c r="A4" s="156">
        <v>19</v>
      </c>
      <c r="B4" s="157">
        <v>1.0318499999999999</v>
      </c>
      <c r="C4" s="158">
        <v>1.087343920114779</v>
      </c>
      <c r="D4" s="158">
        <v>1.0555202990052912</v>
      </c>
    </row>
    <row r="5" spans="1:4" ht="16.5" x14ac:dyDescent="0.45">
      <c r="A5" s="156">
        <v>19.5</v>
      </c>
      <c r="B5" s="157">
        <v>1.0327</v>
      </c>
      <c r="C5" s="158">
        <v>1.0889749359949512</v>
      </c>
      <c r="D5" s="158">
        <v>1.0555859513353341</v>
      </c>
    </row>
    <row r="6" spans="1:4" ht="16.5" x14ac:dyDescent="0.45">
      <c r="A6" s="156">
        <v>20</v>
      </c>
      <c r="B6" s="157">
        <v>1.03356</v>
      </c>
      <c r="C6" s="158">
        <v>1.0892420148087805</v>
      </c>
      <c r="D6" s="158">
        <v>1.0543296379604952</v>
      </c>
    </row>
    <row r="7" spans="1:4" ht="16.5" x14ac:dyDescent="0.45">
      <c r="A7" s="156">
        <v>20.5</v>
      </c>
      <c r="B7" s="157">
        <v>1.0344100000000001</v>
      </c>
      <c r="C7" s="158">
        <v>1.0895092246606879</v>
      </c>
      <c r="D7" s="158">
        <v>1.0530763114520005</v>
      </c>
    </row>
    <row r="8" spans="1:4" ht="16.5" x14ac:dyDescent="0.45">
      <c r="A8" s="156">
        <v>21</v>
      </c>
      <c r="B8" s="157">
        <v>1.0352600000000001</v>
      </c>
      <c r="C8" s="158">
        <v>1.0897765656471352</v>
      </c>
      <c r="D8" s="158">
        <v>1.052791429895757</v>
      </c>
    </row>
    <row r="9" spans="1:4" ht="16.5" x14ac:dyDescent="0.45">
      <c r="A9" s="156">
        <v>21.5</v>
      </c>
      <c r="B9" s="157">
        <v>1.0361199999999999</v>
      </c>
      <c r="C9" s="158">
        <v>1.0900440378646783</v>
      </c>
      <c r="D9" s="158">
        <v>1.0525067024319588</v>
      </c>
    </row>
    <row r="10" spans="1:4" ht="16.5" x14ac:dyDescent="0.45">
      <c r="A10" s="156">
        <v>22</v>
      </c>
      <c r="B10" s="157">
        <v>1.0369699999999999</v>
      </c>
      <c r="C10" s="158">
        <v>1.0903116414099683</v>
      </c>
      <c r="D10" s="158">
        <v>1.0545573739189631</v>
      </c>
    </row>
    <row r="11" spans="1:4" ht="16.5" x14ac:dyDescent="0.45">
      <c r="A11" s="156">
        <v>22.5</v>
      </c>
      <c r="B11" s="157">
        <v>1.03783</v>
      </c>
      <c r="C11" s="158">
        <v>1.0905793763797509</v>
      </c>
      <c r="D11" s="158">
        <v>1.0566160519353671</v>
      </c>
    </row>
    <row r="12" spans="1:4" ht="16.5" x14ac:dyDescent="0.45">
      <c r="A12" s="156">
        <v>23</v>
      </c>
      <c r="B12" s="157">
        <v>1.03868</v>
      </c>
      <c r="C12" s="158">
        <v>1.0832569692567553</v>
      </c>
      <c r="D12" s="158">
        <v>1.0581938963334381</v>
      </c>
    </row>
    <row r="13" spans="1:4" ht="16.5" x14ac:dyDescent="0.45">
      <c r="A13" s="156">
        <v>23.5</v>
      </c>
      <c r="B13" s="157">
        <v>1.0395399999999999</v>
      </c>
      <c r="C13" s="158">
        <v>1.0760322350711395</v>
      </c>
      <c r="D13" s="158">
        <v>1.059776460168069</v>
      </c>
    </row>
    <row r="14" spans="1:4" ht="16.5" x14ac:dyDescent="0.45">
      <c r="A14" s="156">
        <v>24</v>
      </c>
      <c r="B14" s="157">
        <v>1.0404</v>
      </c>
      <c r="C14" s="158">
        <v>1.0689032324945695</v>
      </c>
      <c r="D14" s="158">
        <v>1.061363764645193</v>
      </c>
    </row>
    <row r="15" spans="1:4" ht="16.5" x14ac:dyDescent="0.45">
      <c r="A15" s="156">
        <v>24.5</v>
      </c>
      <c r="B15" s="157">
        <v>1.0412600000000001</v>
      </c>
      <c r="C15" s="158">
        <v>1.0618680713073889</v>
      </c>
      <c r="D15" s="158">
        <v>1.0629558310979801</v>
      </c>
    </row>
    <row r="16" spans="1:4" ht="16.5" x14ac:dyDescent="0.45">
      <c r="A16" s="156">
        <v>25</v>
      </c>
      <c r="B16" s="157">
        <v>1.0421199999999999</v>
      </c>
      <c r="C16" s="158">
        <v>1.0549249107277157</v>
      </c>
      <c r="D16" s="158">
        <v>1.0650139649990444</v>
      </c>
    </row>
    <row r="17" spans="1:4" ht="16.5" x14ac:dyDescent="0.45">
      <c r="A17" s="156">
        <v>25.5</v>
      </c>
      <c r="B17" s="157">
        <v>1.04298</v>
      </c>
      <c r="C17" s="158">
        <v>1.0480719578056659</v>
      </c>
      <c r="D17" s="158">
        <v>1.067080084430035</v>
      </c>
    </row>
    <row r="18" spans="1:4" ht="16.5" x14ac:dyDescent="0.45">
      <c r="A18" s="156">
        <v>26</v>
      </c>
      <c r="B18" s="157">
        <v>1.0438400000000001</v>
      </c>
      <c r="C18" s="158">
        <v>1.0581075227887675</v>
      </c>
      <c r="D18" s="158">
        <v>1.0682146200586629</v>
      </c>
    </row>
    <row r="19" spans="1:4" ht="16.5" x14ac:dyDescent="0.45">
      <c r="A19" s="156">
        <v>26.5</v>
      </c>
      <c r="B19" s="157">
        <v>1.0447</v>
      </c>
      <c r="C19" s="158">
        <v>1.0683371321526369</v>
      </c>
      <c r="D19" s="158">
        <v>1.0693515707657986</v>
      </c>
    </row>
    <row r="20" spans="1:4" ht="16.5" x14ac:dyDescent="0.45">
      <c r="A20" s="156">
        <v>27</v>
      </c>
      <c r="B20" s="157">
        <v>1.04556</v>
      </c>
      <c r="C20" s="158">
        <v>1.0787664688061016</v>
      </c>
      <c r="D20" s="158">
        <v>1.0719700251694007</v>
      </c>
    </row>
    <row r="21" spans="1:4" ht="16.5" x14ac:dyDescent="0.45">
      <c r="A21" s="156">
        <v>27.5</v>
      </c>
      <c r="B21" s="157">
        <v>1.04643</v>
      </c>
      <c r="C21" s="158">
        <v>1.089401439756797</v>
      </c>
      <c r="D21" s="158">
        <v>1.0746013343411891</v>
      </c>
    </row>
    <row r="22" spans="1:4" ht="16.5" x14ac:dyDescent="0.45">
      <c r="A22" s="156">
        <v>28</v>
      </c>
      <c r="B22" s="157">
        <v>1.0472900000000001</v>
      </c>
      <c r="C22" s="158">
        <v>1.1002481872674932</v>
      </c>
      <c r="D22" s="158">
        <v>1.0756122200545404</v>
      </c>
    </row>
    <row r="23" spans="1:4" ht="16.5" x14ac:dyDescent="0.45">
      <c r="A23" s="156">
        <v>28.5</v>
      </c>
      <c r="B23" s="157">
        <v>1.0481499999999999</v>
      </c>
      <c r="C23" s="158">
        <v>1.1113131006855961</v>
      </c>
      <c r="D23" s="158">
        <v>1.0766250094545851</v>
      </c>
    </row>
    <row r="24" spans="1:4" ht="16.5" x14ac:dyDescent="0.45">
      <c r="A24" s="156">
        <v>29</v>
      </c>
      <c r="B24" s="157">
        <v>1.0490200000000001</v>
      </c>
      <c r="C24" s="158">
        <v>1.1071762675186432</v>
      </c>
      <c r="D24" s="158">
        <v>1.0774802457287234</v>
      </c>
    </row>
    <row r="25" spans="1:4" ht="16.5" x14ac:dyDescent="0.45">
      <c r="A25" s="156">
        <v>29.5</v>
      </c>
      <c r="B25" s="157">
        <v>1.04989</v>
      </c>
      <c r="C25" s="158">
        <v>1.1030701186309784</v>
      </c>
      <c r="D25" s="158">
        <v>1.0783368418274317</v>
      </c>
    </row>
    <row r="26" spans="1:4" ht="16.5" x14ac:dyDescent="0.45">
      <c r="A26" s="156">
        <v>30</v>
      </c>
      <c r="B26" s="157">
        <v>1.0507500000000001</v>
      </c>
      <c r="C26" s="158">
        <v>1.0989943138906497</v>
      </c>
      <c r="D26" s="158">
        <v>1.0852191862214156</v>
      </c>
    </row>
    <row r="27" spans="1:4" ht="16.5" x14ac:dyDescent="0.45">
      <c r="A27" s="156">
        <v>30.5</v>
      </c>
      <c r="B27" s="157">
        <v>1.05162</v>
      </c>
      <c r="C27" s="158">
        <v>1.0949485181742999</v>
      </c>
      <c r="D27" s="158">
        <v>1.09218994624942</v>
      </c>
    </row>
    <row r="28" spans="1:4" ht="16.5" x14ac:dyDescent="0.45">
      <c r="A28" s="156">
        <v>31</v>
      </c>
      <c r="B28" s="157">
        <v>1.0524899999999999</v>
      </c>
      <c r="C28" s="158">
        <v>1.090932401275313</v>
      </c>
      <c r="D28" s="158">
        <v>1.0909333545306785</v>
      </c>
    </row>
    <row r="29" spans="1:4" ht="16.5" x14ac:dyDescent="0.45">
      <c r="A29" s="156">
        <v>31.5</v>
      </c>
      <c r="B29" s="157">
        <v>1.0533600000000001</v>
      </c>
      <c r="C29" s="158">
        <v>1.0869456378139737</v>
      </c>
      <c r="D29" s="158">
        <v>1.0896796509691407</v>
      </c>
    </row>
    <row r="30" spans="1:4" ht="16.5" x14ac:dyDescent="0.45">
      <c r="A30" s="156">
        <v>32</v>
      </c>
      <c r="B30" s="157">
        <v>1.05423</v>
      </c>
      <c r="C30" s="158">
        <v>1.0904498612706321</v>
      </c>
      <c r="D30" s="158">
        <v>1.0881220701768886</v>
      </c>
    </row>
    <row r="31" spans="1:4" ht="16.5" x14ac:dyDescent="0.45">
      <c r="A31" s="156">
        <v>32.5</v>
      </c>
      <c r="B31" s="157">
        <v>1.0550999999999999</v>
      </c>
      <c r="C31" s="158">
        <v>1.0939767524633981</v>
      </c>
      <c r="D31" s="158">
        <v>1.086568935820029</v>
      </c>
    </row>
    <row r="32" spans="1:4" ht="16.5" x14ac:dyDescent="0.45">
      <c r="A32" s="156">
        <v>33</v>
      </c>
      <c r="B32" s="157">
        <v>1.0559700000000001</v>
      </c>
      <c r="C32" s="158">
        <v>1.0975265320518055</v>
      </c>
      <c r="D32" s="158">
        <v>1.0887549320076952</v>
      </c>
    </row>
    <row r="33" spans="1:4" ht="16.5" x14ac:dyDescent="0.45">
      <c r="A33" s="156">
        <v>33.5</v>
      </c>
      <c r="B33" s="157">
        <v>1.05684</v>
      </c>
      <c r="C33" s="158">
        <v>1.1010994235687324</v>
      </c>
      <c r="D33" s="158">
        <v>1.0909497416489076</v>
      </c>
    </row>
    <row r="34" spans="1:4" ht="16.5" x14ac:dyDescent="0.45">
      <c r="A34" s="156">
        <v>34</v>
      </c>
      <c r="B34" s="157">
        <v>1.0577099999999999</v>
      </c>
      <c r="C34" s="158">
        <v>1.1046956534673213</v>
      </c>
      <c r="D34" s="158">
        <v>1.0930441574681531</v>
      </c>
    </row>
    <row r="35" spans="1:4" ht="16.5" x14ac:dyDescent="0.45">
      <c r="A35" s="156">
        <v>34.5</v>
      </c>
      <c r="B35" s="157">
        <v>1.0585800000000001</v>
      </c>
      <c r="C35" s="158">
        <v>1.1083154511688253</v>
      </c>
      <c r="D35" s="158">
        <v>1.0951466305150572</v>
      </c>
    </row>
    <row r="36" spans="1:4" ht="16.5" x14ac:dyDescent="0.45">
      <c r="A36" s="156">
        <v>35</v>
      </c>
      <c r="B36" s="157">
        <v>1.0594600000000001</v>
      </c>
      <c r="C36" s="158">
        <v>1.1097053554722709</v>
      </c>
      <c r="D36" s="158">
        <v>1.0954248053247195</v>
      </c>
    </row>
    <row r="37" spans="1:4" ht="16.5" x14ac:dyDescent="0.45">
      <c r="A37" s="156">
        <v>35.5</v>
      </c>
      <c r="B37" s="157">
        <v>1.06033</v>
      </c>
      <c r="C37" s="158">
        <v>1.1110987502254186</v>
      </c>
      <c r="D37" s="158">
        <v>1.0957031214869333</v>
      </c>
    </row>
    <row r="38" spans="1:4" ht="16.5" x14ac:dyDescent="0.45">
      <c r="A38" s="156">
        <v>36</v>
      </c>
      <c r="B38" s="157">
        <v>1.06121</v>
      </c>
      <c r="C38" s="158">
        <v>1.1124956485930844</v>
      </c>
      <c r="D38" s="158">
        <v>1.095819697808702</v>
      </c>
    </row>
    <row r="39" spans="1:4" ht="16.5" x14ac:dyDescent="0.45">
      <c r="A39" s="156">
        <v>36.5</v>
      </c>
      <c r="B39" s="157">
        <v>1.0620799999999999</v>
      </c>
      <c r="C39" s="158">
        <v>1.113896063806372</v>
      </c>
      <c r="D39" s="158">
        <v>1.0959362989391703</v>
      </c>
    </row>
    <row r="40" spans="1:4" ht="16.5" x14ac:dyDescent="0.45">
      <c r="A40" s="156">
        <v>37</v>
      </c>
      <c r="B40" s="157">
        <v>1.0629599999999999</v>
      </c>
      <c r="C40" s="158">
        <v>1.1153000091630905</v>
      </c>
      <c r="D40" s="158">
        <v>1.1007969295534255</v>
      </c>
    </row>
    <row r="41" spans="1:4" ht="16.5" x14ac:dyDescent="0.45">
      <c r="A41" s="156">
        <v>37.5</v>
      </c>
      <c r="B41" s="157">
        <v>1.0638399999999999</v>
      </c>
      <c r="C41" s="158">
        <v>1.1167074980281753</v>
      </c>
      <c r="D41" s="158">
        <v>1.1057008673931175</v>
      </c>
    </row>
    <row r="42" spans="1:4" ht="16.5" x14ac:dyDescent="0.45">
      <c r="A42" s="156">
        <v>38</v>
      </c>
      <c r="B42" s="157">
        <v>1.0647200000000001</v>
      </c>
      <c r="C42" s="158">
        <v>1.1166560370016867</v>
      </c>
      <c r="D42" s="158">
        <v>1.1097893775474792</v>
      </c>
    </row>
    <row r="43" spans="1:4" ht="16.5" x14ac:dyDescent="0.45">
      <c r="A43" s="156">
        <v>38.5</v>
      </c>
      <c r="B43" s="157">
        <v>1.0656000000000001</v>
      </c>
      <c r="C43" s="158">
        <v>1.1166045807179179</v>
      </c>
      <c r="D43" s="158">
        <v>1.1139082357914796</v>
      </c>
    </row>
    <row r="44" spans="1:4" ht="16.5" x14ac:dyDescent="0.45">
      <c r="A44" s="156">
        <v>39</v>
      </c>
      <c r="B44" s="157">
        <v>1.06647</v>
      </c>
      <c r="C44" s="158">
        <v>1.116553129176213</v>
      </c>
      <c r="D44" s="158">
        <v>1.1172366883148797</v>
      </c>
    </row>
    <row r="45" spans="1:4" ht="16.5" x14ac:dyDescent="0.45">
      <c r="A45" s="156">
        <v>39.5</v>
      </c>
      <c r="B45" s="157">
        <v>1.0673600000000001</v>
      </c>
      <c r="C45" s="158">
        <v>1.1165016823759164</v>
      </c>
      <c r="D45" s="158">
        <v>1.1205850918519165</v>
      </c>
    </row>
    <row r="46" spans="1:4" ht="16.5" x14ac:dyDescent="0.45">
      <c r="A46" s="156">
        <v>40</v>
      </c>
      <c r="B46" s="157">
        <v>1.0682400000000001</v>
      </c>
      <c r="C46" s="158">
        <v>1.116450240316373</v>
      </c>
      <c r="D46" s="158">
        <v>1.1275854667400991</v>
      </c>
    </row>
    <row r="47" spans="1:4" ht="16.5" x14ac:dyDescent="0.45">
      <c r="A47" s="156">
        <v>40.5</v>
      </c>
      <c r="B47" s="157">
        <v>1.0691200000000001</v>
      </c>
      <c r="C47" s="158">
        <v>1.1163988029969272</v>
      </c>
      <c r="D47" s="158">
        <v>1.1346738551360618</v>
      </c>
    </row>
    <row r="48" spans="1:4" ht="16.5" x14ac:dyDescent="0.45">
      <c r="A48" s="156">
        <v>41</v>
      </c>
      <c r="B48" s="157">
        <v>1.07</v>
      </c>
      <c r="C48" s="158">
        <v>1.1193203359031496</v>
      </c>
      <c r="D48" s="158">
        <v>1.1383807714478686</v>
      </c>
    </row>
    <row r="49" spans="1:4" ht="16.5" x14ac:dyDescent="0.45">
      <c r="A49" s="156">
        <v>41.5</v>
      </c>
      <c r="B49" s="157">
        <v>1.0708800000000001</v>
      </c>
      <c r="C49" s="158">
        <v>1.1222571997995083</v>
      </c>
      <c r="D49" s="158">
        <v>1.142111987724725</v>
      </c>
    </row>
    <row r="50" spans="1:4" ht="16.5" x14ac:dyDescent="0.45">
      <c r="A50" s="156">
        <v>42</v>
      </c>
      <c r="B50" s="157">
        <v>1.0717699999999999</v>
      </c>
      <c r="C50" s="158">
        <v>1.1252095156794586</v>
      </c>
      <c r="D50" s="158">
        <v>1.1475217913365015</v>
      </c>
    </row>
    <row r="51" spans="1:4" ht="16.5" x14ac:dyDescent="0.45">
      <c r="A51" s="156">
        <v>42.5</v>
      </c>
      <c r="B51" s="157">
        <v>1.0726500000000001</v>
      </c>
      <c r="C51" s="158">
        <v>1.1281774058130019</v>
      </c>
      <c r="D51" s="158">
        <v>1.152983087723654</v>
      </c>
    </row>
    <row r="52" spans="1:4" ht="16.5" x14ac:dyDescent="0.45">
      <c r="A52" s="156">
        <v>43</v>
      </c>
      <c r="B52" s="157">
        <v>1.0735399999999999</v>
      </c>
      <c r="C52" s="158">
        <v>1.1311609937635645</v>
      </c>
      <c r="D52" s="158">
        <v>1.1561226079310212</v>
      </c>
    </row>
    <row r="53" spans="1:4" ht="16.5" x14ac:dyDescent="0.45">
      <c r="A53" s="156">
        <v>43.5</v>
      </c>
      <c r="B53" s="157">
        <v>1.0744199999999999</v>
      </c>
      <c r="C53" s="158">
        <v>1.1341604044051472</v>
      </c>
      <c r="D53" s="158">
        <v>1.1592792723611522</v>
      </c>
    </row>
    <row r="54" spans="1:4" ht="16.5" x14ac:dyDescent="0.45">
      <c r="A54" s="156">
        <v>44</v>
      </c>
      <c r="B54" s="157">
        <v>1.07531</v>
      </c>
      <c r="C54" s="158">
        <v>1.1298944641837008</v>
      </c>
      <c r="D54" s="158">
        <v>1.1624359367912831</v>
      </c>
    </row>
    <row r="55" spans="1:4" ht="16.5" x14ac:dyDescent="0.45">
      <c r="A55" s="156">
        <v>44.5</v>
      </c>
      <c r="B55" s="157">
        <v>1.0762</v>
      </c>
      <c r="C55" s="158">
        <v>1.1256604948421605</v>
      </c>
      <c r="D55" s="158">
        <v>1.1656098390649716</v>
      </c>
    </row>
    <row r="56" spans="1:4" ht="16.5" x14ac:dyDescent="0.45">
      <c r="A56" s="156">
        <v>45</v>
      </c>
      <c r="B56" s="157">
        <v>1.0770900000000001</v>
      </c>
      <c r="C56" s="158">
        <v>1.1214581383159861</v>
      </c>
      <c r="D56" s="158">
        <v>1.1684899927421895</v>
      </c>
    </row>
    <row r="57" spans="1:4" ht="16.5" x14ac:dyDescent="0.45">
      <c r="A57" s="156">
        <v>45.5</v>
      </c>
      <c r="B57" s="157">
        <v>1.0779799999999999</v>
      </c>
      <c r="C57" s="158">
        <v>1.1172870418677081</v>
      </c>
      <c r="D57" s="158">
        <v>1.1713844150586423</v>
      </c>
    </row>
    <row r="58" spans="1:4" ht="16.5" x14ac:dyDescent="0.45">
      <c r="A58" s="156">
        <v>46</v>
      </c>
      <c r="B58" s="157">
        <v>1.07887</v>
      </c>
      <c r="C58" s="158">
        <v>1.1131468579882289</v>
      </c>
      <c r="D58" s="158">
        <v>1.1742788373750954</v>
      </c>
    </row>
    <row r="59" spans="1:4" ht="16.5" x14ac:dyDescent="0.45">
      <c r="A59" s="156">
        <v>46.5</v>
      </c>
      <c r="B59" s="157">
        <v>1.0797600000000001</v>
      </c>
      <c r="C59" s="158">
        <v>1.10903724430031</v>
      </c>
      <c r="D59" s="158">
        <v>1.1771875990193952</v>
      </c>
    </row>
    <row r="60" spans="1:4" ht="16.5" x14ac:dyDescent="0.45">
      <c r="A60" s="156">
        <v>47</v>
      </c>
      <c r="B60" s="157">
        <v>1.0806500000000001</v>
      </c>
      <c r="C60" s="158">
        <v>1.1178902994603226</v>
      </c>
      <c r="D60" s="158">
        <v>1.179521240862738</v>
      </c>
    </row>
    <row r="61" spans="1:4" ht="16.5" x14ac:dyDescent="0.45">
      <c r="A61" s="156">
        <v>47.5</v>
      </c>
      <c r="B61" s="157">
        <v>1.0815399999999999</v>
      </c>
      <c r="C61" s="158">
        <v>1.1268858336460108</v>
      </c>
      <c r="D61" s="158">
        <v>1.1818641534485756</v>
      </c>
    </row>
    <row r="62" spans="1:4" ht="16.5" x14ac:dyDescent="0.45">
      <c r="A62" s="156">
        <v>48</v>
      </c>
      <c r="B62" s="157">
        <v>1.08243</v>
      </c>
      <c r="C62" s="158">
        <v>1.1360273142962685</v>
      </c>
      <c r="D62" s="158">
        <v>1.1842070660344135</v>
      </c>
    </row>
    <row r="63" spans="1:4" ht="16.5" x14ac:dyDescent="0.45">
      <c r="A63" s="156">
        <v>48.5</v>
      </c>
      <c r="B63" s="157">
        <v>1.0833299999999999</v>
      </c>
      <c r="C63" s="158">
        <v>1.1453183222838912</v>
      </c>
      <c r="D63" s="158">
        <v>1.1865592861921619</v>
      </c>
    </row>
    <row r="64" spans="1:4" ht="16.5" x14ac:dyDescent="0.45">
      <c r="A64" s="156">
        <v>49</v>
      </c>
      <c r="B64" s="157">
        <v>1.08422</v>
      </c>
      <c r="C64" s="158">
        <v>1.1547625565924247</v>
      </c>
      <c r="D64" s="158">
        <v>1.1897406670121191</v>
      </c>
    </row>
    <row r="65" spans="1:4" ht="16.5" x14ac:dyDescent="0.45">
      <c r="A65" s="156">
        <v>49.5</v>
      </c>
      <c r="B65" s="157">
        <v>1.08511</v>
      </c>
      <c r="C65" s="158">
        <v>1.1643638392263294</v>
      </c>
      <c r="D65" s="158">
        <v>1.1929391534141149</v>
      </c>
    </row>
    <row r="66" spans="1:4" ht="16.5" x14ac:dyDescent="0.45">
      <c r="A66" s="156">
        <v>50</v>
      </c>
      <c r="B66" s="157">
        <v>1.0860099999999999</v>
      </c>
      <c r="C66" s="158">
        <v>1.161581449371867</v>
      </c>
      <c r="D66" s="158">
        <v>1.1961376398161108</v>
      </c>
    </row>
    <row r="67" spans="1:4" ht="16.5" x14ac:dyDescent="0.45">
      <c r="A67" s="156">
        <v>50.5</v>
      </c>
      <c r="B67" s="157">
        <v>1.08691</v>
      </c>
      <c r="C67" s="158">
        <v>1.1588123255385931</v>
      </c>
      <c r="D67" s="158">
        <v>1.1993533237730822</v>
      </c>
    </row>
    <row r="68" spans="1:4" ht="16.5" x14ac:dyDescent="0.45">
      <c r="A68" s="156">
        <v>51</v>
      </c>
      <c r="B68" s="157">
        <v>1.0878000000000001</v>
      </c>
      <c r="C68" s="158">
        <v>1.1560563730765203</v>
      </c>
      <c r="D68" s="158">
        <v>1.204120774439891</v>
      </c>
    </row>
    <row r="69" spans="1:4" ht="16.5" x14ac:dyDescent="0.45">
      <c r="A69" s="156">
        <v>51.5</v>
      </c>
      <c r="B69" s="157">
        <v>1.0887</v>
      </c>
      <c r="C69" s="158">
        <v>1.1533134982339333</v>
      </c>
      <c r="D69" s="158">
        <v>1.2089262777680814</v>
      </c>
    </row>
    <row r="70" spans="1:4" ht="16.5" x14ac:dyDescent="0.45">
      <c r="A70" s="156">
        <v>52</v>
      </c>
      <c r="B70" s="157">
        <v>1.0895999999999999</v>
      </c>
      <c r="C70" s="158">
        <v>1.1505836081467569</v>
      </c>
      <c r="D70" s="158">
        <v>1.2137317810962722</v>
      </c>
    </row>
    <row r="71" spans="1:4" ht="16.5" x14ac:dyDescent="0.45">
      <c r="A71" s="156">
        <v>52.5</v>
      </c>
      <c r="B71" s="157">
        <v>1.0905</v>
      </c>
      <c r="C71" s="158">
        <v>1.1478666108280757</v>
      </c>
      <c r="D71" s="158">
        <v>1.2185756408131696</v>
      </c>
    </row>
    <row r="72" spans="1:4" ht="16.5" x14ac:dyDescent="0.45">
      <c r="A72" s="156">
        <v>53</v>
      </c>
      <c r="B72" s="157">
        <v>1.0913999999999999</v>
      </c>
      <c r="C72" s="158">
        <v>1.1509899564059729</v>
      </c>
      <c r="D72" s="158">
        <v>1.2209673992558256</v>
      </c>
    </row>
    <row r="73" spans="1:4" ht="16.5" x14ac:dyDescent="0.45">
      <c r="A73" s="156">
        <v>53.5</v>
      </c>
      <c r="B73" s="157">
        <v>1.0923</v>
      </c>
      <c r="C73" s="158">
        <v>1.1541303456091008</v>
      </c>
      <c r="D73" s="158">
        <v>1.223368565006917</v>
      </c>
    </row>
    <row r="74" spans="1:4" ht="16.5" x14ac:dyDescent="0.45">
      <c r="A74" s="156">
        <v>54</v>
      </c>
      <c r="B74" s="157">
        <v>1.0931999999999999</v>
      </c>
      <c r="C74" s="158">
        <v>1.1572879183258684</v>
      </c>
      <c r="D74" s="158">
        <v>1.2257697307580084</v>
      </c>
    </row>
    <row r="75" spans="1:4" ht="16.5" x14ac:dyDescent="0.45">
      <c r="A75" s="159"/>
      <c r="B75" s="160"/>
      <c r="C75" s="161"/>
      <c r="D75" s="162"/>
    </row>
    <row r="76" spans="1:4" x14ac:dyDescent="0.45">
      <c r="A76" s="163"/>
      <c r="B76" s="164"/>
      <c r="C76" s="165"/>
      <c r="D76" s="164"/>
    </row>
    <row r="77" spans="1:4" x14ac:dyDescent="0.45">
      <c r="A77" s="65" t="s">
        <v>416</v>
      </c>
      <c r="B77" s="166"/>
    </row>
    <row r="78" spans="1:4" x14ac:dyDescent="0.45">
      <c r="A78" s="65" t="s">
        <v>417</v>
      </c>
    </row>
    <row r="79" spans="1:4" x14ac:dyDescent="0.45">
      <c r="A79" s="65" t="s">
        <v>418</v>
      </c>
    </row>
    <row r="80" spans="1:4" x14ac:dyDescent="0.45">
      <c r="A80" s="65" t="s">
        <v>419</v>
      </c>
    </row>
  </sheetData>
  <sheetProtection sheet="1" objects="1" scenarios="1" selectLockedCell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F53CA-52C3-4F8D-9112-7285343E4A8D}">
  <sheetPr codeName="Sheet8"/>
  <dimension ref="A1:C10"/>
  <sheetViews>
    <sheetView zoomScale="86" zoomScaleNormal="86" workbookViewId="0"/>
  </sheetViews>
  <sheetFormatPr defaultColWidth="0" defaultRowHeight="16" zeroHeight="1" x14ac:dyDescent="0.45"/>
  <cols>
    <col min="1" max="1" width="22.7265625" style="2" bestFit="1" customWidth="1"/>
    <col min="2" max="2" width="21.453125" style="2" bestFit="1" customWidth="1"/>
    <col min="3" max="3" width="0" style="2" hidden="1" customWidth="1"/>
    <col min="4" max="16384" width="8.7265625" style="2" hidden="1"/>
  </cols>
  <sheetData>
    <row r="1" spans="1:3" x14ac:dyDescent="0.45">
      <c r="A1" s="84" t="s">
        <v>453</v>
      </c>
    </row>
    <row r="2" spans="1:3" ht="17.649999999999999" customHeight="1" x14ac:dyDescent="0.45">
      <c r="B2" s="65" t="s">
        <v>425</v>
      </c>
      <c r="C2" s="1"/>
    </row>
    <row r="3" spans="1:3" ht="17.649999999999999" customHeight="1" x14ac:dyDescent="0.45">
      <c r="A3" s="65" t="s">
        <v>420</v>
      </c>
      <c r="B3" s="167">
        <v>5580961747</v>
      </c>
      <c r="C3" s="1"/>
    </row>
    <row r="4" spans="1:3" ht="17.649999999999999" customHeight="1" x14ac:dyDescent="0.45">
      <c r="A4" s="65" t="s">
        <v>421</v>
      </c>
      <c r="B4" s="167">
        <v>1494691906</v>
      </c>
      <c r="C4" s="1"/>
    </row>
    <row r="5" spans="1:3" ht="17.649999999999999" customHeight="1" x14ac:dyDescent="0.45">
      <c r="A5" s="168" t="s">
        <v>422</v>
      </c>
      <c r="B5" s="167">
        <v>12936151655</v>
      </c>
      <c r="C5" s="1"/>
    </row>
    <row r="6" spans="1:3" ht="17.649999999999999" customHeight="1" x14ac:dyDescent="0.45">
      <c r="A6" s="65" t="s">
        <v>423</v>
      </c>
      <c r="B6" s="169">
        <v>0.43142364868943706</v>
      </c>
      <c r="C6" s="1"/>
    </row>
    <row r="7" spans="1:3" ht="17.649999999999999" customHeight="1" x14ac:dyDescent="0.45">
      <c r="A7" s="65" t="s">
        <v>424</v>
      </c>
      <c r="B7" s="169">
        <v>0.11554378348852157</v>
      </c>
      <c r="C7" s="1"/>
    </row>
    <row r="8" spans="1:3" ht="17.149999999999999" customHeight="1" x14ac:dyDescent="0.45">
      <c r="A8" s="65" t="s">
        <v>425</v>
      </c>
      <c r="B8" s="170">
        <v>0.54696743217795862</v>
      </c>
    </row>
    <row r="9" spans="1:3" x14ac:dyDescent="0.45"/>
    <row r="10" spans="1:3" x14ac:dyDescent="0.45">
      <c r="A10" s="65" t="s">
        <v>426</v>
      </c>
    </row>
  </sheetData>
  <sheetProtection sheet="1" objects="1" scenarios="1" select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0306abd174536581353dce7fc5fcdc2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DHCSDOC-491057189-1574</_dlc_DocId>
    <_dlc_DocIdUrl xmlns="69bc34b3-1921-46c7-8c7a-d18363374b4b">
      <Url>https://dhcscagovauthoring/services/medi-cal/_layouts/15/DocIdRedir.aspx?ID=DHCSDOC-491057189-1574</Url>
      <Description>DHCSDOC-491057189-1574</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BC90091-D431-4F0A-9FC5-C586A21292DD}">
  <ds:schemaRefs>
    <ds:schemaRef ds:uri="http://schemas.microsoft.com/sharepoint/v3/contenttype/forms"/>
  </ds:schemaRefs>
</ds:datastoreItem>
</file>

<file path=customXml/itemProps2.xml><?xml version="1.0" encoding="utf-8"?>
<ds:datastoreItem xmlns:ds="http://schemas.openxmlformats.org/officeDocument/2006/customXml" ds:itemID="{69D10D8D-827C-4E1D-B3C5-5583F8F952C9}"/>
</file>

<file path=customXml/itemProps3.xml><?xml version="1.0" encoding="utf-8"?>
<ds:datastoreItem xmlns:ds="http://schemas.openxmlformats.org/officeDocument/2006/customXml" ds:itemID="{DB151D5D-39F5-459F-92DB-8BAB3A8C483D}">
  <ds:schemaRefs>
    <ds:schemaRef ds:uri="43f00a5d-55c4-41d3-b741-631800661bd5"/>
    <ds:schemaRef ds:uri="http://purl.org/dc/terms/"/>
    <ds:schemaRef ds:uri="http://purl.org/dc/dcmitype/"/>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f3a69106-fb92-4d29-9181-f6efe780d3d9"/>
    <ds:schemaRef ds:uri="http://schemas.microsoft.com/office/2006/metadata/properties"/>
  </ds:schemaRefs>
</ds:datastoreItem>
</file>

<file path=customXml/itemProps4.xml><?xml version="1.0" encoding="utf-8"?>
<ds:datastoreItem xmlns:ds="http://schemas.openxmlformats.org/officeDocument/2006/customXml" ds:itemID="{360C6231-4CA0-42AD-BEFE-64AF3D4188DD}"/>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Summary - Rates 2025</vt:lpstr>
      <vt:lpstr>Interim</vt:lpstr>
      <vt:lpstr>Methodology</vt:lpstr>
      <vt:lpstr>2025 Calcs</vt:lpstr>
      <vt:lpstr>Data</vt:lpstr>
      <vt:lpstr>Sub Calc</vt:lpstr>
      <vt:lpstr>Closed Facilities</vt:lpstr>
      <vt:lpstr>Inflation Factors 2025</vt:lpstr>
      <vt:lpstr>SWB Ratio</vt:lpstr>
      <vt:lpstr>Min Wage Add-Ons</vt:lpstr>
      <vt:lpstr>License Fees</vt:lpstr>
      <vt:lpstr>SB525 Add-On</vt:lpstr>
      <vt:lpstr>TitleRegion1.a1.f3.4</vt:lpstr>
      <vt:lpstr>TitleRegion1.a1.l9.2</vt:lpstr>
      <vt:lpstr>TitleRegion1.a1.t66.5</vt:lpstr>
      <vt:lpstr>TitleRegion1.a2.d73.6</vt:lpstr>
      <vt:lpstr>TitleRegion1.a3.b56.3</vt:lpstr>
      <vt:lpstr>TitleRegion1.a4.e81.1</vt:lpstr>
      <vt:lpstr>TitleRegion2.a6.ah72.4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CY-2025-DPNF-B-Final-Rate-Study</dc:title>
  <dc:subject/>
  <dc:creator>Seawright, Ken@DHCS</dc:creator>
  <cp:keywords/>
  <dc:description/>
  <cp:lastModifiedBy>Moore, Marie@DHCS</cp:lastModifiedBy>
  <cp:revision/>
  <dcterms:created xsi:type="dcterms:W3CDTF">2023-11-09T22:20:31Z</dcterms:created>
  <dcterms:modified xsi:type="dcterms:W3CDTF">2025-10-08T18:23:27Z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05d7f052-bfe7-49a8-a9c3-4e9b2924d37d</vt:lpwstr>
  </property>
  <property fmtid="{D5CDD505-2E9C-101B-9397-08002B2CF9AE}" pid="5" name="Division">
    <vt:lpwstr>30;#Fee-For-Service Rates Development|f4b3987f-d379-4ea2-9325-ab5a79e49e9a</vt:lpwstr>
  </property>
</Properties>
</file>