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updateLinks="always" codeName="ThisWorkbook" defaultThemeVersion="166925"/>
  <mc:AlternateContent xmlns:mc="http://schemas.openxmlformats.org/markup-compatibility/2006">
    <mc:Choice Requires="x15">
      <x15ac:absPath xmlns:x15ac="http://schemas.microsoft.com/office/spreadsheetml/2010/11/ac" url="C:\Users\MMoore\Desktop\"/>
    </mc:Choice>
  </mc:AlternateContent>
  <xr:revisionPtr revIDLastSave="0" documentId="8_{DE647B10-5906-46A9-A285-758F4D54F9C3}" xr6:coauthVersionLast="47" xr6:coauthVersionMax="47" xr10:uidLastSave="{00000000-0000-0000-0000-000000000000}"/>
  <bookViews>
    <workbookView xWindow="-110" yWindow="-110" windowWidth="19420" windowHeight="10300" tabRatio="936" xr2:uid="{96DF598B-0DA7-435D-AFE0-BD27742F3F33}"/>
  </bookViews>
  <sheets>
    <sheet name="Disclaimer" sheetId="22" r:id="rId1"/>
    <sheet name="Methodology &amp; Column Desc." sheetId="20" r:id="rId2"/>
    <sheet name="Summary - Rates 2026" sheetId="7" r:id="rId3"/>
    <sheet name="Summary - Rates 2025" sheetId="23" r:id="rId4"/>
    <sheet name="Interim" sheetId="19" r:id="rId5"/>
    <sheet name="Budget Impact" sheetId="21" state="hidden" r:id="rId6"/>
    <sheet name="2026 Calcs" sheetId="8" r:id="rId7"/>
    <sheet name="Data" sheetId="1" r:id="rId8"/>
    <sheet name="Sub Calc" sheetId="13" state="hidden" r:id="rId9"/>
    <sheet name="Closed Facilities" sheetId="5" state="hidden" r:id="rId10"/>
    <sheet name="Inflation Factors 2026" sheetId="3" r:id="rId11"/>
    <sheet name="SWB Ratio" sheetId="12" r:id="rId12"/>
    <sheet name="SB525 Add-Ons" sheetId="11" r:id="rId13"/>
    <sheet name="License Fees" sheetId="10" r:id="rId14"/>
  </sheets>
  <definedNames>
    <definedName name="_1__123Graph_ACHART_2" localSheetId="10" hidden="1">#REF!</definedName>
    <definedName name="_1__123Graph_ACHART_2" hidden="1">#REF!</definedName>
    <definedName name="_2__123Graph_ACHART_3" localSheetId="10" hidden="1">#REF!</definedName>
    <definedName name="_2__123Graph_ACHART_3" hidden="1">#REF!</definedName>
    <definedName name="_3__123Graph_BCHART_2" localSheetId="10" hidden="1">#REF!</definedName>
    <definedName name="_3__123Graph_BCHART_2" hidden="1">#REF!</definedName>
    <definedName name="_4__123Graph_CCHART_2" localSheetId="10" hidden="1">#REF!</definedName>
    <definedName name="_4__123Graph_CCHART_2" hidden="1">#REF!</definedName>
    <definedName name="_Fill" hidden="1">#REF!</definedName>
    <definedName name="_xlnm._FilterDatabase" localSheetId="6" hidden="1">'2026 Calcs'!$A$9:$AG$73</definedName>
    <definedName name="_xlnm._FilterDatabase" localSheetId="7" hidden="1">Data!$A$3:$T$67</definedName>
    <definedName name="_xlnm._FilterDatabase" localSheetId="4" hidden="1">Interim!$A$3:$K$5</definedName>
    <definedName name="_Key1" localSheetId="4" hidden="1">#REF!</definedName>
    <definedName name="_Key1" hidden="1">#REF!</definedName>
    <definedName name="_Order1" hidden="1">255</definedName>
    <definedName name="_Order2" hidden="1">255</definedName>
    <definedName name="_Regression_Out" localSheetId="10" hidden="1">#REF!</definedName>
    <definedName name="_Regression_Out" hidden="1">#REF!</definedName>
    <definedName name="_Sort" localSheetId="10" hidden="1">#REF!</definedName>
    <definedName name="_Sort" hidden="1">#REF!</definedName>
    <definedName name="ddn" hidden="1">#REF!</definedName>
    <definedName name="k" hidden="1">#REF!</definedName>
    <definedName name="TitleReagion1.b3.g5.6">'2026 Calcs'!$B$3:$G$5</definedName>
    <definedName name="TitleRegion1.a3.b4.3">'Summary - Rates 2026'!$A$3:$B$4</definedName>
    <definedName name="TitleRegion1.a3.t67.7">Data!$A$3:$T$67</definedName>
    <definedName name="TitleRegion1.a4.d5.11">'License Fees'!$A$4:$D$5</definedName>
    <definedName name="TitleRegion1.a4.d75.8">'Inflation Factors 2026'!$A$4:$D$75</definedName>
    <definedName name="TitleRegion1.a4.m11.5">Interim!$A$3:$K$11</definedName>
    <definedName name="TitleRegion1.a6.b55.2">'Methodology &amp; Column Desc.'!$A$6:$B$55</definedName>
    <definedName name="TitleRegion2.a6.e82.3">'Summary - Rates 2026'!$A$6:$E$82</definedName>
    <definedName name="TitleRegion2.a6.e83.4">'Summary - Rates 2025'!$A$6:$E$83</definedName>
    <definedName name="TitleRegion2.a7.ag73.6">'2026 Calcs'!$A$7:$AG$73</definedName>
    <definedName name="TitltRegion1.a3.d4.4">'Summary - Rates 2025'!$A$3:$D$4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1" l="1"/>
  <c r="I5" i="21"/>
  <c r="J5" i="21"/>
  <c r="G5" i="21"/>
  <c r="F5" i="21"/>
  <c r="H4" i="21"/>
  <c r="G4" i="21"/>
  <c r="J4" i="21" s="1"/>
  <c r="F4" i="21"/>
  <c r="I4" i="21" s="1"/>
  <c r="A2" i="13" l="1"/>
  <c r="F2" i="13" s="1"/>
  <c r="O3" i="13"/>
  <c r="P3" i="13" s="1"/>
  <c r="O6" i="13"/>
  <c r="P6" i="13" s="1"/>
  <c r="O7" i="13"/>
  <c r="P7" i="13" s="1"/>
  <c r="O9" i="13"/>
  <c r="P9" i="13" s="1"/>
  <c r="O10" i="13"/>
  <c r="P10" i="13" s="1"/>
  <c r="O11" i="13"/>
  <c r="P11" i="13" s="1"/>
  <c r="O12" i="13"/>
  <c r="P12" i="13" s="1"/>
  <c r="O13" i="13"/>
  <c r="P13" i="13" s="1"/>
  <c r="O15" i="13"/>
  <c r="P15" i="13" s="1"/>
  <c r="O16" i="13"/>
  <c r="P16" i="13" s="1"/>
  <c r="O18" i="13"/>
  <c r="P18" i="13" s="1"/>
  <c r="O20" i="13"/>
  <c r="P20" i="13" s="1"/>
  <c r="O22" i="13"/>
  <c r="P22" i="13" s="1"/>
  <c r="O23" i="13"/>
  <c r="P23" i="13" s="1"/>
  <c r="O24" i="13"/>
  <c r="P24" i="13" s="1"/>
  <c r="O25" i="13"/>
  <c r="P25" i="13" s="1"/>
  <c r="O26" i="13"/>
  <c r="P26" i="13" s="1"/>
  <c r="O28" i="13"/>
  <c r="P28" i="13" s="1"/>
  <c r="O29" i="13"/>
  <c r="P29" i="13" s="1"/>
  <c r="O31" i="13"/>
  <c r="P31" i="13" s="1"/>
  <c r="O33" i="13"/>
  <c r="P33" i="13" s="1"/>
  <c r="O35" i="13"/>
  <c r="P35" i="13" s="1"/>
  <c r="O37" i="13"/>
  <c r="P37" i="13" s="1"/>
  <c r="O38" i="13"/>
  <c r="P38" i="13" s="1"/>
  <c r="O40" i="13"/>
  <c r="P40" i="13" s="1"/>
  <c r="O41" i="13"/>
  <c r="P41" i="13" s="1"/>
  <c r="O42" i="13"/>
  <c r="P42" i="13" s="1"/>
  <c r="O43" i="13"/>
  <c r="P43" i="13" s="1"/>
  <c r="O44" i="13"/>
  <c r="P44" i="13" s="1"/>
  <c r="O46" i="13"/>
  <c r="P46" i="13" s="1"/>
  <c r="O47" i="13"/>
  <c r="P47" i="13" s="1"/>
  <c r="O48" i="13"/>
  <c r="P48" i="13" s="1"/>
  <c r="O49" i="13"/>
  <c r="P49" i="13" s="1"/>
  <c r="O51" i="13"/>
  <c r="P51" i="13" s="1"/>
  <c r="O52" i="13"/>
  <c r="P52" i="13" s="1"/>
  <c r="O53" i="13"/>
  <c r="P53" i="13" s="1"/>
  <c r="O54" i="13"/>
  <c r="P54" i="13" s="1"/>
  <c r="O55" i="13"/>
  <c r="P55" i="13" s="1"/>
  <c r="O59" i="13"/>
  <c r="P59" i="13" s="1"/>
  <c r="O61" i="13"/>
  <c r="P61" i="13" s="1"/>
  <c r="O62" i="13"/>
  <c r="P62" i="13" s="1"/>
  <c r="O2" i="13"/>
  <c r="P2" i="13" s="1"/>
  <c r="A3" i="13"/>
  <c r="F3" i="13" s="1"/>
  <c r="B3" i="13"/>
  <c r="A4" i="13"/>
  <c r="F4" i="13" s="1"/>
  <c r="B4" i="13"/>
  <c r="A5" i="13"/>
  <c r="F5" i="13" s="1"/>
  <c r="B5" i="13"/>
  <c r="A6" i="13"/>
  <c r="F6" i="13" s="1"/>
  <c r="B6" i="13"/>
  <c r="A7" i="13"/>
  <c r="F7" i="13" s="1"/>
  <c r="B7" i="13"/>
  <c r="A8" i="13"/>
  <c r="F8" i="13" s="1"/>
  <c r="B8" i="13"/>
  <c r="A9" i="13"/>
  <c r="F9" i="13" s="1"/>
  <c r="B9" i="13"/>
  <c r="A10" i="13"/>
  <c r="F10" i="13" s="1"/>
  <c r="B10" i="13"/>
  <c r="A11" i="13"/>
  <c r="F11" i="13" s="1"/>
  <c r="B11" i="13"/>
  <c r="A12" i="13"/>
  <c r="F12" i="13" s="1"/>
  <c r="B12" i="13"/>
  <c r="A13" i="13"/>
  <c r="F13" i="13" s="1"/>
  <c r="B13" i="13"/>
  <c r="A14" i="13"/>
  <c r="F14" i="13" s="1"/>
  <c r="B14" i="13"/>
  <c r="A15" i="13"/>
  <c r="F15" i="13" s="1"/>
  <c r="B15" i="13"/>
  <c r="A16" i="13"/>
  <c r="F16" i="13" s="1"/>
  <c r="B16" i="13"/>
  <c r="A17" i="13"/>
  <c r="F17" i="13" s="1"/>
  <c r="B17" i="13"/>
  <c r="A18" i="13"/>
  <c r="F18" i="13" s="1"/>
  <c r="B18" i="13"/>
  <c r="A19" i="13"/>
  <c r="F19" i="13" s="1"/>
  <c r="B19" i="13"/>
  <c r="A20" i="13"/>
  <c r="F20" i="13" s="1"/>
  <c r="B20" i="13"/>
  <c r="A21" i="13"/>
  <c r="F21" i="13" s="1"/>
  <c r="B21" i="13"/>
  <c r="A22" i="13"/>
  <c r="F22" i="13" s="1"/>
  <c r="B22" i="13"/>
  <c r="A23" i="13"/>
  <c r="F23" i="13" s="1"/>
  <c r="B23" i="13"/>
  <c r="A24" i="13"/>
  <c r="F24" i="13" s="1"/>
  <c r="B24" i="13"/>
  <c r="A25" i="13"/>
  <c r="F25" i="13" s="1"/>
  <c r="B25" i="13"/>
  <c r="A26" i="13"/>
  <c r="F26" i="13" s="1"/>
  <c r="B26" i="13"/>
  <c r="A27" i="13"/>
  <c r="F27" i="13" s="1"/>
  <c r="B27" i="13"/>
  <c r="A28" i="13"/>
  <c r="F28" i="13" s="1"/>
  <c r="B28" i="13"/>
  <c r="A29" i="13"/>
  <c r="F29" i="13" s="1"/>
  <c r="B29" i="13"/>
  <c r="A30" i="13"/>
  <c r="F30" i="13" s="1"/>
  <c r="B30" i="13"/>
  <c r="A31" i="13"/>
  <c r="F31" i="13" s="1"/>
  <c r="B31" i="13"/>
  <c r="A32" i="13"/>
  <c r="F32" i="13" s="1"/>
  <c r="B32" i="13"/>
  <c r="A33" i="13"/>
  <c r="F33" i="13" s="1"/>
  <c r="B33" i="13"/>
  <c r="A34" i="13"/>
  <c r="F34" i="13" s="1"/>
  <c r="B34" i="13"/>
  <c r="A35" i="13"/>
  <c r="F35" i="13" s="1"/>
  <c r="B35" i="13"/>
  <c r="A36" i="13"/>
  <c r="F36" i="13" s="1"/>
  <c r="B36" i="13"/>
  <c r="A37" i="13"/>
  <c r="F37" i="13" s="1"/>
  <c r="B37" i="13"/>
  <c r="A38" i="13"/>
  <c r="F38" i="13" s="1"/>
  <c r="B38" i="13"/>
  <c r="A39" i="13"/>
  <c r="F39" i="13" s="1"/>
  <c r="B39" i="13"/>
  <c r="A40" i="13"/>
  <c r="B40" i="13"/>
  <c r="A41" i="13"/>
  <c r="F41" i="13" s="1"/>
  <c r="B41" i="13"/>
  <c r="A42" i="13"/>
  <c r="F42" i="13" s="1"/>
  <c r="B42" i="13"/>
  <c r="A43" i="13"/>
  <c r="F43" i="13" s="1"/>
  <c r="B43" i="13"/>
  <c r="A44" i="13"/>
  <c r="F44" i="13" s="1"/>
  <c r="B44" i="13"/>
  <c r="A45" i="13"/>
  <c r="F45" i="13" s="1"/>
  <c r="B45" i="13"/>
  <c r="A46" i="13"/>
  <c r="F46" i="13" s="1"/>
  <c r="B46" i="13"/>
  <c r="A47" i="13"/>
  <c r="F47" i="13" s="1"/>
  <c r="B47" i="13"/>
  <c r="A48" i="13"/>
  <c r="F48" i="13" s="1"/>
  <c r="B48" i="13"/>
  <c r="A49" i="13"/>
  <c r="B49" i="13"/>
  <c r="A50" i="13"/>
  <c r="F50" i="13" s="1"/>
  <c r="B50" i="13"/>
  <c r="A51" i="13"/>
  <c r="F51" i="13" s="1"/>
  <c r="B51" i="13"/>
  <c r="A52" i="13"/>
  <c r="F52" i="13" s="1"/>
  <c r="B52" i="13"/>
  <c r="A53" i="13"/>
  <c r="F53" i="13" s="1"/>
  <c r="B53" i="13"/>
  <c r="A54" i="13"/>
  <c r="B54" i="13"/>
  <c r="A55" i="13"/>
  <c r="F55" i="13" s="1"/>
  <c r="B55" i="13"/>
  <c r="A56" i="13"/>
  <c r="F56" i="13" s="1"/>
  <c r="B56" i="13"/>
  <c r="A57" i="13"/>
  <c r="F57" i="13" s="1"/>
  <c r="B57" i="13"/>
  <c r="A58" i="13"/>
  <c r="F58" i="13" s="1"/>
  <c r="B58" i="13"/>
  <c r="A59" i="13"/>
  <c r="F59" i="13" s="1"/>
  <c r="B59" i="13"/>
  <c r="A60" i="13"/>
  <c r="F60" i="13" s="1"/>
  <c r="B60" i="13"/>
  <c r="A61" i="13"/>
  <c r="F61" i="13" s="1"/>
  <c r="B61" i="13"/>
  <c r="A62" i="13"/>
  <c r="F62" i="13" s="1"/>
  <c r="B62" i="13"/>
  <c r="B2" i="13"/>
  <c r="C60" i="13" l="1"/>
  <c r="D60" i="13" s="1"/>
  <c r="C52" i="13"/>
  <c r="D52" i="13" s="1"/>
  <c r="E52" i="13" s="1"/>
  <c r="C48" i="13"/>
  <c r="D48" i="13" s="1"/>
  <c r="C4" i="13"/>
  <c r="D4" i="13" s="1"/>
  <c r="C28" i="13"/>
  <c r="D28" i="13" s="1"/>
  <c r="C24" i="13"/>
  <c r="D24" i="13" s="1"/>
  <c r="C31" i="13"/>
  <c r="D31" i="13" s="1"/>
  <c r="E31" i="13" s="1"/>
  <c r="C59" i="13"/>
  <c r="D59" i="13" s="1"/>
  <c r="C51" i="13"/>
  <c r="D51" i="13" s="1"/>
  <c r="E51" i="13" s="1"/>
  <c r="C3" i="13"/>
  <c r="D3" i="13" s="1"/>
  <c r="C45" i="13"/>
  <c r="D45" i="13" s="1"/>
  <c r="E45" i="13" s="1"/>
  <c r="C37" i="13"/>
  <c r="D37" i="13" s="1"/>
  <c r="E37" i="13" s="1"/>
  <c r="C9" i="13"/>
  <c r="D9" i="13" s="1"/>
  <c r="C5" i="13"/>
  <c r="D5" i="13" s="1"/>
  <c r="C46" i="13"/>
  <c r="D46" i="13" s="1"/>
  <c r="C30" i="13"/>
  <c r="D30" i="13" s="1"/>
  <c r="C22" i="13"/>
  <c r="D22" i="13" s="1"/>
  <c r="C20" i="13"/>
  <c r="D20" i="13" s="1"/>
  <c r="C12" i="13"/>
  <c r="D12" i="13" s="1"/>
  <c r="E12" i="13" s="1"/>
  <c r="C8" i="13"/>
  <c r="D8" i="13" s="1"/>
  <c r="C38" i="13"/>
  <c r="D38" i="13" s="1"/>
  <c r="C19" i="13"/>
  <c r="D19" i="13" s="1"/>
  <c r="E19" i="13" s="1"/>
  <c r="C11" i="13"/>
  <c r="D11" i="13" s="1"/>
  <c r="E11" i="13" s="1"/>
  <c r="C14" i="13"/>
  <c r="D14" i="13" s="1"/>
  <c r="C44" i="13"/>
  <c r="D44" i="13" s="1"/>
  <c r="C36" i="13"/>
  <c r="D36" i="13" s="1"/>
  <c r="C21" i="13"/>
  <c r="D21" i="13" s="1"/>
  <c r="C6" i="13"/>
  <c r="D6" i="13" s="1"/>
  <c r="C61" i="13"/>
  <c r="D61" i="13" s="1"/>
  <c r="E61" i="13" s="1"/>
  <c r="C54" i="13"/>
  <c r="D54" i="13" s="1"/>
  <c r="C57" i="13"/>
  <c r="D57" i="13" s="1"/>
  <c r="C41" i="13"/>
  <c r="D41" i="13" s="1"/>
  <c r="C27" i="13"/>
  <c r="D27" i="13" s="1"/>
  <c r="C23" i="13"/>
  <c r="D23" i="13" s="1"/>
  <c r="C17" i="13"/>
  <c r="D17" i="13" s="1"/>
  <c r="C10" i="13"/>
  <c r="D10" i="13" s="1"/>
  <c r="C13" i="13"/>
  <c r="D13" i="13" s="1"/>
  <c r="C55" i="13"/>
  <c r="D55" i="13" s="1"/>
  <c r="C32" i="13"/>
  <c r="D32" i="13" s="1"/>
  <c r="F40" i="13"/>
  <c r="C40" i="13"/>
  <c r="D40" i="13" s="1"/>
  <c r="C49" i="13"/>
  <c r="D49" i="13" s="1"/>
  <c r="F49" i="13"/>
  <c r="C50" i="13"/>
  <c r="D50" i="13" s="1"/>
  <c r="C43" i="13"/>
  <c r="D43" i="13" s="1"/>
  <c r="C33" i="13"/>
  <c r="D33" i="13" s="1"/>
  <c r="C26" i="13"/>
  <c r="D26" i="13" s="1"/>
  <c r="C15" i="13"/>
  <c r="D15" i="13" s="1"/>
  <c r="C62" i="13"/>
  <c r="D62" i="13" s="1"/>
  <c r="C53" i="13"/>
  <c r="D53" i="13" s="1"/>
  <c r="C42" i="13"/>
  <c r="D42" i="13" s="1"/>
  <c r="C39" i="13"/>
  <c r="D39" i="13" s="1"/>
  <c r="C34" i="13"/>
  <c r="D34" i="13" s="1"/>
  <c r="C29" i="13"/>
  <c r="D29" i="13" s="1"/>
  <c r="C25" i="13"/>
  <c r="D25" i="13" s="1"/>
  <c r="C18" i="13"/>
  <c r="D18" i="13" s="1"/>
  <c r="C7" i="13"/>
  <c r="C58" i="13"/>
  <c r="D58" i="13" s="1"/>
  <c r="C47" i="13"/>
  <c r="F54" i="13"/>
  <c r="C56" i="13"/>
  <c r="D56" i="13" s="1"/>
  <c r="C35" i="13"/>
  <c r="D35" i="13" s="1"/>
  <c r="C16" i="13"/>
  <c r="D16" i="13" s="1"/>
  <c r="C2" i="13"/>
  <c r="D2" i="13" s="1"/>
  <c r="E48" i="13" l="1"/>
  <c r="E24" i="13"/>
  <c r="E4" i="13"/>
  <c r="E60" i="13"/>
  <c r="K35" i="13"/>
  <c r="K4" i="13"/>
  <c r="K12" i="13"/>
  <c r="K20" i="13"/>
  <c r="K28" i="13"/>
  <c r="K36" i="13"/>
  <c r="K44" i="13"/>
  <c r="K52" i="13"/>
  <c r="K60" i="13"/>
  <c r="K32" i="13"/>
  <c r="K48" i="13"/>
  <c r="K19" i="13"/>
  <c r="K5" i="13"/>
  <c r="K13" i="13"/>
  <c r="K21" i="13"/>
  <c r="K29" i="13"/>
  <c r="K37" i="13"/>
  <c r="K45" i="13"/>
  <c r="K53" i="13"/>
  <c r="K61" i="13"/>
  <c r="K24" i="13"/>
  <c r="K3" i="13"/>
  <c r="K43" i="13"/>
  <c r="K6" i="13"/>
  <c r="K14" i="13"/>
  <c r="K22" i="13"/>
  <c r="K30" i="13"/>
  <c r="K38" i="13"/>
  <c r="K46" i="13"/>
  <c r="K54" i="13"/>
  <c r="K62" i="13"/>
  <c r="K16" i="13"/>
  <c r="K56" i="13"/>
  <c r="K27" i="13"/>
  <c r="K7" i="13"/>
  <c r="K15" i="13"/>
  <c r="K23" i="13"/>
  <c r="K31" i="13"/>
  <c r="K39" i="13"/>
  <c r="K47" i="13"/>
  <c r="K55" i="13"/>
  <c r="K2" i="13"/>
  <c r="K8" i="13"/>
  <c r="K40" i="13"/>
  <c r="K11" i="13"/>
  <c r="K51" i="13"/>
  <c r="K9" i="13"/>
  <c r="K17" i="13"/>
  <c r="K25" i="13"/>
  <c r="K33" i="13"/>
  <c r="K41" i="13"/>
  <c r="K49" i="13"/>
  <c r="K57" i="13"/>
  <c r="K10" i="13"/>
  <c r="K26" i="13"/>
  <c r="K34" i="13"/>
  <c r="K42" i="13"/>
  <c r="K50" i="13"/>
  <c r="K58" i="13"/>
  <c r="K59" i="13"/>
  <c r="K18" i="13"/>
  <c r="E28" i="13"/>
  <c r="E6" i="13"/>
  <c r="E21" i="13"/>
  <c r="E5" i="13"/>
  <c r="E38" i="13"/>
  <c r="E46" i="13"/>
  <c r="E9" i="13"/>
  <c r="E13" i="13"/>
  <c r="E22" i="13"/>
  <c r="E36" i="13"/>
  <c r="E30" i="13"/>
  <c r="E14" i="13"/>
  <c r="E20" i="13"/>
  <c r="E44" i="13"/>
  <c r="E55" i="13"/>
  <c r="E42" i="13"/>
  <c r="E27" i="13"/>
  <c r="D7" i="13"/>
  <c r="E7" i="13" s="1"/>
  <c r="D47" i="13"/>
  <c r="E47" i="13" s="1"/>
  <c r="E32" i="13"/>
  <c r="E40" i="13"/>
  <c r="E23" i="13"/>
  <c r="E62" i="13"/>
  <c r="E58" i="13"/>
  <c r="E3" i="13"/>
  <c r="E26" i="13"/>
  <c r="E53" i="13"/>
  <c r="E59" i="13"/>
  <c r="E18" i="13"/>
  <c r="E34" i="13"/>
  <c r="E29" i="13"/>
  <c r="E8" i="13"/>
  <c r="E50" i="13"/>
  <c r="E54" i="13"/>
  <c r="E25" i="13"/>
  <c r="E56" i="13"/>
  <c r="E10" i="13"/>
  <c r="E41" i="13"/>
  <c r="E49" i="13"/>
  <c r="E17" i="13"/>
  <c r="E43" i="13"/>
  <c r="E57" i="13"/>
  <c r="E33" i="13"/>
  <c r="E15" i="13" l="1"/>
  <c r="E39" i="13"/>
  <c r="E35" i="13"/>
  <c r="E16" i="13"/>
  <c r="E2" i="13"/>
  <c r="AQ2" i="5" l="1"/>
  <c r="AL2" i="5"/>
  <c r="AH2" i="5"/>
  <c r="AI2" i="5" s="1"/>
  <c r="AG2" i="5"/>
  <c r="AA2" i="5"/>
  <c r="S2" i="5"/>
  <c r="N2" i="5"/>
  <c r="AS2" i="5" s="1"/>
  <c r="H2" i="5"/>
  <c r="AJ2" i="5" l="1"/>
  <c r="AK2" i="5" s="1"/>
  <c r="AC2" i="5"/>
  <c r="AB2" i="5" s="1"/>
  <c r="AD2" i="5" s="1"/>
  <c r="AF2" i="5" l="1"/>
  <c r="AE2" i="5"/>
  <c r="AM2" i="5" s="1"/>
  <c r="B3" i="21" l="1"/>
  <c r="H3" i="21" s="1"/>
  <c r="M49" i="13" l="1"/>
  <c r="N49" i="13" s="1"/>
  <c r="M15" i="13"/>
  <c r="N15" i="13" s="1"/>
  <c r="M47" i="13"/>
  <c r="N47" i="13" s="1"/>
  <c r="M12" i="13"/>
  <c r="N12" i="13" s="1"/>
  <c r="M43" i="13"/>
  <c r="N43" i="13" s="1"/>
  <c r="M10" i="13"/>
  <c r="N10" i="13" s="1"/>
  <c r="M40" i="13"/>
  <c r="N40" i="13" s="1"/>
  <c r="M9" i="13"/>
  <c r="N9" i="13" s="1"/>
  <c r="M33" i="13"/>
  <c r="N33" i="13" s="1"/>
  <c r="M61" i="13"/>
  <c r="N61" i="13" s="1"/>
  <c r="M23" i="13"/>
  <c r="N23" i="13" s="1"/>
  <c r="M54" i="13"/>
  <c r="N54" i="13" s="1"/>
  <c r="M22" i="13"/>
  <c r="N22" i="13" s="1"/>
  <c r="M53" i="13"/>
  <c r="N53" i="13" s="1"/>
  <c r="M16" i="13"/>
  <c r="N16" i="13" s="1"/>
  <c r="G59" i="13"/>
  <c r="G51" i="13"/>
  <c r="G43" i="13"/>
  <c r="G27" i="13"/>
  <c r="G19" i="13"/>
  <c r="G31" i="13"/>
  <c r="G23" i="13"/>
  <c r="G7" i="13"/>
  <c r="M62" i="13" l="1"/>
  <c r="M32" i="13"/>
  <c r="M5" i="13"/>
  <c r="M3" i="13"/>
  <c r="M35" i="13"/>
  <c r="M28" i="13"/>
  <c r="M14" i="13"/>
  <c r="M60" i="13"/>
  <c r="M38" i="13"/>
  <c r="M55" i="13"/>
  <c r="M18" i="13"/>
  <c r="M58" i="13"/>
  <c r="M29" i="13"/>
  <c r="M56" i="13"/>
  <c r="M48" i="13"/>
  <c r="M21" i="13"/>
  <c r="M11" i="13"/>
  <c r="M51" i="13"/>
  <c r="M36" i="13"/>
  <c r="M57" i="13"/>
  <c r="M42" i="13"/>
  <c r="N42" i="13" s="1"/>
  <c r="M6" i="13"/>
  <c r="M46" i="13"/>
  <c r="M41" i="13"/>
  <c r="M26" i="13"/>
  <c r="M45" i="13"/>
  <c r="M8" i="13"/>
  <c r="M25" i="13"/>
  <c r="M4" i="13"/>
  <c r="M37" i="13"/>
  <c r="N37" i="13" s="1"/>
  <c r="M19" i="13"/>
  <c r="M59" i="13"/>
  <c r="N59" i="13" s="1"/>
  <c r="M52" i="13"/>
  <c r="M7" i="13"/>
  <c r="M34" i="13"/>
  <c r="M24" i="13"/>
  <c r="M44" i="13"/>
  <c r="M27" i="13"/>
  <c r="M20" i="13"/>
  <c r="N20" i="13" s="1"/>
  <c r="M17" i="13"/>
  <c r="M30" i="13"/>
  <c r="M31" i="13"/>
  <c r="M50" i="13"/>
  <c r="M13" i="13"/>
  <c r="N13" i="13" s="1"/>
  <c r="M39" i="13"/>
  <c r="H44" i="13"/>
  <c r="I44" i="13" s="1"/>
  <c r="H31" i="13"/>
  <c r="I31" i="13" s="1"/>
  <c r="J31" i="13" s="1"/>
  <c r="L31" i="13" s="1"/>
  <c r="G44" i="13"/>
  <c r="G8" i="13"/>
  <c r="G52" i="13"/>
  <c r="G40" i="13"/>
  <c r="G36" i="13"/>
  <c r="H52" i="13"/>
  <c r="I52" i="13" s="1"/>
  <c r="H24" i="13"/>
  <c r="I24" i="13" s="1"/>
  <c r="H51" i="13"/>
  <c r="I51" i="13" s="1"/>
  <c r="J51" i="13" s="1"/>
  <c r="L51" i="13" s="1"/>
  <c r="G4" i="13"/>
  <c r="G47" i="13"/>
  <c r="H15" i="13"/>
  <c r="I15" i="13" s="1"/>
  <c r="G15" i="13"/>
  <c r="H59" i="13"/>
  <c r="I59" i="13" s="1"/>
  <c r="J59" i="13" s="1"/>
  <c r="L59" i="13" s="1"/>
  <c r="H11" i="13"/>
  <c r="I11" i="13" s="1"/>
  <c r="H35" i="13"/>
  <c r="I35" i="13" s="1"/>
  <c r="H20" i="13"/>
  <c r="I20" i="13" s="1"/>
  <c r="H16" i="13"/>
  <c r="I16" i="13" s="1"/>
  <c r="G39" i="13"/>
  <c r="H8" i="13"/>
  <c r="I8" i="13" s="1"/>
  <c r="H43" i="13"/>
  <c r="I43" i="13" s="1"/>
  <c r="J43" i="13" s="1"/>
  <c r="L43" i="13" s="1"/>
  <c r="G55" i="13"/>
  <c r="G11" i="13"/>
  <c r="G20" i="13"/>
  <c r="G16" i="13"/>
  <c r="H23" i="13"/>
  <c r="I23" i="13" s="1"/>
  <c r="J23" i="13" s="1"/>
  <c r="L23" i="13" s="1"/>
  <c r="H27" i="13"/>
  <c r="I27" i="13" s="1"/>
  <c r="J27" i="13" s="1"/>
  <c r="L27" i="13" s="1"/>
  <c r="H55" i="13"/>
  <c r="I55" i="13" s="1"/>
  <c r="H4" i="13"/>
  <c r="I4" i="13" s="1"/>
  <c r="G24" i="13"/>
  <c r="H7" i="13"/>
  <c r="I7" i="13" s="1"/>
  <c r="J7" i="13" s="1"/>
  <c r="L7" i="13" s="1"/>
  <c r="G35" i="13"/>
  <c r="H19" i="13"/>
  <c r="I19" i="13" s="1"/>
  <c r="J19" i="13" s="1"/>
  <c r="L19" i="13" s="1"/>
  <c r="H39" i="13"/>
  <c r="I39" i="13" s="1"/>
  <c r="H47" i="13"/>
  <c r="I47" i="13" s="1"/>
  <c r="H36" i="13"/>
  <c r="I36" i="13" s="1"/>
  <c r="H48" i="13"/>
  <c r="I48" i="13" s="1"/>
  <c r="G48" i="13"/>
  <c r="G32" i="13"/>
  <c r="G30" i="13"/>
  <c r="G62" i="13"/>
  <c r="G14" i="13"/>
  <c r="G53" i="13"/>
  <c r="G6" i="13"/>
  <c r="G46" i="13"/>
  <c r="G22" i="13"/>
  <c r="G28" i="13"/>
  <c r="G45" i="13"/>
  <c r="G5" i="13"/>
  <c r="G57" i="13"/>
  <c r="G3" i="13"/>
  <c r="G18" i="13"/>
  <c r="G54" i="13"/>
  <c r="G25" i="13"/>
  <c r="G56" i="13"/>
  <c r="G58" i="13"/>
  <c r="G41" i="13"/>
  <c r="G49" i="13"/>
  <c r="G61" i="13"/>
  <c r="H61" i="13"/>
  <c r="I61" i="13" s="1"/>
  <c r="G21" i="13"/>
  <c r="G42" i="13"/>
  <c r="G26" i="13"/>
  <c r="G29" i="13"/>
  <c r="G13" i="13"/>
  <c r="H10" i="13"/>
  <c r="I10" i="13" s="1"/>
  <c r="G10" i="13"/>
  <c r="G38" i="13"/>
  <c r="G33" i="13"/>
  <c r="G17" i="13"/>
  <c r="G37" i="13"/>
  <c r="G34" i="13"/>
  <c r="H34" i="13"/>
  <c r="I34" i="13" s="1"/>
  <c r="G50" i="13"/>
  <c r="H50" i="13"/>
  <c r="I50" i="13" s="1"/>
  <c r="G12" i="13"/>
  <c r="N31" i="13" l="1"/>
  <c r="J8" i="13"/>
  <c r="L8" i="13" s="1"/>
  <c r="N8" i="13" s="1"/>
  <c r="M2" i="13"/>
  <c r="J39" i="13"/>
  <c r="L39" i="13" s="1"/>
  <c r="N39" i="13" s="1"/>
  <c r="J20" i="13"/>
  <c r="L20" i="13" s="1"/>
  <c r="J44" i="13"/>
  <c r="L44" i="13" s="1"/>
  <c r="N44" i="13" s="1"/>
  <c r="J35" i="13"/>
  <c r="L35" i="13" s="1"/>
  <c r="N35" i="13" s="1"/>
  <c r="J11" i="13"/>
  <c r="L11" i="13" s="1"/>
  <c r="N11" i="13" s="1"/>
  <c r="J48" i="13"/>
  <c r="L48" i="13" s="1"/>
  <c r="N48" i="13" s="1"/>
  <c r="J16" i="13"/>
  <c r="L16" i="13" s="1"/>
  <c r="J15" i="13"/>
  <c r="L15" i="13" s="1"/>
  <c r="J4" i="13"/>
  <c r="L4" i="13" s="1"/>
  <c r="N4" i="13" s="1"/>
  <c r="N27" i="13"/>
  <c r="N7" i="13"/>
  <c r="N19" i="13"/>
  <c r="H21" i="13"/>
  <c r="I21" i="13" s="1"/>
  <c r="J21" i="13" s="1"/>
  <c r="L21" i="13" s="1"/>
  <c r="H53" i="13"/>
  <c r="I53" i="13" s="1"/>
  <c r="J53" i="13" s="1"/>
  <c r="L53" i="13" s="1"/>
  <c r="J50" i="13"/>
  <c r="L50" i="13" s="1"/>
  <c r="H25" i="13"/>
  <c r="I25" i="13" s="1"/>
  <c r="J25" i="13" s="1"/>
  <c r="L25" i="13" s="1"/>
  <c r="H3" i="13"/>
  <c r="I3" i="13" s="1"/>
  <c r="J3" i="13" s="1"/>
  <c r="L3" i="13" s="1"/>
  <c r="H56" i="13"/>
  <c r="I56" i="13" s="1"/>
  <c r="J56" i="13" s="1"/>
  <c r="L56" i="13" s="1"/>
  <c r="H17" i="13"/>
  <c r="I17" i="13" s="1"/>
  <c r="J17" i="13" s="1"/>
  <c r="L17" i="13" s="1"/>
  <c r="H32" i="13"/>
  <c r="I32" i="13" s="1"/>
  <c r="J32" i="13" s="1"/>
  <c r="L32" i="13" s="1"/>
  <c r="G9" i="13"/>
  <c r="H60" i="13"/>
  <c r="I60" i="13" s="1"/>
  <c r="H22" i="13"/>
  <c r="I22" i="13" s="1"/>
  <c r="J22" i="13" s="1"/>
  <c r="L22" i="13" s="1"/>
  <c r="N51" i="13"/>
  <c r="H30" i="13"/>
  <c r="I30" i="13" s="1"/>
  <c r="J30" i="13" s="1"/>
  <c r="L30" i="13" s="1"/>
  <c r="H13" i="13"/>
  <c r="I13" i="13" s="1"/>
  <c r="J13" i="13" s="1"/>
  <c r="L13" i="13" s="1"/>
  <c r="H28" i="13"/>
  <c r="I28" i="13" s="1"/>
  <c r="J28" i="13" s="1"/>
  <c r="L28" i="13" s="1"/>
  <c r="H29" i="13"/>
  <c r="I29" i="13" s="1"/>
  <c r="J29" i="13" s="1"/>
  <c r="L29" i="13" s="1"/>
  <c r="H14" i="13"/>
  <c r="I14" i="13" s="1"/>
  <c r="J14" i="13" s="1"/>
  <c r="L14" i="13" s="1"/>
  <c r="G2" i="13"/>
  <c r="G60" i="13"/>
  <c r="H54" i="13"/>
  <c r="I54" i="13" s="1"/>
  <c r="J54" i="13" s="1"/>
  <c r="L54" i="13" s="1"/>
  <c r="H5" i="13"/>
  <c r="I5" i="13" s="1"/>
  <c r="J5" i="13" s="1"/>
  <c r="L5" i="13" s="1"/>
  <c r="J24" i="13"/>
  <c r="L24" i="13" s="1"/>
  <c r="H40" i="13"/>
  <c r="I40" i="13" s="1"/>
  <c r="J40" i="13" s="1"/>
  <c r="L40" i="13" s="1"/>
  <c r="H9" i="13"/>
  <c r="I9" i="13" s="1"/>
  <c r="J34" i="13"/>
  <c r="L34" i="13" s="1"/>
  <c r="H38" i="13"/>
  <c r="I38" i="13" s="1"/>
  <c r="J38" i="13" s="1"/>
  <c r="L38" i="13" s="1"/>
  <c r="H26" i="13"/>
  <c r="I26" i="13" s="1"/>
  <c r="J26" i="13" s="1"/>
  <c r="L26" i="13" s="1"/>
  <c r="J61" i="13"/>
  <c r="L61" i="13" s="1"/>
  <c r="H46" i="13"/>
  <c r="I46" i="13" s="1"/>
  <c r="J46" i="13" s="1"/>
  <c r="L46" i="13" s="1"/>
  <c r="H62" i="13"/>
  <c r="I62" i="13" s="1"/>
  <c r="J62" i="13" s="1"/>
  <c r="L62" i="13" s="1"/>
  <c r="N62" i="13" s="1"/>
  <c r="J36" i="13"/>
  <c r="L36" i="13" s="1"/>
  <c r="J52" i="13"/>
  <c r="L52" i="13" s="1"/>
  <c r="H6" i="13"/>
  <c r="I6" i="13" s="1"/>
  <c r="J6" i="13" s="1"/>
  <c r="L6" i="13" s="1"/>
  <c r="H41" i="13"/>
  <c r="I41" i="13" s="1"/>
  <c r="J41" i="13" s="1"/>
  <c r="L41" i="13" s="1"/>
  <c r="N41" i="13" s="1"/>
  <c r="H33" i="13"/>
  <c r="I33" i="13" s="1"/>
  <c r="J33" i="13" s="1"/>
  <c r="L33" i="13" s="1"/>
  <c r="H57" i="13"/>
  <c r="I57" i="13" s="1"/>
  <c r="J57" i="13" s="1"/>
  <c r="L57" i="13" s="1"/>
  <c r="H12" i="13"/>
  <c r="I12" i="13" s="1"/>
  <c r="J12" i="13" s="1"/>
  <c r="L12" i="13" s="1"/>
  <c r="H37" i="13"/>
  <c r="I37" i="13" s="1"/>
  <c r="J37" i="13" s="1"/>
  <c r="L37" i="13" s="1"/>
  <c r="J10" i="13"/>
  <c r="L10" i="13" s="1"/>
  <c r="H49" i="13"/>
  <c r="I49" i="13" s="1"/>
  <c r="J49" i="13" s="1"/>
  <c r="L49" i="13" s="1"/>
  <c r="H58" i="13"/>
  <c r="I58" i="13" s="1"/>
  <c r="J58" i="13" s="1"/>
  <c r="L58" i="13" s="1"/>
  <c r="N58" i="13" s="1"/>
  <c r="H18" i="13"/>
  <c r="I18" i="13" s="1"/>
  <c r="J18" i="13" s="1"/>
  <c r="L18" i="13" s="1"/>
  <c r="N18" i="13" s="1"/>
  <c r="H45" i="13"/>
  <c r="I45" i="13" s="1"/>
  <c r="J45" i="13" s="1"/>
  <c r="L45" i="13" s="1"/>
  <c r="J55" i="13"/>
  <c r="L55" i="13" s="1"/>
  <c r="J47" i="13"/>
  <c r="L47" i="13" s="1"/>
  <c r="H42" i="13"/>
  <c r="I42" i="13" s="1"/>
  <c r="J42" i="13" s="1"/>
  <c r="L42" i="13" s="1"/>
  <c r="H2" i="13"/>
  <c r="I2" i="13" s="1"/>
  <c r="J2" i="13" l="1"/>
  <c r="L2" i="13" s="1"/>
  <c r="N2" i="13" s="1"/>
  <c r="N32" i="13"/>
  <c r="N6" i="13"/>
  <c r="N28" i="13"/>
  <c r="N38" i="13"/>
  <c r="N46" i="13"/>
  <c r="N17" i="13"/>
  <c r="N26" i="13"/>
  <c r="N14" i="13"/>
  <c r="N29" i="13"/>
  <c r="N45" i="13"/>
  <c r="N36" i="13"/>
  <c r="N21" i="13"/>
  <c r="N55" i="13"/>
  <c r="N56" i="13"/>
  <c r="N25" i="13"/>
  <c r="N3" i="13"/>
  <c r="J9" i="13"/>
  <c r="L9" i="13" s="1"/>
  <c r="N50" i="13"/>
  <c r="N30" i="13"/>
  <c r="N57" i="13"/>
  <c r="N5" i="13"/>
  <c r="N34" i="13"/>
  <c r="N24" i="13"/>
  <c r="N52" i="13"/>
  <c r="J60" i="13"/>
  <c r="L60" i="13" s="1"/>
  <c r="AN2" i="5"/>
  <c r="AO2" i="5" s="1"/>
  <c r="AP2" i="5" s="1"/>
  <c r="AR2" i="5" s="1"/>
  <c r="AU2" i="5" s="1"/>
  <c r="AV2" i="5" s="1"/>
  <c r="AW2" i="5" s="1"/>
  <c r="N60" i="13" l="1"/>
  <c r="Q66" i="13" s="1"/>
  <c r="Q65" i="13"/>
  <c r="AT2" i="5"/>
  <c r="Q27" i="13" l="1"/>
  <c r="O19" i="13"/>
  <c r="O39" i="13"/>
  <c r="Q35" i="13"/>
  <c r="O4" i="13"/>
  <c r="Q19" i="13"/>
  <c r="O27" i="13"/>
  <c r="Q51" i="13"/>
  <c r="Q15" i="13"/>
  <c r="Q7" i="13"/>
  <c r="Q8" i="13"/>
  <c r="Q48" i="13"/>
  <c r="O8" i="13"/>
  <c r="Q59" i="13"/>
  <c r="Q16" i="13"/>
  <c r="Q23" i="13"/>
  <c r="Q31" i="13"/>
  <c r="Q39" i="13"/>
  <c r="Q4" i="13"/>
  <c r="Q43" i="13"/>
  <c r="Q11" i="13"/>
  <c r="Q20" i="13"/>
  <c r="Q44" i="13"/>
  <c r="Q18" i="13"/>
  <c r="Q38" i="13"/>
  <c r="Q17" i="13"/>
  <c r="O14" i="13"/>
  <c r="Q62" i="13"/>
  <c r="Q54" i="13"/>
  <c r="Q56" i="13"/>
  <c r="O30" i="13"/>
  <c r="Q34" i="13"/>
  <c r="Q52" i="13"/>
  <c r="Q61" i="13"/>
  <c r="O17" i="13"/>
  <c r="Q21" i="13"/>
  <c r="O56" i="13"/>
  <c r="Q41" i="13"/>
  <c r="Q10" i="13"/>
  <c r="O34" i="13"/>
  <c r="Q32" i="13"/>
  <c r="Q42" i="13"/>
  <c r="Q29" i="13"/>
  <c r="Q2" i="13"/>
  <c r="O21" i="13"/>
  <c r="Q57" i="13"/>
  <c r="Q3" i="13"/>
  <c r="O32" i="13"/>
  <c r="Q46" i="13"/>
  <c r="Q37" i="13"/>
  <c r="Q47" i="13"/>
  <c r="Q25" i="13"/>
  <c r="Q50" i="13"/>
  <c r="O57" i="13"/>
  <c r="Q24" i="13"/>
  <c r="Q49" i="13"/>
  <c r="Q6" i="13"/>
  <c r="Q33" i="13"/>
  <c r="Q12" i="13"/>
  <c r="Q36" i="13"/>
  <c r="Q58" i="13"/>
  <c r="O50" i="13"/>
  <c r="Q14" i="13"/>
  <c r="Q13" i="13"/>
  <c r="Q26" i="13"/>
  <c r="Q45" i="13"/>
  <c r="O36" i="13"/>
  <c r="O58" i="13"/>
  <c r="Q53" i="13"/>
  <c r="Q5" i="13"/>
  <c r="Q30" i="13"/>
  <c r="Q28" i="13"/>
  <c r="Q40" i="13"/>
  <c r="O45" i="13"/>
  <c r="Q55" i="13"/>
  <c r="Q22" i="13"/>
  <c r="O5" i="13"/>
  <c r="O60" i="13"/>
  <c r="Q9" i="13"/>
  <c r="Q60" i="13"/>
  <c r="Q69" i="13" l="1"/>
  <c r="Q68" i="13"/>
  <c r="P50" i="13" l="1"/>
  <c r="P17" i="13"/>
  <c r="P27" i="13"/>
  <c r="P58" i="13"/>
  <c r="P14" i="13"/>
  <c r="P21" i="13"/>
  <c r="P19" i="13"/>
  <c r="P8" i="13"/>
  <c r="P36" i="13"/>
  <c r="P4" i="13"/>
  <c r="P34" i="13"/>
  <c r="P45" i="13"/>
  <c r="P5" i="13"/>
  <c r="P57" i="13"/>
  <c r="P32" i="13"/>
  <c r="P56" i="13"/>
  <c r="P30" i="13"/>
  <c r="P60" i="13"/>
  <c r="P39" i="13"/>
  <c r="D3" i="21" l="1"/>
  <c r="G3" i="21" s="1"/>
  <c r="I3" i="21" l="1"/>
  <c r="J3"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Chen, Brandon@DHCS</author>
  </authors>
  <commentList>
    <comment ref="S18" authorId="0" shapeId="0" xr:uid="{66E3E031-23F7-469A-BEFB-8FBB768489BD}">
      <text>
        <r>
          <rPr>
            <b/>
            <sz val="9"/>
            <color indexed="81"/>
            <rFont val="Tahoma"/>
            <family val="2"/>
          </rPr>
          <t>Chen, Brandon@DHCS:</t>
        </r>
        <r>
          <rPr>
            <sz val="9"/>
            <color indexed="81"/>
            <rFont val="Tahoma"/>
            <family val="2"/>
          </rPr>
          <t xml:space="preserve">
Calculated by adding $37.07, ancillary/patient days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Chen, Brandon@DHCS</author>
  </authors>
  <commentList>
    <comment ref="AG1" authorId="0" shapeId="0" xr:uid="{00A278D9-BC9D-4D69-9E9A-737B1F603525}">
      <text>
        <r>
          <rPr>
            <b/>
            <sz val="9"/>
            <color indexed="81"/>
            <rFont val="Tahoma"/>
            <family val="2"/>
          </rPr>
          <t>Chen, Brandon@DHCS:</t>
        </r>
        <r>
          <rPr>
            <sz val="9"/>
            <color indexed="81"/>
            <rFont val="Tahoma"/>
            <family val="2"/>
          </rPr>
          <t xml:space="preserve">
ADJUSTED CAPITAL COSTS</t>
        </r>
      </text>
    </comment>
    <comment ref="AH1" authorId="0" shapeId="0" xr:uid="{26225626-78D9-4C99-88DB-DC7D68FDC468}">
      <text>
        <r>
          <rPr>
            <b/>
            <sz val="9"/>
            <color indexed="81"/>
            <rFont val="Tahoma"/>
            <family val="2"/>
          </rPr>
          <t>Chen, Brandon@DHCS:</t>
        </r>
        <r>
          <rPr>
            <sz val="9"/>
            <color indexed="81"/>
            <rFont val="Tahoma"/>
            <family val="2"/>
          </rPr>
          <t xml:space="preserve">
ADJUSTED TOTAL COSTS
</t>
        </r>
      </text>
    </comment>
    <comment ref="AI1" authorId="0" shapeId="0" xr:uid="{638C3B31-DE8D-42DD-BCD3-42290231840D}">
      <text>
        <r>
          <rPr>
            <b/>
            <sz val="9"/>
            <color indexed="81"/>
            <rFont val="Tahoma"/>
            <family val="2"/>
          </rPr>
          <t>Chen, Brandon@DHCS:</t>
        </r>
        <r>
          <rPr>
            <sz val="9"/>
            <color indexed="81"/>
            <rFont val="Tahoma"/>
            <family val="2"/>
          </rPr>
          <t xml:space="preserve">
ADJUSTED NON-CAPITAL COSTS=ADJUSTED TOTAL COSTS minus ADJUSTED CAPITAL COSTS</t>
        </r>
      </text>
    </comment>
    <comment ref="AJ1" authorId="0" shapeId="0" xr:uid="{15FA5F29-F0CB-42C7-9149-361BD17AD364}">
      <text>
        <r>
          <rPr>
            <b/>
            <sz val="9"/>
            <color indexed="81"/>
            <rFont val="Tahoma"/>
            <family val="2"/>
          </rPr>
          <t>Chen, Brandon@DHCS:</t>
        </r>
        <r>
          <rPr>
            <sz val="9"/>
            <color indexed="81"/>
            <rFont val="Tahoma"/>
            <family val="2"/>
          </rPr>
          <t xml:space="preserve">
ADJUSTED SWB COSTS=ADJUSTED NON-CAPITAL COSTS times SWB PERCENT OF ADJUSTED NON-CAPITAL COSTS</t>
        </r>
      </text>
    </comment>
    <comment ref="AK1" authorId="0" shapeId="0" xr:uid="{0BEDD96B-BB82-4659-A53B-6D8150094696}">
      <text>
        <r>
          <rPr>
            <b/>
            <sz val="9"/>
            <color indexed="81"/>
            <rFont val="Tahoma"/>
            <family val="2"/>
          </rPr>
          <t>Chen, Brandon@DHCS:</t>
        </r>
        <r>
          <rPr>
            <sz val="9"/>
            <color indexed="81"/>
            <rFont val="Tahoma"/>
            <family val="2"/>
          </rPr>
          <t xml:space="preserve">
ADJUSTED ALL OTHER (AO) COSTS=ADJUSTED NON-CAPITAL COSTS minus ADJUSTED SWB COSTS</t>
        </r>
      </text>
    </comment>
    <comment ref="AL1" authorId="0" shapeId="0" xr:uid="{421E0BFD-7BBF-4CC2-911F-A122E7192B57}">
      <text>
        <r>
          <rPr>
            <b/>
            <sz val="9"/>
            <color indexed="81"/>
            <rFont val="Tahoma"/>
            <family val="2"/>
          </rPr>
          <t>Chen, Brandon@DHCS:</t>
        </r>
        <r>
          <rPr>
            <sz val="9"/>
            <color indexed="81"/>
            <rFont val="Tahoma"/>
            <family val="2"/>
          </rPr>
          <t xml:space="preserve">
PROJECTED CAPITAL COSTS=ADJUSTED CAPITAL COSTS times the CAPITAL COST UPDATE</t>
        </r>
      </text>
    </comment>
    <comment ref="AM1" authorId="0" shapeId="0" xr:uid="{DD3E32DF-FA30-47C8-BB8F-92057A65BF5E}">
      <text>
        <r>
          <rPr>
            <b/>
            <sz val="9"/>
            <color indexed="81"/>
            <rFont val="Tahoma"/>
            <family val="2"/>
          </rPr>
          <t>Chen, Brandon@DHCS:</t>
        </r>
        <r>
          <rPr>
            <sz val="9"/>
            <color indexed="81"/>
            <rFont val="Tahoma"/>
            <family val="2"/>
          </rPr>
          <t xml:space="preserve">
PROJECTED SWB COSTS=ADJUSTED SWB COSTS times the SWB UPDATE</t>
        </r>
      </text>
    </comment>
    <comment ref="AN1" authorId="0" shapeId="0" xr:uid="{EC8D725B-C1B6-4BE8-AC98-F5D37D2FB01D}">
      <text>
        <r>
          <rPr>
            <b/>
            <sz val="9"/>
            <color indexed="81"/>
            <rFont val="Tahoma"/>
            <family val="2"/>
          </rPr>
          <t>Chen, Brandon@DHCS:</t>
        </r>
        <r>
          <rPr>
            <sz val="9"/>
            <color indexed="81"/>
            <rFont val="Tahoma"/>
            <family val="2"/>
          </rPr>
          <t xml:space="preserve">
UPDATED AO COST without PRIOR LICENSE FEES=ADJUSTED AO COSTS less PRIOR LICENSE FEES, times the AO UPDATE</t>
        </r>
      </text>
    </comment>
    <comment ref="AO1" authorId="0" shapeId="0" xr:uid="{50D00959-1A73-492A-A231-1F1DF132CE4F}">
      <text>
        <r>
          <rPr>
            <b/>
            <sz val="9"/>
            <color indexed="81"/>
            <rFont val="Tahoma"/>
            <family val="2"/>
          </rPr>
          <t>Chen, Brandon@DHCS:</t>
        </r>
        <r>
          <rPr>
            <sz val="9"/>
            <color indexed="81"/>
            <rFont val="Tahoma"/>
            <family val="2"/>
          </rPr>
          <t xml:space="preserve">
PROJECTED ALL OTHER COSTS=ITEM 17 plus REVISED LICENSE FEES</t>
        </r>
      </text>
    </comment>
    <comment ref="AP1" authorId="0" shapeId="0" xr:uid="{8729D132-C52B-4C2F-9B74-EF6717E7A9B7}">
      <text>
        <r>
          <rPr>
            <b/>
            <sz val="9"/>
            <color indexed="81"/>
            <rFont val="Tahoma"/>
            <family val="2"/>
          </rPr>
          <t>Chen, Brandon@DHCS:</t>
        </r>
        <r>
          <rPr>
            <sz val="9"/>
            <color indexed="81"/>
            <rFont val="Tahoma"/>
            <family val="2"/>
          </rPr>
          <t xml:space="preserve">
PROJECTED COMBINED DAILY COST=COMBINED PROJECTED COSTS divided by TOTAL PATIENT DAYS</t>
        </r>
      </text>
    </comment>
    <comment ref="AQ1" authorId="0" shapeId="0" xr:uid="{640C7EA6-DC22-40AD-9E53-3FE93388A732}">
      <text>
        <r>
          <rPr>
            <b/>
            <sz val="9"/>
            <color indexed="81"/>
            <rFont val="Tahoma"/>
            <family val="2"/>
          </rPr>
          <t>Chen, Brandon@DHCS:</t>
        </r>
        <r>
          <rPr>
            <sz val="9"/>
            <color indexed="81"/>
            <rFont val="Tahoma"/>
            <family val="2"/>
          </rPr>
          <t xml:space="preserve">
SUM OF PER DIEM ADD-ONs</t>
        </r>
      </text>
    </comment>
    <comment ref="AR1" authorId="0" shapeId="0" xr:uid="{7A6F927F-957D-42C1-BDB2-68E2343C36D0}">
      <text>
        <r>
          <rPr>
            <b/>
            <sz val="9"/>
            <color indexed="81"/>
            <rFont val="Tahoma"/>
            <family val="2"/>
          </rPr>
          <t>Chen, Brandon@DHCS:</t>
        </r>
        <r>
          <rPr>
            <sz val="9"/>
            <color indexed="81"/>
            <rFont val="Tahoma"/>
            <family val="2"/>
          </rPr>
          <t xml:space="preserve">
PROJECTED TOTAL DAILY COSTS=ITEM 19+ITEM 20</t>
        </r>
      </text>
    </comment>
  </commentList>
</comments>
</file>

<file path=xl/sharedStrings.xml><?xml version="1.0" encoding="utf-8"?>
<sst xmlns="http://schemas.openxmlformats.org/spreadsheetml/2006/main" count="1052" uniqueCount="465">
  <si>
    <t>Press TAB to advance to the next cell. Press UP, DOWN, LEFT, or RIGHT ARROW to move cell by cell through the document.</t>
  </si>
  <si>
    <t>DP/NF-B Rate Study 2026 - Disclaimer</t>
  </si>
  <si>
    <t>This document contains draft guidance for public review for Distinct Part Nursing Facility Level-B (DP/NF-B) in accordance with the Medi-Cal Long-Term Care Reimbursement Act (Welfare &amp; Institutions Code Section 14105), the California Medicaid State Plan (Attachment 4.19-D), and CCR, Title 22, Section 51511. This information has been prepared for public review purposes only and should not be relied upon for any other purpose.</t>
  </si>
  <si>
    <t>PUBLIC REVIEW DRAFT - SEE DISCLAIMER</t>
  </si>
  <si>
    <t>CY 2026 DP/NF-B Ratesetting Data Sources &amp; Calculations</t>
  </si>
  <si>
    <t>The DP/NF-B rate is the lower of a facility's calculated cost per day or the current hold harmless median of the calculated cost per day of all facilities that have at least 20 percent Medi-Cal days.  This page describes the data sources and calculation steps used to develop facility rates in accordance with the Medi-Cal Long-Term Care Reimbursement Act (Welfare &amp; Institutions Code Section 14105), the California Medicaid State Plan (Attachment 4.19-D), and CCR, Title 22, Section 51511.</t>
  </si>
  <si>
    <t>Section 1. Facility Data</t>
  </si>
  <si>
    <t>Column</t>
  </si>
  <si>
    <t>Description</t>
  </si>
  <si>
    <t>A</t>
  </si>
  <si>
    <t>Facility Name.</t>
  </si>
  <si>
    <t>B</t>
  </si>
  <si>
    <t>National Provider Identifier (NPI).</t>
  </si>
  <si>
    <t>C</t>
  </si>
  <si>
    <t>Rural Swing Bed Indicator.</t>
  </si>
  <si>
    <t>D</t>
  </si>
  <si>
    <t>Fiscal Year Beginning.</t>
  </si>
  <si>
    <t>E</t>
  </si>
  <si>
    <t>Fiscal Year End (FYE).</t>
  </si>
  <si>
    <t>F</t>
  </si>
  <si>
    <t>Months Update – months to update from midpoint of Audit/Cost report to midpoint of rate period.</t>
  </si>
  <si>
    <t>G</t>
  </si>
  <si>
    <t>Total Days from Audit/Cost Report (DPNF Sch 1 – Line 4).</t>
  </si>
  <si>
    <t>H</t>
  </si>
  <si>
    <t>Medi-Cal Days Fee For Service Days (DPNF Sch 1 – Line 15).</t>
  </si>
  <si>
    <t>I</t>
  </si>
  <si>
    <t>Medi-Cal Managed Care Days (DPNF Sch 1 – Line 16).</t>
  </si>
  <si>
    <t>J</t>
  </si>
  <si>
    <t>Other Days (Total Days – FFS Days – Managed Care Days).</t>
  </si>
  <si>
    <t>K</t>
  </si>
  <si>
    <t>Licensed Beds.</t>
  </si>
  <si>
    <t>Section 2. Capital Costs</t>
  </si>
  <si>
    <t>L</t>
  </si>
  <si>
    <t>Sum of Capital Costs consists of Direct Capital Related Costs (DPNF Sch 1 Line 17), and Indirect Capital Related Cost (DPNF Sch 1 Line 18).</t>
  </si>
  <si>
    <t>Section 3. Salaries, Wages, Benefits (SWB), SB616</t>
  </si>
  <si>
    <t>M</t>
  </si>
  <si>
    <t>Sum of SWB Costs consists of Facility Cost x SWB Ratio (SWB as a % of the Total Cost). Capital Cost excluded.</t>
  </si>
  <si>
    <t>N</t>
  </si>
  <si>
    <t>SWB Inflation Factor from DOF Economic Forecast for Labor.</t>
  </si>
  <si>
    <t>O</t>
  </si>
  <si>
    <t>SWB Inflated Cost - Multiply SWB by the SWB Inflation Factor.</t>
  </si>
  <si>
    <t>P</t>
  </si>
  <si>
    <t>SB 616 Adjustment - Additional 16 hours per 2080 hours in a 12-month period, effective 1/1/2024.  Inflated SWB Cost times .0076.</t>
  </si>
  <si>
    <t>Section 4. All Other Costs</t>
  </si>
  <si>
    <t>Q</t>
  </si>
  <si>
    <t xml:space="preserve">All Other Costs (Facility Cost less SWB, less Capital Cost). </t>
  </si>
  <si>
    <t>R</t>
  </si>
  <si>
    <t>All Other Cost Inflation factor based on the California Consumer Price Index (CCPI).</t>
  </si>
  <si>
    <t>S</t>
  </si>
  <si>
    <t>Prior Year License Fee.</t>
  </si>
  <si>
    <t>T</t>
  </si>
  <si>
    <t>Revised License Fee.</t>
  </si>
  <si>
    <t>U</t>
  </si>
  <si>
    <t>All Other Cost inflated.  All other Cost less prior year license fee, plus current license fee times inflation factor.</t>
  </si>
  <si>
    <t>Section 5. Total Projected Costs</t>
  </si>
  <si>
    <t>V</t>
  </si>
  <si>
    <t>Sum of Capital Costs (Not Inflated), SWB Inflated &amp; All Other Cost inflated.</t>
  </si>
  <si>
    <t>Section 6. SB 616 Adjustment</t>
  </si>
  <si>
    <t>W</t>
  </si>
  <si>
    <t>Adding 16 hours per 12 months as a SWB cost (SB616 Adjustment/Days).</t>
  </si>
  <si>
    <t>Section 7. SB525 Add-On</t>
  </si>
  <si>
    <t>X</t>
  </si>
  <si>
    <t>SB 525 (SB159) Add-Ons</t>
  </si>
  <si>
    <t>Section 8. Projected Cost per Day</t>
  </si>
  <si>
    <t>Y</t>
  </si>
  <si>
    <t>Total projected cost divided by total days, plus Mini Wage Add-on, plus SB616 Add-on.</t>
  </si>
  <si>
    <t>Section 9. Class Median Calculation</t>
  </si>
  <si>
    <t>Z</t>
  </si>
  <si>
    <t>Medi-Cal Days Percentage (Medi-Cal Days divided by Total Days).</t>
  </si>
  <si>
    <t>AA</t>
  </si>
  <si>
    <t>20% or above Medi-Cal Days facilities are included in the median calculation.</t>
  </si>
  <si>
    <t>AB</t>
  </si>
  <si>
    <t>Compare the projected rate with the median to get the lesser of.</t>
  </si>
  <si>
    <t>AC</t>
  </si>
  <si>
    <t>Apply projected rate if the facility has Rural Swing Beds.</t>
  </si>
  <si>
    <t>AD</t>
  </si>
  <si>
    <t>Final Swing Bed Rate (the median of all RSB rates).</t>
  </si>
  <si>
    <t>AE</t>
  </si>
  <si>
    <t>Hold Harmless Rates (the highest historic rate for a facility).</t>
  </si>
  <si>
    <t>AF</t>
  </si>
  <si>
    <t>Final DP/NF-B Per Diem Rate.</t>
  </si>
  <si>
    <t>AG</t>
  </si>
  <si>
    <t>Final DP/NF-B Bedhold Per Diem Rate.</t>
  </si>
  <si>
    <t>CY 2026 Median</t>
  </si>
  <si>
    <t>2026 Hold Harmless Median</t>
  </si>
  <si>
    <t>2026 DPNF-B Rates</t>
  </si>
  <si>
    <t xml:space="preserve">FACILITY NAME </t>
  </si>
  <si>
    <t>NPI</t>
  </si>
  <si>
    <t>Rev CD/Value CD Amt (0101-01)</t>
  </si>
  <si>
    <t>Rev CD/Value CD Amt (0180-02)</t>
  </si>
  <si>
    <t>Rev CD/Value CD Amt (0180-03)</t>
  </si>
  <si>
    <t>ALAMEDA CO MEDICAL CENTER</t>
  </si>
  <si>
    <t>ALAMEDA HOSPITAL</t>
  </si>
  <si>
    <t>BARTON MEMORIAL HOSPITAL</t>
  </si>
  <si>
    <t>BEAR VALLEY COMM HOSP</t>
  </si>
  <si>
    <t>BRUCEVILLE TERRACE of METHODIST HOSPITAL</t>
  </si>
  <si>
    <t>CALIFORNIA PACIFIC M C-DAVIES CAMPUS</t>
  </si>
  <si>
    <t>CATALINA ISLAND MEDICAL CENTER</t>
  </si>
  <si>
    <t xml:space="preserve">CHAPMAN MEDICAL CENTER </t>
  </si>
  <si>
    <t>COLUSA MEDICAL CENTER</t>
  </si>
  <si>
    <t>COMMUNITY HOSPITAL SAN BERNARDINO</t>
  </si>
  <si>
    <t>COMMUNITY SUBACUTE AND TRANSITIONAL CARE</t>
  </si>
  <si>
    <t>DELANO COMMUNITY HOSPITAL</t>
  </si>
  <si>
    <t>DESERT REGIONAL MED CNTR</t>
  </si>
  <si>
    <t>EASTERN PLUMAS DISTRICT</t>
  </si>
  <si>
    <t>EDGEMOOR GERIATRIC HOSP</t>
  </si>
  <si>
    <t xml:space="preserve">ENCINO-TARZANA REG M C  </t>
  </si>
  <si>
    <t>GEORGE L. MEE HOSPITAL</t>
  </si>
  <si>
    <t>GROSSMONT HOSPITAL</t>
  </si>
  <si>
    <t>HAZEL HAWKINS CONVALESCENT HOSP</t>
  </si>
  <si>
    <t>HI-DESERT MED CTR-JOSHUA</t>
  </si>
  <si>
    <t>HOLLYWOOD PRESBYTERIAN</t>
  </si>
  <si>
    <t>HOLY CROSS HOSPITAL (Providence)</t>
  </si>
  <si>
    <t>JEWISH HOME FOR THE AGED</t>
  </si>
  <si>
    <t>JOHN C. FREMONT HEALTHCARE DIST</t>
  </si>
  <si>
    <t>JOYCE EISENBERG KEEFER MEDICAL CTR</t>
  </si>
  <si>
    <t>KAWEAH DELTA DIST HOSP</t>
  </si>
  <si>
    <t>KERN VALLEY HOSP DISTRICT</t>
  </si>
  <si>
    <t>KINDRED HOSPITAL BREA</t>
  </si>
  <si>
    <t>LAGUNA HONDA HOSPITAL</t>
  </si>
  <si>
    <t>LOMPOC VALLEY MEDICAL CENTER</t>
  </si>
  <si>
    <t>MARIAN MEDICAL CENTER</t>
  </si>
  <si>
    <t>MAYERS MEMORIAL HOSPITAL</t>
  </si>
  <si>
    <t>MEMORIAL HOSPITAL OF GARDENA</t>
  </si>
  <si>
    <t>MODOC MEDICAL CENTER</t>
  </si>
  <si>
    <t>MOTION PICTURE &amp; TV HOSP</t>
  </si>
  <si>
    <t>MOUNTAINS COMMUNITY HOSP</t>
  </si>
  <si>
    <t>NORTHERN CALIFORNIA REHAB HOSPITAL</t>
  </si>
  <si>
    <t>OAKDALE NURSING AND REHABILITATION CENTER</t>
  </si>
  <si>
    <t>OJAI VALLEY COMM HOSPITAL</t>
  </si>
  <si>
    <t>OROVILLE HOSPITAL</t>
  </si>
  <si>
    <t xml:space="preserve">PACIFICA HOSPITAL-VALLEY </t>
  </si>
  <si>
    <t>PALOMAR POMERADO HEALTH VILLA POMERADO</t>
  </si>
  <si>
    <t>PROVIDENCE LITTLE CO. OF MARY HOSP TRANS CARE CTR</t>
  </si>
  <si>
    <t>PROVIDENCE LITTLE CO. OF MARY S/A CARE CTR</t>
  </si>
  <si>
    <t xml:space="preserve">RADY CHILDREN'S HOSPITAL </t>
  </si>
  <si>
    <t>RIDGECREST REGIONAL TRANSITIONAL CARE</t>
  </si>
  <si>
    <t>SAN FRANCISCO GENERAL HOSP (Zuckerberg)</t>
  </si>
  <si>
    <t>SAN GABRIEL VALLEY MED</t>
  </si>
  <si>
    <t>SAN MATEO MEDICAL CENTER</t>
  </si>
  <si>
    <t>SANTA CLARA VALLEY MEDICAL CENTER</t>
  </si>
  <si>
    <t>SENECA DISTRICT HOSPITAL</t>
  </si>
  <si>
    <t>SETON MEDICAL CENTER</t>
  </si>
  <si>
    <t>SHARP CHULA VISTA MEDICAL CENTER</t>
  </si>
  <si>
    <t>SHARP CORONADO HOSPITAL</t>
  </si>
  <si>
    <t xml:space="preserve">SHERMAN OAKS HOSPITAL </t>
  </si>
  <si>
    <t>SIERRA VIEW MEDICAL CENTER</t>
  </si>
  <si>
    <t>SONOMA VALLEY HOSP DIST</t>
  </si>
  <si>
    <t>SONORA REGIONAL MEDICAL CENTER</t>
  </si>
  <si>
    <t>SOUTHERN INYO HOSPITAL</t>
  </si>
  <si>
    <t>SURPRISE VALLEY HOSPITAL</t>
  </si>
  <si>
    <t>TAHOE FOREST HOSPITAL</t>
  </si>
  <si>
    <t>TORRANCE MEM MED CNTR</t>
  </si>
  <si>
    <t>TRINITY HOSPITAL SKILLED NURSING FACILITY</t>
  </si>
  <si>
    <t>WHITE MEMORIAL HOSPITAL</t>
  </si>
  <si>
    <t>Interim</t>
  </si>
  <si>
    <t>JEROLD PHELPS COMMUNITY HOSPITAL</t>
  </si>
  <si>
    <t>PIONEERS MEMORIAL HEALTH</t>
  </si>
  <si>
    <t>HEMET VALLEY MED CNTR</t>
  </si>
  <si>
    <t>WEST COVINA MEDICAL CENTER</t>
  </si>
  <si>
    <t>PIH HEALTH GOOD SAMARITAN</t>
  </si>
  <si>
    <t>CHINESE HOSP</t>
  </si>
  <si>
    <t>COALINGA REGIONAL MEDICAL CENTER</t>
  </si>
  <si>
    <t>SOUTHERN CALIFORNIA HOSPITAL</t>
  </si>
  <si>
    <t>CY 2025 Median</t>
  </si>
  <si>
    <t>2025 Hold Harmless Median</t>
  </si>
  <si>
    <t>2025 RSB Median</t>
  </si>
  <si>
    <t>2025 RSB Hold Harmless Median</t>
  </si>
  <si>
    <t>2025 DPNF-B Rates</t>
  </si>
  <si>
    <t>ST. FRANCIS MEDICAL CENTER</t>
  </si>
  <si>
    <t>CHINESE HOSPITAL</t>
  </si>
  <si>
    <t>CITY</t>
  </si>
  <si>
    <t xml:space="preserve">COUNTY CODE </t>
  </si>
  <si>
    <t>Admin Day NPI</t>
  </si>
  <si>
    <t>FYBEG</t>
  </si>
  <si>
    <t>FYEND</t>
  </si>
  <si>
    <t xml:space="preserve">Rural
(Y/N) </t>
  </si>
  <si>
    <t>Prior Year Rate (1-1-2025)</t>
  </si>
  <si>
    <t>Final DPNF-B Rate 2026</t>
  </si>
  <si>
    <t>Final Swing Bed Rate 2026</t>
  </si>
  <si>
    <t>GARBERVILLE</t>
  </si>
  <si>
    <t>BRAWLEY</t>
  </si>
  <si>
    <t/>
  </si>
  <si>
    <t>HEMET</t>
  </si>
  <si>
    <t>WEST COVINA</t>
  </si>
  <si>
    <t>LOS ANGELES</t>
  </si>
  <si>
    <t>SAN FRANCISCO</t>
  </si>
  <si>
    <t>COALINGA</t>
  </si>
  <si>
    <t>CULVER CITY</t>
  </si>
  <si>
    <t>PC Estimate</t>
  </si>
  <si>
    <t>Per Diem</t>
  </si>
  <si>
    <t>Annual $</t>
  </si>
  <si>
    <t>SFY Accrual $ GF</t>
  </si>
  <si>
    <t>Annual Days</t>
  </si>
  <si>
    <t>CY 2025</t>
  </si>
  <si>
    <t>CY 2026</t>
  </si>
  <si>
    <t>CY 2027</t>
  </si>
  <si>
    <t>2025-26</t>
  </si>
  <si>
    <t>2026-27</t>
  </si>
  <si>
    <t>DPNF-B</t>
  </si>
  <si>
    <t>Rural Swing Bed</t>
  </si>
  <si>
    <t>Admin Day</t>
  </si>
  <si>
    <t>Prior Year 2025 Hold Harmless Median</t>
  </si>
  <si>
    <t>2026 Median</t>
  </si>
  <si>
    <t>Count</t>
  </si>
  <si>
    <t>Bedhold</t>
  </si>
  <si>
    <t>Rate % Change</t>
  </si>
  <si>
    <t>DPNF-B Class Median</t>
  </si>
  <si>
    <t>RSB Median</t>
  </si>
  <si>
    <t>Median</t>
  </si>
  <si>
    <t>Rural Swing Bed Median</t>
  </si>
  <si>
    <t>DPNF-B Per Diem Rate Calculations for CY 2026</t>
  </si>
  <si>
    <t>Rate Period Midpoint</t>
  </si>
  <si>
    <t>Capital Costs (Not Inflated)</t>
  </si>
  <si>
    <t>Salaries, Wages and Benefits (Inflated: Labor Study Factor)</t>
  </si>
  <si>
    <t>All Other Costs (Inflated: CCPI)</t>
  </si>
  <si>
    <t>Total Projected Costs</t>
  </si>
  <si>
    <t>Projected Cost</t>
  </si>
  <si>
    <t>Class Median Calculation</t>
  </si>
  <si>
    <t>Hold Harmless</t>
  </si>
  <si>
    <t>Final DPNF-B Per Diem Rate</t>
  </si>
  <si>
    <t>Final DPNF-B Bedhold Per Diem Rate</t>
  </si>
  <si>
    <t>Fiscal Year Beginning</t>
  </si>
  <si>
    <t>Fiscal Year Ending</t>
  </si>
  <si>
    <t>Months Update</t>
  </si>
  <si>
    <t xml:space="preserve">Total Days
</t>
  </si>
  <si>
    <t xml:space="preserve">Medi-Cal Fee For Service Days
</t>
  </si>
  <si>
    <t xml:space="preserve">Medi-Cal Managed Care Days
</t>
  </si>
  <si>
    <t xml:space="preserve">Other Days 
</t>
  </si>
  <si>
    <t>License Beds</t>
  </si>
  <si>
    <r>
      <t xml:space="preserve">Capital Cost </t>
    </r>
    <r>
      <rPr>
        <sz val="10"/>
        <rFont val="Segoe UI"/>
        <family val="2"/>
      </rPr>
      <t>(DPNF Sch 1, Line 19)</t>
    </r>
  </si>
  <si>
    <t>Labor Costs</t>
  </si>
  <si>
    <t>Labor Inflation Factor</t>
  </si>
  <si>
    <t>Inflated Labor Cost</t>
  </si>
  <si>
    <r>
      <t xml:space="preserve">SB 616 Adjustment
</t>
    </r>
    <r>
      <rPr>
        <b/>
        <i/>
        <sz val="10"/>
        <rFont val="Segoe UI"/>
        <family val="2"/>
      </rPr>
      <t xml:space="preserve"> (Addtl 16 hours per 2,080 hours in 12 month period=0.0076)</t>
    </r>
  </si>
  <si>
    <t>ALL OTHER COSTS</t>
  </si>
  <si>
    <t>All Other Costs Inflation Factor (CCPI)</t>
  </si>
  <si>
    <t>License Fee - Prior</t>
  </si>
  <si>
    <t>License Fee - Revised</t>
  </si>
  <si>
    <t>All Other Costs Inflated with License Fee</t>
  </si>
  <si>
    <t>Sum of Inflated Costs</t>
  </si>
  <si>
    <t>SB 616 Adjustment Per Day</t>
  </si>
  <si>
    <t>SB 525 Add-On</t>
  </si>
  <si>
    <t>Calculated Cost Per Day</t>
  </si>
  <si>
    <t>Medi-Cal Days %</t>
  </si>
  <si>
    <t>20% Medi-Cal Days</t>
  </si>
  <si>
    <t>Projected DPNF-B Rate</t>
  </si>
  <si>
    <t>Swing Bed Projected Rate</t>
  </si>
  <si>
    <t>Final Swing Bed Rate</t>
  </si>
  <si>
    <t>Hold Harmless Rate
 (2025)</t>
  </si>
  <si>
    <t>Final DPNF-B Rate</t>
  </si>
  <si>
    <t>Final DPNF-B Bedhold Rate</t>
  </si>
  <si>
    <t>J=G-H-I</t>
  </si>
  <si>
    <t>Refer to Methodology Section 3, Column M</t>
  </si>
  <si>
    <t>O=M*N</t>
  </si>
  <si>
    <t>P=O*0.0076</t>
  </si>
  <si>
    <t>Refer to Methodology Section 4, All Other Cost</t>
  </si>
  <si>
    <t>U=((Q-(S*K))*R)+(T*K)</t>
  </si>
  <si>
    <t>V=L+O+U</t>
  </si>
  <si>
    <t>Y=(V/G)+W+X</t>
  </si>
  <si>
    <t>AA=IF(Z&gt;=20%,Y,0)</t>
  </si>
  <si>
    <t>AB=IF(Y&gt;Median,Median,Y)</t>
  </si>
  <si>
    <t>AC=IF(C="Y" and  Z&gt;0%,AB,0)</t>
  </si>
  <si>
    <t>AD=IF(AC&lt;&gt;0 or C="Y",RSB Median,0)</t>
  </si>
  <si>
    <t>0</t>
  </si>
  <si>
    <r>
      <t xml:space="preserve">DP PATIENT DAYS </t>
    </r>
    <r>
      <rPr>
        <sz val="10"/>
        <color theme="1"/>
        <rFont val="Segoe UI"/>
        <family val="2"/>
      </rPr>
      <t>(DPNF Sch 1, Line 4)</t>
    </r>
  </si>
  <si>
    <r>
      <t xml:space="preserve">Medi-Cal Days </t>
    </r>
    <r>
      <rPr>
        <sz val="10"/>
        <color theme="1"/>
        <rFont val="Segoe UI"/>
        <family val="2"/>
      </rPr>
      <t>(DPNF Sch 1, Line 15, 16)</t>
    </r>
  </si>
  <si>
    <r>
      <t xml:space="preserve">Lic Beds </t>
    </r>
    <r>
      <rPr>
        <sz val="10"/>
        <color theme="1"/>
        <rFont val="Segoe UI"/>
        <family val="2"/>
      </rPr>
      <t>(DPNF Sch 1, Line 13)</t>
    </r>
  </si>
  <si>
    <r>
      <t xml:space="preserve">CAPITAL COST </t>
    </r>
    <r>
      <rPr>
        <sz val="10"/>
        <color theme="1"/>
        <rFont val="Segoe UI"/>
        <family val="2"/>
      </rPr>
      <t>(DPNF Sch 1, Line 19)</t>
    </r>
  </si>
  <si>
    <r>
      <t xml:space="preserve">SNFCOST </t>
    </r>
    <r>
      <rPr>
        <sz val="10"/>
        <color theme="1"/>
        <rFont val="Segoe UI"/>
        <family val="2"/>
      </rPr>
      <t>(DPNF Sch 1, Line 3)</t>
    </r>
  </si>
  <si>
    <r>
      <t xml:space="preserve">SALARY </t>
    </r>
    <r>
      <rPr>
        <sz val="10"/>
        <color theme="1"/>
        <rFont val="Segoe UI"/>
        <family val="2"/>
      </rPr>
      <t>(DPNF Sch 1, Line 22)</t>
    </r>
  </si>
  <si>
    <t>DPADJ</t>
  </si>
  <si>
    <t>DP Code</t>
  </si>
  <si>
    <t>Other DP Codes</t>
  </si>
  <si>
    <r>
      <t xml:space="preserve">Total Medi-Cal Fee-For-Service Patient Days </t>
    </r>
    <r>
      <rPr>
        <sz val="10"/>
        <rFont val="Segoe UI"/>
        <family val="2"/>
      </rPr>
      <t>(DPNF Sch 1, Line 15)</t>
    </r>
  </si>
  <si>
    <r>
      <t xml:space="preserve">Total Medi-Cal Managed Care Patient Days </t>
    </r>
    <r>
      <rPr>
        <sz val="10"/>
        <rFont val="Segoe UI"/>
        <family val="2"/>
      </rPr>
      <t>(DPNF Sch 1, Line 16)</t>
    </r>
  </si>
  <si>
    <t>Cert Date</t>
  </si>
  <si>
    <t>Prior Year Rate (2025 1/1)</t>
  </si>
  <si>
    <t>RSB Days</t>
  </si>
  <si>
    <t>OAKLAND</t>
  </si>
  <si>
    <t>01/01/79</t>
  </si>
  <si>
    <t>ALAMEDA</t>
  </si>
  <si>
    <t>SO. LAKE TAHOE</t>
  </si>
  <si>
    <t>BIG BEAR LAKE</t>
  </si>
  <si>
    <t>06/26/91</t>
  </si>
  <si>
    <t xml:space="preserve">SACRAMENTO </t>
  </si>
  <si>
    <t>03/10/89</t>
  </si>
  <si>
    <t xml:space="preserve">SAN FRANCISCO </t>
  </si>
  <si>
    <t>11/01/78</t>
  </si>
  <si>
    <t xml:space="preserve">AVALON </t>
  </si>
  <si>
    <t>ORANGE</t>
  </si>
  <si>
    <t>08/01/97</t>
  </si>
  <si>
    <t>COLUSA</t>
  </si>
  <si>
    <t>SAN BERNARDINO</t>
  </si>
  <si>
    <t xml:space="preserve">FRESNO </t>
  </si>
  <si>
    <t>11/01/79</t>
  </si>
  <si>
    <t xml:space="preserve">DELANO </t>
  </si>
  <si>
    <t>05/01/79</t>
  </si>
  <si>
    <t>PALM SPRINGS</t>
  </si>
  <si>
    <t>PORTOLA</t>
  </si>
  <si>
    <t>09/11/90</t>
  </si>
  <si>
    <t xml:space="preserve">SANTEE </t>
  </si>
  <si>
    <t>04/30/88</t>
  </si>
  <si>
    <t>ENCINO</t>
  </si>
  <si>
    <t>01/16/98</t>
  </si>
  <si>
    <t xml:space="preserve">KING CITY </t>
  </si>
  <si>
    <t>09/30/85</t>
  </si>
  <si>
    <t>LA MESA</t>
  </si>
  <si>
    <t>11/19/93</t>
  </si>
  <si>
    <t xml:space="preserve">HOLLISTER </t>
  </si>
  <si>
    <t>02/13/86</t>
  </si>
  <si>
    <t>JOSHUA TREE</t>
  </si>
  <si>
    <t xml:space="preserve"> </t>
  </si>
  <si>
    <t>01/11/91</t>
  </si>
  <si>
    <t xml:space="preserve">LOS ANGELES </t>
  </si>
  <si>
    <t xml:space="preserve">SAN FERNANDO </t>
  </si>
  <si>
    <t>10/01/79</t>
  </si>
  <si>
    <t>09/16/87</t>
  </si>
  <si>
    <t xml:space="preserve">MARIPOSA </t>
  </si>
  <si>
    <t>RESEDA</t>
  </si>
  <si>
    <t>VISALIA</t>
  </si>
  <si>
    <t>LAKE ISABELLA</t>
  </si>
  <si>
    <t>07/30/92</t>
  </si>
  <si>
    <t>BREA</t>
  </si>
  <si>
    <t>08/01/79</t>
  </si>
  <si>
    <t xml:space="preserve">LOMPOC </t>
  </si>
  <si>
    <t>SANTA MARIA</t>
  </si>
  <si>
    <t xml:space="preserve">FALL RIVER MILLS </t>
  </si>
  <si>
    <t>06/01/79</t>
  </si>
  <si>
    <t>GARDENA</t>
  </si>
  <si>
    <t>11/29/90</t>
  </si>
  <si>
    <t>MODOC</t>
  </si>
  <si>
    <t>05/04/90</t>
  </si>
  <si>
    <t xml:space="preserve">WOODLAND HILLS </t>
  </si>
  <si>
    <t>09/01/79</t>
  </si>
  <si>
    <t>LAKE ARROWHEAD</t>
  </si>
  <si>
    <t>05/03/91</t>
  </si>
  <si>
    <t>REDDING</t>
  </si>
  <si>
    <t xml:space="preserve">OAKDALE </t>
  </si>
  <si>
    <t>07/31/87</t>
  </si>
  <si>
    <t xml:space="preserve">OJAI </t>
  </si>
  <si>
    <t>OROVILLE</t>
  </si>
  <si>
    <t xml:space="preserve">SUN VALLEY </t>
  </si>
  <si>
    <t xml:space="preserve">POWAY </t>
  </si>
  <si>
    <t>05/05/88</t>
  </si>
  <si>
    <t xml:space="preserve">TORRANCE </t>
  </si>
  <si>
    <t>03/17/87</t>
  </si>
  <si>
    <t>SAN PEDRO</t>
  </si>
  <si>
    <t>SAN DIEGO</t>
  </si>
  <si>
    <t>12/01/86</t>
  </si>
  <si>
    <t>RIDGECREST</t>
  </si>
  <si>
    <t xml:space="preserve">SAN GABRIEL </t>
  </si>
  <si>
    <t>10/10/86</t>
  </si>
  <si>
    <t>SAN MATEO</t>
  </si>
  <si>
    <t>07/01/79</t>
  </si>
  <si>
    <t>SAN JOSE</t>
  </si>
  <si>
    <t xml:space="preserve">CHESTER </t>
  </si>
  <si>
    <t>10/01/78</t>
  </si>
  <si>
    <t>DALY CITY</t>
  </si>
  <si>
    <t xml:space="preserve">CHULA VISTA </t>
  </si>
  <si>
    <t>01/02/86</t>
  </si>
  <si>
    <t xml:space="preserve">CORONADO </t>
  </si>
  <si>
    <t>04/01/78</t>
  </si>
  <si>
    <t>SHERMAN OAKS</t>
  </si>
  <si>
    <t>PORTERVILLE</t>
  </si>
  <si>
    <t xml:space="preserve">SONOMA </t>
  </si>
  <si>
    <t>12/19/86</t>
  </si>
  <si>
    <t xml:space="preserve">SONORA </t>
  </si>
  <si>
    <t>10/07/85</t>
  </si>
  <si>
    <t>LONE PINE</t>
  </si>
  <si>
    <t xml:space="preserve">CEDARVILLE </t>
  </si>
  <si>
    <t xml:space="preserve">TRUCKEE </t>
  </si>
  <si>
    <t>06/05/86</t>
  </si>
  <si>
    <t>TORRANCE</t>
  </si>
  <si>
    <t>03/23/94</t>
  </si>
  <si>
    <t>WEAVERVILLE</t>
  </si>
  <si>
    <t>08/19/88</t>
  </si>
  <si>
    <t>ADJUSTED CAPITAL COSTS (Item 1)</t>
  </si>
  <si>
    <t>ADJUSTED TOTAL COSTS (Item 2)</t>
  </si>
  <si>
    <t>ADJUSTED NON-CAPITAL COSTS (Item 3)</t>
  </si>
  <si>
    <t>ADJUSTED SWB COSTS (Item 4)</t>
  </si>
  <si>
    <t>ADJUSTED ALL OTHER (AO) COSTS (Item 5)</t>
  </si>
  <si>
    <t>PROJECTED CAPITAL COSTS (Item 6)</t>
  </si>
  <si>
    <t>PROJECTED SWB COSTS (Item 9)</t>
  </si>
  <si>
    <t>UPDATED AO COST without PRIOR LICENSE FEES (Item 17)</t>
  </si>
  <si>
    <t>PROJECTED ALL OTHER COST (Item 18)</t>
  </si>
  <si>
    <t>PROJECTED COMBINED DAILY COST (Item 19)</t>
  </si>
  <si>
    <t>SUM OF PER DIEM ADD-Ons (Item 20)</t>
  </si>
  <si>
    <t>PROJECTED TOTAL DAILY COSTS (Item 21)</t>
  </si>
  <si>
    <t>M-Cal %</t>
  </si>
  <si>
    <t>20% M-Cal Days</t>
  </si>
  <si>
    <t>SwingBeds</t>
  </si>
  <si>
    <t>SwingBed Rate</t>
  </si>
  <si>
    <t>DPNF-B Class Median =</t>
  </si>
  <si>
    <t>Count =</t>
  </si>
  <si>
    <t xml:space="preserve">Count = </t>
  </si>
  <si>
    <t>DP PATIENT DAYS</t>
  </si>
  <si>
    <t>Medi-Cal Days</t>
  </si>
  <si>
    <t>Lic Beds</t>
  </si>
  <si>
    <t>CAPITAL COST</t>
  </si>
  <si>
    <t>SNFCOST</t>
  </si>
  <si>
    <t>SALARY</t>
  </si>
  <si>
    <t>Total Medi-Cal Fee-For-Service SA Patient Days</t>
  </si>
  <si>
    <t>Total Medi-Cal Managed Care SA Patient Days</t>
  </si>
  <si>
    <t>Prior Year Rate</t>
  </si>
  <si>
    <t>Notes</t>
  </si>
  <si>
    <t>New SA Facility</t>
  </si>
  <si>
    <t>Ancillaries</t>
  </si>
  <si>
    <t>8-1-99 WPT (inc $.14 on 1-1-00)</t>
  </si>
  <si>
    <t>8-1-00
WPT</t>
  </si>
  <si>
    <t>8-1-23
PROJ.
COST</t>
  </si>
  <si>
    <t>Midpoint to 10/15/2023</t>
  </si>
  <si>
    <t>Account for Decimals</t>
  </si>
  <si>
    <t>Truncate Midpoint</t>
  </si>
  <si>
    <t>Midpoint to the Nearest Half Month</t>
  </si>
  <si>
    <t>SWB Update</t>
  </si>
  <si>
    <t>All Other (AO) Costs Update</t>
  </si>
  <si>
    <t>ITEM 1</t>
  </si>
  <si>
    <t>ITEM 2</t>
  </si>
  <si>
    <t>ITEM 3</t>
  </si>
  <si>
    <t>ITEM 4</t>
  </si>
  <si>
    <t>ITEM 5</t>
  </si>
  <si>
    <t>ITEM 6</t>
  </si>
  <si>
    <t>ITEM 9</t>
  </si>
  <si>
    <t>ITEM 17</t>
  </si>
  <si>
    <t>ITEM 18</t>
  </si>
  <si>
    <t>ITEM 19</t>
  </si>
  <si>
    <t>ITEM 20</t>
  </si>
  <si>
    <t>ITEM 21</t>
  </si>
  <si>
    <t>Final Rate</t>
  </si>
  <si>
    <t>BIGGS GRIDLEY MEM HOSP</t>
  </si>
  <si>
    <t>GRIDLEY</t>
  </si>
  <si>
    <t>2026 Labor &amp; Non-Labor Inflation Factors</t>
  </si>
  <si>
    <t>Months To Update</t>
  </si>
  <si>
    <t>Property Tax</t>
  </si>
  <si>
    <t>DOF (Labor) Economic Forecast</t>
  </si>
  <si>
    <t>All Other
(CCPI)</t>
  </si>
  <si>
    <t>Notes:</t>
  </si>
  <si>
    <t>Property Tax same as previous years. Does not change year to year.</t>
  </si>
  <si>
    <t>Labor factor from Table 4 in annual labor study.</t>
  </si>
  <si>
    <t>All Other from CCPI from the non-labor inflation table.</t>
  </si>
  <si>
    <t>SWB Ratio</t>
  </si>
  <si>
    <t>Salaries and Wages</t>
  </si>
  <si>
    <t>Employee Benefits</t>
  </si>
  <si>
    <t>Total Health Care Expenses</t>
  </si>
  <si>
    <t>Salary %</t>
  </si>
  <si>
    <t>Benefit %</t>
  </si>
  <si>
    <t>Note: Data from HCAI</t>
  </si>
  <si>
    <t>CY2026 SB525 Add-On</t>
  </si>
  <si>
    <t>1/1/2026-12/31/2026</t>
  </si>
  <si>
    <t>Mayers Memorial Hospital District</t>
  </si>
  <si>
    <t>Eastern Plumas Health Care</t>
  </si>
  <si>
    <t>Oak Valley Hospital District - Oak Valley Nursing &amp; Rehab Center</t>
  </si>
  <si>
    <t>Kern Valley Healthcare District</t>
  </si>
  <si>
    <t>Burlingame Skilled Nursing</t>
  </si>
  <si>
    <t>LAST FRONTIER HEALTHCARE DISTRICT</t>
  </si>
  <si>
    <t>John C Fremont Healthcare District</t>
  </si>
  <si>
    <t>Palomar Health dba The Villas at Poway</t>
  </si>
  <si>
    <t>Sierra View Medical Center</t>
  </si>
  <si>
    <t>Surprise Valley Health Care District</t>
  </si>
  <si>
    <t>License Fees</t>
  </si>
  <si>
    <t>Prior Year</t>
  </si>
  <si>
    <t>Current Year</t>
  </si>
  <si>
    <t>LA County Prior Year</t>
  </si>
  <si>
    <t>LA County Current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</si>
</sst>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7" formatCode="&quot;$&quot;#,##0.00_);\(&quot;$&quot;#,##0.00\)"/>
    <numFmt numFmtId="44" formatCode="_(&quot;$&quot;* #,##0.00_);_(&quot;$&quot;* \(#,##0.00\);_(&quot;$&quot;* &quot;-&quot;??_);_(@_)"/>
    <numFmt numFmtId="43" formatCode="_(* #,##0.00_);_(* \(#,##0.00\);_(* &quot;-&quot;??_);_(@_)"/>
    <numFmt numFmtId="164" formatCode="0.0"/>
    <numFmt numFmtId="165" formatCode="0.00000"/>
    <numFmt numFmtId="166" formatCode="0.000"/>
    <numFmt numFmtId="167" formatCode="&quot;$&quot;#,##0.00"/>
    <numFmt numFmtId="168" formatCode="&quot;$&quot;\ #,###.00"/>
    <numFmt numFmtId="169" formatCode="_(* #,##0_);_(* \(#,##0\);_(* &quot;-&quot;??_);_(@_)"/>
    <numFmt numFmtId="170" formatCode="#,###.00"/>
    <numFmt numFmtId="171" formatCode="&quot;$&quot;#,##0"/>
    <numFmt numFmtId="172" formatCode="_(* #,##0.000000_);_(* \(#,##0.000000\);_(* &quot;-&quot;??_);_(@_)"/>
    <numFmt numFmtId="173" formatCode="0.0000"/>
    <numFmt numFmtId="174" formatCode="m/d/yy;@"/>
    <numFmt numFmtId="175" formatCode="_(* #,##0.00000_);_(* \(#,##0.00000\);_(* &quot;-&quot;??_);_(@_)"/>
    <numFmt numFmtId="176" formatCode="mm/dd/yy"/>
    <numFmt numFmtId="177" formatCode="&quot;$&quot;\ \ #,##0_);[Red]\(&quot;$&quot;#,##0\)"/>
    <numFmt numFmtId="178" formatCode="0.000000"/>
    <numFmt numFmtId="179" formatCode="_(&quot;$&quot;* #,##0_);_(&quot;$&quot;* \(#,##0\);_(&quot;$&quot;* &quot;-&quot;??_);_(@_)"/>
  </numFmts>
  <fonts count="34" x14ac:knownFonts="1">
    <font>
      <sz val="11"/>
      <color theme="1"/>
      <name val="Calibri"/>
      <family val="2"/>
      <scheme val="minor"/>
    </font>
    <font>
      <sz val="11"/>
      <color theme="1"/>
      <name val="Calibri"/>
      <family val="2"/>
      <scheme val="minor"/>
    </font>
    <font>
      <b/>
      <sz val="10"/>
      <name val="Segoe UI"/>
      <family val="2"/>
    </font>
    <font>
      <sz val="10"/>
      <name val="Arial"/>
      <family val="2"/>
    </font>
    <font>
      <sz val="12"/>
      <name val="Times New Roman"/>
      <family val="1"/>
    </font>
    <font>
      <b/>
      <sz val="10"/>
      <color indexed="8"/>
      <name val="Segoe UI"/>
      <family val="2"/>
    </font>
    <font>
      <sz val="10"/>
      <name val="Segoe UI"/>
      <family val="2"/>
    </font>
    <font>
      <sz val="10"/>
      <color indexed="8"/>
      <name val="Arial"/>
      <family val="2"/>
    </font>
    <font>
      <sz val="9"/>
      <color theme="1"/>
      <name val="Segoe UI"/>
      <family val="2"/>
    </font>
    <font>
      <sz val="10"/>
      <color theme="1"/>
      <name val="Segoe UI"/>
      <family val="2"/>
    </font>
    <font>
      <b/>
      <sz val="10"/>
      <color rgb="FF0070C0"/>
      <name val="Segoe UI"/>
      <family val="2"/>
    </font>
    <font>
      <b/>
      <sz val="10"/>
      <color theme="1"/>
      <name val="Segoe UI"/>
      <family val="2"/>
    </font>
    <font>
      <b/>
      <sz val="9"/>
      <color indexed="81"/>
      <name val="Tahoma"/>
      <family val="2"/>
    </font>
    <font>
      <sz val="9"/>
      <color indexed="81"/>
      <name val="Tahoma"/>
      <family val="2"/>
    </font>
    <font>
      <sz val="8"/>
      <name val="Calibri"/>
      <family val="2"/>
      <scheme val="minor"/>
    </font>
    <font>
      <b/>
      <sz val="11"/>
      <name val="Segoe UI"/>
      <family val="2"/>
    </font>
    <font>
      <b/>
      <i/>
      <sz val="10"/>
      <name val="Segoe UI"/>
      <family val="2"/>
    </font>
    <font>
      <sz val="10"/>
      <color rgb="FFFF0000"/>
      <name val="Segoe UI"/>
      <family val="2"/>
    </font>
    <font>
      <sz val="11"/>
      <name val="Segoe UI"/>
      <family val="2"/>
    </font>
    <font>
      <b/>
      <sz val="12"/>
      <color theme="1"/>
      <name val="Segoe UI"/>
      <family val="2"/>
    </font>
    <font>
      <sz val="12"/>
      <color theme="1"/>
      <name val="Segoe UI"/>
      <family val="2"/>
    </font>
    <font>
      <b/>
      <sz val="11"/>
      <color theme="1"/>
      <name val="Calibri"/>
      <family val="2"/>
      <scheme val="minor"/>
    </font>
    <font>
      <b/>
      <sz val="12"/>
      <color rgb="FF000000"/>
      <name val="Segoe UI"/>
      <family val="2"/>
    </font>
    <font>
      <sz val="12"/>
      <color rgb="FF000000"/>
      <name val="Segoe UI"/>
      <family val="2"/>
    </font>
    <font>
      <b/>
      <sz val="11"/>
      <color rgb="FFFF0000"/>
      <name val="Segoe UI"/>
      <family val="2"/>
    </font>
    <font>
      <sz val="11"/>
      <color theme="1"/>
      <name val="Segoe UI"/>
      <family val="2"/>
    </font>
    <font>
      <b/>
      <sz val="11"/>
      <color theme="1"/>
      <name val="Segoe UI"/>
      <family val="2"/>
    </font>
    <font>
      <sz val="12"/>
      <color rgb="FFFFFFFF"/>
      <name val="Segoe UI"/>
      <family val="2"/>
    </font>
    <font>
      <sz val="10"/>
      <color theme="0"/>
      <name val="Segoe UI"/>
      <family val="2"/>
    </font>
    <font>
      <sz val="12"/>
      <color theme="1"/>
      <name val="Calibri"/>
      <family val="2"/>
      <scheme val="minor"/>
    </font>
    <font>
      <b/>
      <sz val="12"/>
      <name val="Segoe UI"/>
      <family val="2"/>
    </font>
    <font>
      <sz val="12"/>
      <name val="Segoe UI"/>
      <family val="2"/>
    </font>
    <font>
      <sz val="12"/>
      <color theme="0"/>
      <name val="Segoe UI"/>
      <family val="2"/>
    </font>
    <font>
      <sz val="9"/>
      <name val="Segoe UI"/>
      <family val="2"/>
    </font>
  </fonts>
  <fills count="7">
    <fill>
      <patternFill patternType="none"/>
    </fill>
    <fill>
      <patternFill patternType="gray125"/>
    </fill>
    <fill>
      <patternFill patternType="solid">
        <fgColor rgb="FFCCECFF"/>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1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style="thin">
        <color theme="1" tint="0.499984740745262"/>
      </right>
      <top/>
      <bottom style="thin">
        <color auto="1"/>
      </bottom>
      <diagonal/>
    </border>
    <border>
      <left/>
      <right style="thin">
        <color auto="1"/>
      </right>
      <top style="thin">
        <color auto="1"/>
      </top>
      <bottom/>
      <diagonal/>
    </border>
    <border>
      <left style="thin">
        <color theme="1" tint="0.499984740745262"/>
      </left>
      <right style="thin">
        <color auto="1"/>
      </right>
      <top/>
      <bottom style="thin">
        <color auto="1"/>
      </bottom>
      <diagonal/>
    </border>
    <border>
      <left/>
      <right/>
      <top/>
      <bottom style="double">
        <color indexed="64"/>
      </bottom>
      <diagonal/>
    </border>
  </borders>
  <cellStyleXfs count="12">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4"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7" fillId="0" borderId="0"/>
    <xf numFmtId="0" fontId="1" fillId="0" borderId="0"/>
    <xf numFmtId="44" fontId="1" fillId="0" borderId="0" applyFont="0" applyFill="0" applyBorder="0" applyAlignment="0" applyProtection="0"/>
    <xf numFmtId="0" fontId="1" fillId="0" borderId="1" applyNumberFormat="0" applyFont="0" applyAlignment="0"/>
  </cellStyleXfs>
  <cellXfs count="257">
    <xf numFmtId="0" fontId="0" fillId="0" borderId="0" xfId="0"/>
    <xf numFmtId="0" fontId="11" fillId="0" borderId="0" xfId="0" applyFont="1" applyAlignment="1">
      <alignment horizontal="center" vertical="center" wrapText="1"/>
    </xf>
    <xf numFmtId="0" fontId="9" fillId="0" borderId="0" xfId="0" applyFont="1"/>
    <xf numFmtId="167" fontId="9" fillId="0" borderId="0" xfId="0" applyNumberFormat="1" applyFont="1"/>
    <xf numFmtId="0" fontId="9" fillId="0" borderId="2" xfId="0" applyFont="1" applyBorder="1" applyAlignment="1">
      <alignment horizontal="center"/>
    </xf>
    <xf numFmtId="0" fontId="11" fillId="5" borderId="2" xfId="0" applyFont="1" applyFill="1" applyBorder="1" applyAlignment="1">
      <alignment horizontal="center" vertical="center" wrapText="1"/>
    </xf>
    <xf numFmtId="0" fontId="9" fillId="0" borderId="2" xfId="0" applyFont="1" applyBorder="1"/>
    <xf numFmtId="0" fontId="11" fillId="0" borderId="2" xfId="0" applyFont="1" applyBorder="1" applyAlignment="1">
      <alignment horizontal="center" vertical="center" wrapText="1"/>
    </xf>
    <xf numFmtId="3" fontId="6" fillId="4" borderId="2" xfId="0" applyNumberFormat="1" applyFont="1" applyFill="1" applyBorder="1"/>
    <xf numFmtId="0" fontId="19" fillId="0" borderId="0" xfId="0" applyFont="1" applyProtection="1">
      <protection locked="0"/>
    </xf>
    <xf numFmtId="0" fontId="19" fillId="0" borderId="4" xfId="0" applyFont="1" applyBorder="1" applyProtection="1">
      <protection locked="0"/>
    </xf>
    <xf numFmtId="0" fontId="20" fillId="0" borderId="5" xfId="0" applyFont="1" applyBorder="1" applyAlignment="1" applyProtection="1">
      <alignment vertical="center"/>
      <protection locked="0"/>
    </xf>
    <xf numFmtId="0" fontId="20" fillId="0" borderId="2" xfId="0" applyFont="1" applyBorder="1" applyAlignment="1" applyProtection="1">
      <alignment vertical="center"/>
      <protection locked="0"/>
    </xf>
    <xf numFmtId="0" fontId="20" fillId="0" borderId="2" xfId="0" applyFont="1" applyBorder="1" applyAlignment="1" applyProtection="1">
      <alignment vertical="center" wrapText="1"/>
      <protection locked="0"/>
    </xf>
    <xf numFmtId="0" fontId="20" fillId="0" borderId="6" xfId="0" applyFont="1" applyBorder="1" applyAlignment="1" applyProtection="1">
      <alignment vertical="center"/>
      <protection locked="0"/>
    </xf>
    <xf numFmtId="0" fontId="19" fillId="0" borderId="2" xfId="0" applyFont="1" applyBorder="1" applyProtection="1">
      <protection locked="0"/>
    </xf>
    <xf numFmtId="0" fontId="19" fillId="0" borderId="2" xfId="0" applyFont="1" applyBorder="1" applyAlignment="1" applyProtection="1">
      <alignment wrapText="1"/>
      <protection locked="0"/>
    </xf>
    <xf numFmtId="14" fontId="9" fillId="0" borderId="2" xfId="0" applyNumberFormat="1" applyFont="1" applyBorder="1"/>
    <xf numFmtId="0" fontId="19" fillId="0" borderId="7" xfId="0" applyFont="1" applyBorder="1" applyAlignment="1" applyProtection="1">
      <alignment wrapText="1"/>
      <protection locked="0"/>
    </xf>
    <xf numFmtId="0" fontId="19" fillId="0" borderId="6" xfId="0" applyFont="1" applyBorder="1" applyAlignment="1" applyProtection="1">
      <alignment wrapText="1"/>
      <protection locked="0"/>
    </xf>
    <xf numFmtId="0" fontId="20" fillId="0" borderId="6" xfId="0" applyFont="1" applyBorder="1" applyAlignment="1" applyProtection="1">
      <alignment vertical="center" wrapText="1"/>
      <protection locked="0"/>
    </xf>
    <xf numFmtId="0" fontId="20" fillId="0" borderId="8" xfId="0" applyFont="1" applyBorder="1" applyAlignment="1" applyProtection="1">
      <alignment vertical="center" wrapText="1"/>
      <protection locked="0"/>
    </xf>
    <xf numFmtId="0" fontId="19" fillId="0" borderId="9" xfId="0" applyFont="1" applyBorder="1" applyAlignment="1" applyProtection="1">
      <alignment wrapText="1"/>
      <protection locked="0"/>
    </xf>
    <xf numFmtId="169" fontId="9" fillId="0" borderId="2" xfId="1" applyNumberFormat="1" applyFont="1" applyBorder="1"/>
    <xf numFmtId="3" fontId="9" fillId="0" borderId="2" xfId="0" applyNumberFormat="1" applyFont="1" applyBorder="1"/>
    <xf numFmtId="10" fontId="9" fillId="0" borderId="2" xfId="0" applyNumberFormat="1" applyFont="1" applyBorder="1"/>
    <xf numFmtId="0" fontId="9" fillId="0" borderId="2" xfId="0" applyFont="1" applyBorder="1" applyAlignment="1">
      <alignment horizontal="center" vertical="center"/>
    </xf>
    <xf numFmtId="0" fontId="5" fillId="0" borderId="2" xfId="0" applyFont="1" applyBorder="1" applyAlignment="1">
      <alignment horizontal="center" vertical="center" wrapText="1"/>
    </xf>
    <xf numFmtId="3" fontId="2" fillId="0" borderId="2" xfId="0" applyNumberFormat="1" applyFont="1" applyBorder="1" applyAlignment="1">
      <alignment horizontal="center" vertical="center" wrapText="1"/>
    </xf>
    <xf numFmtId="170" fontId="2" fillId="0" borderId="2" xfId="0" applyNumberFormat="1" applyFont="1" applyBorder="1" applyAlignment="1">
      <alignment horizontal="center" vertical="center" wrapText="1"/>
    </xf>
    <xf numFmtId="168" fontId="2" fillId="0" borderId="2" xfId="0" quotePrefix="1" applyNumberFormat="1" applyFont="1" applyBorder="1" applyAlignment="1">
      <alignment horizontal="center" vertical="center" wrapText="1"/>
    </xf>
    <xf numFmtId="0" fontId="2" fillId="0" borderId="2" xfId="0" applyFont="1" applyBorder="1" applyAlignment="1">
      <alignment horizontal="center" vertical="center" wrapText="1"/>
    </xf>
    <xf numFmtId="0" fontId="5" fillId="0" borderId="2" xfId="0" applyFont="1" applyBorder="1" applyAlignment="1" applyProtection="1">
      <alignment horizontal="center" vertical="center" wrapText="1"/>
      <protection locked="0"/>
    </xf>
    <xf numFmtId="171" fontId="9" fillId="0" borderId="2" xfId="0" applyNumberFormat="1" applyFont="1" applyBorder="1"/>
    <xf numFmtId="171" fontId="6" fillId="0" borderId="2" xfId="0" applyNumberFormat="1" applyFont="1" applyBorder="1"/>
    <xf numFmtId="171" fontId="6" fillId="0" borderId="2" xfId="8" applyNumberFormat="1" applyFont="1" applyBorder="1" applyAlignment="1">
      <alignment horizontal="right"/>
    </xf>
    <xf numFmtId="171" fontId="6" fillId="0" borderId="2" xfId="8" applyNumberFormat="1" applyFont="1" applyBorder="1"/>
    <xf numFmtId="5" fontId="6" fillId="0" borderId="2" xfId="0" applyNumberFormat="1" applyFont="1" applyBorder="1"/>
    <xf numFmtId="2" fontId="6" fillId="0" borderId="2" xfId="0" applyNumberFormat="1" applyFont="1" applyBorder="1"/>
    <xf numFmtId="167" fontId="6" fillId="0" borderId="2" xfId="0" applyNumberFormat="1" applyFont="1" applyBorder="1"/>
    <xf numFmtId="167" fontId="9" fillId="0" borderId="2" xfId="0" applyNumberFormat="1" applyFont="1" applyBorder="1"/>
    <xf numFmtId="7" fontId="9" fillId="0" borderId="2" xfId="0" applyNumberFormat="1" applyFont="1" applyBorder="1"/>
    <xf numFmtId="3" fontId="10" fillId="3"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170" fontId="2" fillId="2" borderId="2" xfId="0" applyNumberFormat="1" applyFont="1" applyFill="1" applyBorder="1" applyAlignment="1">
      <alignment horizontal="center" vertical="center" wrapText="1"/>
    </xf>
    <xf numFmtId="168" fontId="2" fillId="2" borderId="2" xfId="0" quotePrefix="1"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2" xfId="0" applyFont="1" applyFill="1" applyBorder="1" applyAlignment="1" applyProtection="1">
      <alignment horizontal="center" vertical="center" wrapText="1"/>
      <protection locked="0"/>
    </xf>
    <xf numFmtId="14" fontId="9" fillId="0" borderId="2" xfId="0" applyNumberFormat="1" applyFont="1" applyBorder="1" applyAlignment="1">
      <alignment horizontal="right"/>
    </xf>
    <xf numFmtId="0" fontId="9" fillId="5" borderId="2" xfId="0" applyFont="1" applyFill="1" applyBorder="1"/>
    <xf numFmtId="3" fontId="9" fillId="5" borderId="2" xfId="0" applyNumberFormat="1" applyFont="1" applyFill="1" applyBorder="1"/>
    <xf numFmtId="172" fontId="9" fillId="5" borderId="2" xfId="0" applyNumberFormat="1" applyFont="1" applyFill="1" applyBorder="1"/>
    <xf numFmtId="172" fontId="6" fillId="5" borderId="2" xfId="0" applyNumberFormat="1" applyFont="1" applyFill="1" applyBorder="1"/>
    <xf numFmtId="171" fontId="8" fillId="2" borderId="2" xfId="0" applyNumberFormat="1" applyFont="1" applyFill="1" applyBorder="1"/>
    <xf numFmtId="171" fontId="6" fillId="2" borderId="2" xfId="0" applyNumberFormat="1" applyFont="1" applyFill="1" applyBorder="1"/>
    <xf numFmtId="171" fontId="6" fillId="2" borderId="2" xfId="8" applyNumberFormat="1" applyFont="1" applyFill="1" applyBorder="1" applyAlignment="1">
      <alignment horizontal="right"/>
    </xf>
    <xf numFmtId="171" fontId="6" fillId="2" borderId="2" xfId="8" applyNumberFormat="1" applyFont="1" applyFill="1" applyBorder="1"/>
    <xf numFmtId="5" fontId="6" fillId="2" borderId="2" xfId="0" applyNumberFormat="1" applyFont="1" applyFill="1" applyBorder="1"/>
    <xf numFmtId="2" fontId="6" fillId="2" borderId="2" xfId="0" applyNumberFormat="1" applyFont="1" applyFill="1" applyBorder="1"/>
    <xf numFmtId="167" fontId="6" fillId="2" borderId="2" xfId="0" applyNumberFormat="1" applyFont="1" applyFill="1" applyBorder="1"/>
    <xf numFmtId="0" fontId="21" fillId="0" borderId="0" xfId="0" applyFont="1"/>
    <xf numFmtId="0" fontId="0" fillId="0" borderId="4" xfId="0" applyBorder="1"/>
    <xf numFmtId="0" fontId="21" fillId="0" borderId="11" xfId="0" applyFont="1" applyBorder="1" applyAlignment="1">
      <alignment horizontal="center"/>
    </xf>
    <xf numFmtId="0" fontId="0" fillId="0" borderId="12" xfId="0" applyBorder="1"/>
    <xf numFmtId="0" fontId="0" fillId="0" borderId="9" xfId="0" applyBorder="1"/>
    <xf numFmtId="0" fontId="0" fillId="6" borderId="4" xfId="0" applyFill="1" applyBorder="1"/>
    <xf numFmtId="0" fontId="0" fillId="6" borderId="12" xfId="0" applyFill="1" applyBorder="1"/>
    <xf numFmtId="44" fontId="0" fillId="0" borderId="4" xfId="0" applyNumberFormat="1" applyBorder="1"/>
    <xf numFmtId="179" fontId="0" fillId="0" borderId="4" xfId="2" applyNumberFormat="1" applyFont="1" applyBorder="1"/>
    <xf numFmtId="0" fontId="20" fillId="0" borderId="6" xfId="0" applyFont="1" applyBorder="1" applyAlignment="1" applyProtection="1">
      <alignment horizontal="left"/>
      <protection locked="0"/>
    </xf>
    <xf numFmtId="0" fontId="20" fillId="0" borderId="6" xfId="0" applyFont="1" applyBorder="1" applyAlignment="1" applyProtection="1">
      <alignment horizontal="left" vertical="center" wrapText="1"/>
      <protection locked="0"/>
    </xf>
    <xf numFmtId="0" fontId="20" fillId="0" borderId="0" xfId="0" applyFont="1" applyAlignment="1" applyProtection="1">
      <alignment horizontal="left"/>
      <protection locked="0"/>
    </xf>
    <xf numFmtId="0" fontId="20" fillId="0" borderId="6" xfId="0" applyFont="1" applyBorder="1" applyAlignment="1" applyProtection="1">
      <alignment wrapText="1"/>
      <protection locked="0"/>
    </xf>
    <xf numFmtId="0" fontId="20" fillId="0" borderId="6" xfId="0" applyFont="1" applyBorder="1" applyProtection="1">
      <protection locked="0"/>
    </xf>
    <xf numFmtId="0" fontId="22" fillId="0" borderId="0" xfId="0" applyFont="1" applyProtection="1">
      <protection locked="0"/>
    </xf>
    <xf numFmtId="0" fontId="22" fillId="0" borderId="4" xfId="0" applyFont="1" applyBorder="1" applyProtection="1">
      <protection locked="0"/>
    </xf>
    <xf numFmtId="0" fontId="22" fillId="0" borderId="7" xfId="0" applyFont="1" applyBorder="1" applyAlignment="1" applyProtection="1">
      <alignment wrapText="1"/>
      <protection locked="0"/>
    </xf>
    <xf numFmtId="0" fontId="23" fillId="0" borderId="6" xfId="0" applyFont="1" applyBorder="1" applyAlignment="1" applyProtection="1">
      <alignment vertical="center"/>
      <protection locked="0"/>
    </xf>
    <xf numFmtId="0" fontId="23" fillId="0" borderId="6" xfId="0" applyFont="1" applyBorder="1" applyAlignment="1" applyProtection="1">
      <alignment vertical="center" wrapText="1"/>
      <protection locked="0"/>
    </xf>
    <xf numFmtId="0" fontId="27" fillId="0" borderId="0" xfId="0" applyFont="1"/>
    <xf numFmtId="0" fontId="20" fillId="0" borderId="0" xfId="0" applyFont="1" applyAlignment="1">
      <alignment wrapText="1"/>
    </xf>
    <xf numFmtId="0" fontId="20" fillId="0" borderId="0" xfId="0" applyFont="1" applyAlignment="1">
      <alignment vertical="center" wrapText="1"/>
    </xf>
    <xf numFmtId="0" fontId="23" fillId="0" borderId="0" xfId="0" applyFont="1" applyAlignment="1">
      <alignment wrapText="1"/>
    </xf>
    <xf numFmtId="0" fontId="9" fillId="0" borderId="0" xfId="0" applyFont="1" applyProtection="1">
      <protection locked="0"/>
    </xf>
    <xf numFmtId="0" fontId="6" fillId="3" borderId="2" xfId="0" applyFont="1" applyFill="1" applyBorder="1" applyProtection="1">
      <protection locked="0"/>
    </xf>
    <xf numFmtId="1" fontId="6" fillId="3" borderId="2" xfId="0" applyNumberFormat="1" applyFont="1" applyFill="1" applyBorder="1" applyAlignment="1" applyProtection="1">
      <alignment horizontal="center"/>
      <protection locked="0"/>
    </xf>
    <xf numFmtId="0" fontId="9" fillId="3" borderId="2" xfId="0" applyFont="1" applyFill="1" applyBorder="1" applyProtection="1">
      <protection locked="0"/>
    </xf>
    <xf numFmtId="0" fontId="28" fillId="3" borderId="0" xfId="0" applyFont="1" applyFill="1" applyProtection="1">
      <protection locked="0"/>
    </xf>
    <xf numFmtId="0" fontId="11" fillId="0" borderId="2" xfId="0" applyFont="1" applyBorder="1" applyAlignment="1" applyProtection="1">
      <alignment horizontal="center" vertical="center" wrapText="1"/>
      <protection locked="0"/>
    </xf>
    <xf numFmtId="3" fontId="6" fillId="3" borderId="2" xfId="0" applyNumberFormat="1" applyFont="1" applyFill="1" applyBorder="1" applyProtection="1">
      <protection locked="0"/>
    </xf>
    <xf numFmtId="3" fontId="6" fillId="3" borderId="2" xfId="0" applyNumberFormat="1" applyFont="1" applyFill="1" applyBorder="1" applyAlignment="1" applyProtection="1">
      <alignment horizontal="center"/>
      <protection locked="0"/>
    </xf>
    <xf numFmtId="176" fontId="6" fillId="3" borderId="2" xfId="0" applyNumberFormat="1" applyFont="1" applyFill="1" applyBorder="1" applyProtection="1">
      <protection locked="0"/>
    </xf>
    <xf numFmtId="0" fontId="9" fillId="3" borderId="2" xfId="0" applyFont="1" applyFill="1" applyBorder="1" applyAlignment="1" applyProtection="1">
      <alignment horizontal="center"/>
      <protection locked="0"/>
    </xf>
    <xf numFmtId="3" fontId="9" fillId="3" borderId="2" xfId="0" applyNumberFormat="1" applyFont="1" applyFill="1" applyBorder="1" applyProtection="1">
      <protection locked="0"/>
    </xf>
    <xf numFmtId="0" fontId="11" fillId="3" borderId="2" xfId="0" applyFont="1" applyFill="1" applyBorder="1" applyAlignment="1" applyProtection="1">
      <alignment horizontal="center" vertical="center" wrapText="1"/>
      <protection locked="0"/>
    </xf>
    <xf numFmtId="44" fontId="2" fillId="3" borderId="2" xfId="0" applyNumberFormat="1" applyFont="1" applyFill="1" applyBorder="1" applyAlignment="1" applyProtection="1">
      <alignment horizontal="center" vertical="center" wrapText="1"/>
      <protection locked="0"/>
    </xf>
    <xf numFmtId="0" fontId="28" fillId="0" borderId="0" xfId="0" applyFont="1" applyProtection="1">
      <protection locked="0"/>
    </xf>
    <xf numFmtId="0" fontId="11" fillId="3" borderId="2" xfId="0" applyFont="1" applyFill="1" applyBorder="1" applyProtection="1">
      <protection locked="0"/>
    </xf>
    <xf numFmtId="14" fontId="2" fillId="3" borderId="2" xfId="0" applyNumberFormat="1" applyFont="1" applyFill="1" applyBorder="1" applyAlignment="1" applyProtection="1">
      <alignment horizontal="center" vertical="center" wrapText="1"/>
      <protection locked="0"/>
    </xf>
    <xf numFmtId="0" fontId="9" fillId="3" borderId="2" xfId="0" applyFont="1" applyFill="1" applyBorder="1" applyAlignment="1" applyProtection="1">
      <alignment horizontal="right"/>
      <protection locked="0"/>
    </xf>
    <xf numFmtId="174" fontId="9" fillId="3" borderId="2" xfId="0" applyNumberFormat="1" applyFont="1" applyFill="1" applyBorder="1" applyAlignment="1" applyProtection="1">
      <alignment horizontal="right"/>
      <protection locked="0"/>
    </xf>
    <xf numFmtId="0" fontId="9" fillId="3" borderId="0" xfId="0" applyFont="1" applyFill="1"/>
    <xf numFmtId="0" fontId="11" fillId="0" borderId="0" xfId="0" applyFont="1" applyAlignment="1" applyProtection="1">
      <alignment horizontal="left" vertical="center"/>
      <protection locked="0"/>
    </xf>
    <xf numFmtId="0" fontId="11" fillId="0" borderId="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164" fontId="6" fillId="0" borderId="2" xfId="0" applyNumberFormat="1" applyFont="1" applyBorder="1" applyProtection="1">
      <protection locked="0"/>
    </xf>
    <xf numFmtId="165" fontId="6" fillId="0" borderId="2" xfId="0" applyNumberFormat="1" applyFont="1" applyBorder="1" applyProtection="1">
      <protection locked="0"/>
    </xf>
    <xf numFmtId="165" fontId="0" fillId="0" borderId="2" xfId="0" applyNumberFormat="1" applyBorder="1" applyProtection="1">
      <protection locked="0"/>
    </xf>
    <xf numFmtId="178" fontId="0" fillId="0" borderId="2" xfId="0" applyNumberFormat="1" applyBorder="1" applyProtection="1">
      <protection locked="0"/>
    </xf>
    <xf numFmtId="165" fontId="6" fillId="0" borderId="0" xfId="1" applyNumberFormat="1" applyFont="1" applyFill="1" applyBorder="1" applyProtection="1"/>
    <xf numFmtId="166" fontId="6" fillId="0" borderId="0" xfId="0" applyNumberFormat="1" applyFont="1"/>
    <xf numFmtId="1" fontId="25" fillId="3" borderId="6" xfId="0" applyNumberFormat="1" applyFont="1" applyFill="1" applyBorder="1" applyAlignment="1" applyProtection="1">
      <alignment horizontal="left"/>
      <protection locked="0"/>
    </xf>
    <xf numFmtId="0" fontId="26" fillId="0" borderId="0" xfId="0" applyFont="1" applyAlignment="1" applyProtection="1">
      <alignment vertical="center"/>
      <protection locked="0"/>
    </xf>
    <xf numFmtId="0" fontId="26" fillId="3" borderId="2" xfId="0" applyFont="1" applyFill="1" applyBorder="1" applyAlignment="1" applyProtection="1">
      <alignment horizontal="center"/>
      <protection locked="0"/>
    </xf>
    <xf numFmtId="0" fontId="27" fillId="0" borderId="0" xfId="0" applyFont="1" applyProtection="1">
      <protection locked="0"/>
    </xf>
    <xf numFmtId="14" fontId="2" fillId="3" borderId="2" xfId="0" applyNumberFormat="1" applyFont="1" applyFill="1" applyBorder="1" applyAlignment="1" applyProtection="1">
      <alignment horizontal="center" vertical="center"/>
      <protection locked="0"/>
    </xf>
    <xf numFmtId="44" fontId="2" fillId="3" borderId="2" xfId="11" applyNumberFormat="1" applyFont="1" applyFill="1" applyBorder="1" applyAlignment="1" applyProtection="1">
      <alignment horizontal="center" vertical="center" wrapText="1"/>
      <protection locked="0"/>
    </xf>
    <xf numFmtId="44" fontId="2" fillId="3" borderId="2" xfId="0" applyNumberFormat="1" applyFont="1" applyFill="1" applyBorder="1" applyAlignment="1" applyProtection="1">
      <alignment horizontal="center" vertical="center"/>
      <protection locked="0"/>
    </xf>
    <xf numFmtId="0" fontId="6" fillId="3" borderId="0" xfId="0" applyFont="1" applyFill="1" applyAlignment="1">
      <alignment horizontal="center" vertical="center"/>
    </xf>
    <xf numFmtId="0" fontId="2" fillId="3" borderId="2" xfId="9" applyFont="1" applyFill="1" applyBorder="1" applyAlignment="1">
      <alignment horizontal="center" vertical="center"/>
    </xf>
    <xf numFmtId="169" fontId="2" fillId="3" borderId="2" xfId="1" applyNumberFormat="1" applyFont="1" applyFill="1" applyBorder="1" applyAlignment="1" applyProtection="1">
      <alignment horizontal="center" vertical="center"/>
    </xf>
    <xf numFmtId="44" fontId="2" fillId="3" borderId="2" xfId="10" applyFont="1" applyFill="1" applyBorder="1" applyAlignment="1" applyProtection="1">
      <alignment horizontal="center" vertical="center"/>
      <protection locked="0"/>
    </xf>
    <xf numFmtId="44" fontId="6" fillId="3" borderId="2" xfId="10" applyFont="1" applyFill="1" applyBorder="1" applyAlignment="1" applyProtection="1">
      <alignment horizontal="center" vertical="center"/>
    </xf>
    <xf numFmtId="0" fontId="11" fillId="3" borderId="2" xfId="0" applyFont="1" applyFill="1" applyBorder="1" applyAlignment="1" applyProtection="1">
      <alignment horizontal="center" vertical="center"/>
      <protection locked="0"/>
    </xf>
    <xf numFmtId="3" fontId="11" fillId="3" borderId="2" xfId="0" applyNumberFormat="1" applyFont="1" applyFill="1" applyBorder="1" applyAlignment="1" applyProtection="1">
      <alignment horizontal="center" vertical="center"/>
      <protection locked="0"/>
    </xf>
    <xf numFmtId="0" fontId="2" fillId="3" borderId="2" xfId="9" applyFont="1" applyFill="1" applyBorder="1" applyAlignment="1" applyProtection="1">
      <alignment horizontal="center" vertical="center" wrapText="1"/>
      <protection locked="0"/>
    </xf>
    <xf numFmtId="169" fontId="2" fillId="3" borderId="2" xfId="1" applyNumberFormat="1" applyFont="1" applyFill="1" applyBorder="1" applyAlignment="1" applyProtection="1">
      <alignment horizontal="center" vertical="center" wrapText="1"/>
      <protection locked="0"/>
    </xf>
    <xf numFmtId="44" fontId="2" fillId="3" borderId="2" xfId="9" applyNumberFormat="1" applyFont="1" applyFill="1" applyBorder="1" applyAlignment="1" applyProtection="1">
      <alignment horizontal="center" vertical="center" wrapText="1"/>
      <protection locked="0"/>
    </xf>
    <xf numFmtId="0" fontId="15" fillId="3" borderId="2" xfId="0" applyFont="1" applyFill="1" applyBorder="1" applyAlignment="1" applyProtection="1">
      <alignment horizontal="center" vertical="center" wrapText="1"/>
      <protection locked="0"/>
    </xf>
    <xf numFmtId="44" fontId="15" fillId="3" borderId="2" xfId="2" applyFont="1" applyFill="1" applyBorder="1" applyAlignment="1" applyProtection="1">
      <alignment horizontal="center" vertical="center" wrapText="1"/>
      <protection locked="0"/>
    </xf>
    <xf numFmtId="44" fontId="2" fillId="3" borderId="2" xfId="10" applyFont="1" applyFill="1" applyBorder="1" applyAlignment="1" applyProtection="1">
      <alignment horizontal="center" vertical="center" wrapText="1"/>
      <protection locked="0"/>
    </xf>
    <xf numFmtId="10" fontId="2" fillId="3" borderId="2" xfId="0" applyNumberFormat="1"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protection locked="0"/>
    </xf>
    <xf numFmtId="3" fontId="2" fillId="3" borderId="2" xfId="0" applyNumberFormat="1" applyFont="1" applyFill="1" applyBorder="1" applyAlignment="1" applyProtection="1">
      <alignment horizontal="center" vertical="center" wrapText="1"/>
      <protection locked="0"/>
    </xf>
    <xf numFmtId="0" fontId="11" fillId="3" borderId="0" xfId="0" applyFont="1" applyFill="1" applyAlignment="1">
      <alignment horizontal="center" vertical="center" wrapText="1"/>
    </xf>
    <xf numFmtId="0" fontId="20" fillId="0" borderId="0" xfId="0" applyFont="1" applyAlignment="1" applyProtection="1">
      <alignment horizontal="left" vertical="center" wrapText="1"/>
      <protection locked="0"/>
    </xf>
    <xf numFmtId="0" fontId="21" fillId="0" borderId="2" xfId="0" applyFont="1" applyBorder="1" applyAlignment="1">
      <alignment horizontal="center"/>
    </xf>
    <xf numFmtId="0" fontId="21" fillId="0" borderId="6" xfId="0" applyFont="1" applyBorder="1" applyAlignment="1">
      <alignment horizontal="center"/>
    </xf>
    <xf numFmtId="0" fontId="21" fillId="0" borderId="10" xfId="0" applyFont="1" applyBorder="1" applyAlignment="1">
      <alignment horizontal="center"/>
    </xf>
    <xf numFmtId="0" fontId="21" fillId="0" borderId="3" xfId="0" applyFont="1" applyBorder="1" applyAlignment="1">
      <alignment horizontal="center"/>
    </xf>
    <xf numFmtId="14" fontId="2" fillId="3" borderId="2" xfId="9" applyNumberFormat="1" applyFont="1" applyFill="1" applyBorder="1" applyAlignment="1">
      <alignment horizontal="center" vertical="center" wrapText="1"/>
    </xf>
    <xf numFmtId="44" fontId="2" fillId="3" borderId="2" xfId="1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7" fillId="3" borderId="0" xfId="0" applyFont="1" applyFill="1" applyProtection="1">
      <protection locked="0"/>
    </xf>
    <xf numFmtId="0" fontId="29" fillId="3" borderId="0" xfId="0" applyFont="1" applyFill="1"/>
    <xf numFmtId="0" fontId="30" fillId="3" borderId="0" xfId="0" applyFont="1" applyFill="1" applyAlignment="1" applyProtection="1">
      <alignment vertical="center"/>
      <protection locked="0"/>
    </xf>
    <xf numFmtId="0" fontId="20" fillId="3" borderId="0" xfId="0" applyFont="1" applyFill="1" applyAlignment="1" applyProtection="1">
      <alignment horizontal="left" vertical="center" wrapText="1"/>
      <protection locked="0"/>
    </xf>
    <xf numFmtId="0" fontId="30" fillId="0" borderId="0" xfId="0" applyFont="1" applyAlignment="1" applyProtection="1">
      <alignment vertical="center"/>
      <protection locked="0"/>
    </xf>
    <xf numFmtId="0" fontId="20" fillId="0" borderId="0" xfId="0" applyFont="1"/>
    <xf numFmtId="0" fontId="19" fillId="0" borderId="0" xfId="0" applyFont="1" applyAlignment="1" applyProtection="1">
      <alignment vertical="center"/>
      <protection locked="0"/>
    </xf>
    <xf numFmtId="0" fontId="20" fillId="0" borderId="0" xfId="0" applyFont="1" applyAlignment="1">
      <alignment horizontal="center"/>
    </xf>
    <xf numFmtId="44" fontId="20" fillId="0" borderId="0" xfId="0" applyNumberFormat="1" applyFont="1"/>
    <xf numFmtId="0" fontId="19" fillId="0" borderId="2" xfId="0" applyFont="1" applyBorder="1" applyAlignment="1" applyProtection="1">
      <alignment horizontal="center"/>
      <protection locked="0"/>
    </xf>
    <xf numFmtId="0" fontId="19" fillId="0" borderId="0" xfId="0" applyFont="1"/>
    <xf numFmtId="44" fontId="20" fillId="0" borderId="2" xfId="0" applyNumberFormat="1" applyFont="1" applyBorder="1" applyAlignment="1" applyProtection="1">
      <alignment horizontal="left"/>
      <protection locked="0"/>
    </xf>
    <xf numFmtId="44" fontId="20" fillId="0" borderId="2" xfId="0" applyNumberFormat="1" applyFont="1" applyBorder="1" applyAlignment="1" applyProtection="1">
      <alignment horizontal="center"/>
      <protection locked="0"/>
    </xf>
    <xf numFmtId="7" fontId="19" fillId="0" borderId="0" xfId="0" applyNumberFormat="1" applyFont="1" applyAlignment="1" applyProtection="1">
      <alignment horizontal="center"/>
      <protection locked="0"/>
    </xf>
    <xf numFmtId="44" fontId="19" fillId="0" borderId="0" xfId="0" applyNumberFormat="1" applyFont="1"/>
    <xf numFmtId="7" fontId="19" fillId="0" borderId="0" xfId="0" applyNumberFormat="1" applyFont="1"/>
    <xf numFmtId="0" fontId="19" fillId="0" borderId="2" xfId="0" applyFont="1" applyBorder="1" applyAlignment="1" applyProtection="1">
      <alignment horizontal="left"/>
      <protection locked="0"/>
    </xf>
    <xf numFmtId="44" fontId="19" fillId="0" borderId="2" xfId="0" applyNumberFormat="1" applyFont="1" applyBorder="1" applyAlignment="1" applyProtection="1">
      <alignment horizontal="center" wrapText="1"/>
      <protection locked="0"/>
    </xf>
    <xf numFmtId="0" fontId="20" fillId="0" borderId="2" xfId="0" applyFont="1" applyBorder="1" applyProtection="1">
      <protection locked="0"/>
    </xf>
    <xf numFmtId="0" fontId="20" fillId="0" borderId="2" xfId="0" applyFont="1" applyBorder="1" applyAlignment="1" applyProtection="1">
      <alignment horizontal="center"/>
      <protection locked="0"/>
    </xf>
    <xf numFmtId="44" fontId="20" fillId="0" borderId="2" xfId="0" applyNumberFormat="1" applyFont="1" applyBorder="1" applyProtection="1">
      <protection locked="0"/>
    </xf>
    <xf numFmtId="0" fontId="31" fillId="3" borderId="2" xfId="0" applyFont="1" applyFill="1" applyBorder="1" applyProtection="1">
      <protection locked="0"/>
    </xf>
    <xf numFmtId="1" fontId="31" fillId="0" borderId="2" xfId="0" applyNumberFormat="1" applyFont="1" applyBorder="1" applyAlignment="1" applyProtection="1">
      <alignment horizontal="center"/>
      <protection locked="0"/>
    </xf>
    <xf numFmtId="0" fontId="27" fillId="3" borderId="0" xfId="0" applyFont="1" applyFill="1" applyProtection="1">
      <protection locked="0"/>
    </xf>
    <xf numFmtId="0" fontId="20" fillId="3" borderId="0" xfId="0" applyFont="1" applyFill="1" applyAlignment="1">
      <alignment horizontal="center"/>
    </xf>
    <xf numFmtId="44" fontId="20" fillId="3" borderId="0" xfId="0" applyNumberFormat="1" applyFont="1" applyFill="1"/>
    <xf numFmtId="0" fontId="20" fillId="3" borderId="0" xfId="0" applyFont="1" applyFill="1"/>
    <xf numFmtId="0" fontId="19" fillId="3" borderId="0" xfId="0" applyFont="1" applyFill="1" applyAlignment="1" applyProtection="1">
      <alignment vertical="center"/>
      <protection locked="0"/>
    </xf>
    <xf numFmtId="0" fontId="19" fillId="3" borderId="2" xfId="0" applyFont="1" applyFill="1" applyBorder="1" applyProtection="1">
      <protection locked="0"/>
    </xf>
    <xf numFmtId="0" fontId="19" fillId="3" borderId="2" xfId="0" applyFont="1" applyFill="1" applyBorder="1" applyAlignment="1" applyProtection="1">
      <alignment horizontal="center"/>
      <protection locked="0"/>
    </xf>
    <xf numFmtId="0" fontId="19" fillId="3" borderId="0" xfId="0" applyFont="1" applyFill="1"/>
    <xf numFmtId="44" fontId="20" fillId="3" borderId="2" xfId="0" applyNumberFormat="1" applyFont="1" applyFill="1" applyBorder="1" applyAlignment="1" applyProtection="1">
      <alignment horizontal="left"/>
      <protection locked="0"/>
    </xf>
    <xf numFmtId="44" fontId="20" fillId="3" borderId="2" xfId="0" applyNumberFormat="1" applyFont="1" applyFill="1" applyBorder="1" applyAlignment="1" applyProtection="1">
      <alignment horizontal="center"/>
      <protection locked="0"/>
    </xf>
    <xf numFmtId="7" fontId="19" fillId="3" borderId="0" xfId="0" applyNumberFormat="1" applyFont="1" applyFill="1" applyAlignment="1" applyProtection="1">
      <alignment horizontal="center"/>
      <protection locked="0"/>
    </xf>
    <xf numFmtId="44" fontId="19" fillId="3" borderId="0" xfId="0" applyNumberFormat="1" applyFont="1" applyFill="1"/>
    <xf numFmtId="7" fontId="19" fillId="3" borderId="0" xfId="0" applyNumberFormat="1" applyFont="1" applyFill="1"/>
    <xf numFmtId="0" fontId="19" fillId="3" borderId="2" xfId="0" applyFont="1" applyFill="1" applyBorder="1" applyAlignment="1" applyProtection="1">
      <alignment horizontal="left"/>
      <protection locked="0"/>
    </xf>
    <xf numFmtId="44" fontId="19" fillId="3" borderId="2" xfId="0" applyNumberFormat="1" applyFont="1" applyFill="1" applyBorder="1" applyAlignment="1" applyProtection="1">
      <alignment horizontal="center" wrapText="1"/>
      <protection locked="0"/>
    </xf>
    <xf numFmtId="0" fontId="20" fillId="3" borderId="2" xfId="0" applyFont="1" applyFill="1" applyBorder="1" applyProtection="1">
      <protection locked="0"/>
    </xf>
    <xf numFmtId="0" fontId="20" fillId="3" borderId="2" xfId="0" applyFont="1" applyFill="1" applyBorder="1" applyAlignment="1" applyProtection="1">
      <alignment horizontal="center"/>
      <protection locked="0"/>
    </xf>
    <xf numFmtId="44" fontId="20" fillId="3" borderId="2" xfId="0" applyNumberFormat="1" applyFont="1" applyFill="1" applyBorder="1" applyProtection="1">
      <protection locked="0"/>
    </xf>
    <xf numFmtId="0" fontId="19" fillId="3" borderId="0" xfId="0" applyFont="1" applyFill="1" applyProtection="1">
      <protection locked="0"/>
    </xf>
    <xf numFmtId="1" fontId="31" fillId="3" borderId="2" xfId="0" applyNumberFormat="1" applyFont="1" applyFill="1" applyBorder="1" applyAlignment="1" applyProtection="1">
      <alignment horizontal="center"/>
      <protection locked="0"/>
    </xf>
    <xf numFmtId="0" fontId="32" fillId="3" borderId="0" xfId="0" applyFont="1" applyFill="1" applyProtection="1">
      <protection locked="0"/>
    </xf>
    <xf numFmtId="0" fontId="20" fillId="0" borderId="2" xfId="0" applyFont="1" applyBorder="1" applyAlignment="1" applyProtection="1">
      <alignment horizontal="right"/>
      <protection locked="0"/>
    </xf>
    <xf numFmtId="1" fontId="20" fillId="3" borderId="2" xfId="0" applyNumberFormat="1" applyFont="1" applyFill="1" applyBorder="1" applyAlignment="1" applyProtection="1">
      <alignment horizontal="center"/>
      <protection locked="0"/>
    </xf>
    <xf numFmtId="0" fontId="31" fillId="0" borderId="2" xfId="0" applyFont="1" applyBorder="1" applyAlignment="1" applyProtection="1">
      <alignment horizontal="center"/>
      <protection locked="0"/>
    </xf>
    <xf numFmtId="44" fontId="31" fillId="0" borderId="2" xfId="0" applyNumberFormat="1" applyFont="1" applyBorder="1" applyAlignment="1" applyProtection="1">
      <alignment horizontal="center"/>
      <protection locked="0"/>
    </xf>
    <xf numFmtId="1" fontId="6" fillId="3" borderId="2" xfId="0" applyNumberFormat="1" applyFont="1" applyFill="1" applyBorder="1" applyAlignment="1" applyProtection="1">
      <alignment horizontal="center"/>
    </xf>
    <xf numFmtId="0" fontId="9" fillId="3" borderId="0" xfId="0" applyFont="1" applyFill="1" applyAlignment="1">
      <alignment horizontal="center"/>
    </xf>
    <xf numFmtId="0" fontId="26" fillId="3" borderId="0" xfId="0" applyFont="1" applyFill="1" applyAlignment="1" applyProtection="1">
      <alignment vertical="center"/>
      <protection locked="0"/>
    </xf>
    <xf numFmtId="169" fontId="9" fillId="3" borderId="0" xfId="1" applyNumberFormat="1" applyFont="1" applyFill="1" applyProtection="1"/>
    <xf numFmtId="44" fontId="9" fillId="3" borderId="0" xfId="0" applyNumberFormat="1" applyFont="1" applyFill="1"/>
    <xf numFmtId="0" fontId="24" fillId="3" borderId="0" xfId="0" applyFont="1" applyFill="1"/>
    <xf numFmtId="0" fontId="11" fillId="3" borderId="2" xfId="0" applyFont="1" applyFill="1" applyBorder="1" applyAlignment="1" applyProtection="1">
      <alignment horizontal="center"/>
      <protection locked="0"/>
    </xf>
    <xf numFmtId="44" fontId="11" fillId="3" borderId="2" xfId="0" applyNumberFormat="1" applyFont="1" applyFill="1" applyBorder="1" applyProtection="1">
      <protection locked="0"/>
    </xf>
    <xf numFmtId="44" fontId="11" fillId="3" borderId="2" xfId="3" applyNumberFormat="1" applyFont="1" applyFill="1" applyBorder="1" applyProtection="1">
      <protection locked="0"/>
    </xf>
    <xf numFmtId="10" fontId="11" fillId="3" borderId="2" xfId="0" applyNumberFormat="1" applyFont="1" applyFill="1" applyBorder="1" applyProtection="1">
      <protection locked="0"/>
    </xf>
    <xf numFmtId="14" fontId="9" fillId="3" borderId="2" xfId="0" applyNumberFormat="1" applyFont="1" applyFill="1" applyBorder="1" applyProtection="1">
      <protection locked="0"/>
    </xf>
    <xf numFmtId="169" fontId="9" fillId="3" borderId="2" xfId="1" applyNumberFormat="1" applyFont="1" applyFill="1" applyBorder="1" applyProtection="1">
      <protection locked="0"/>
    </xf>
    <xf numFmtId="44" fontId="9" fillId="3" borderId="2" xfId="0" applyNumberFormat="1" applyFont="1" applyFill="1" applyBorder="1" applyProtection="1">
      <protection locked="0"/>
    </xf>
    <xf numFmtId="175" fontId="9" fillId="3" borderId="2" xfId="0" applyNumberFormat="1" applyFont="1" applyFill="1" applyBorder="1" applyProtection="1">
      <protection locked="0"/>
    </xf>
    <xf numFmtId="44" fontId="9" fillId="3" borderId="2" xfId="2" applyFont="1" applyFill="1" applyBorder="1" applyProtection="1">
      <protection locked="0"/>
    </xf>
    <xf numFmtId="10" fontId="9" fillId="3" borderId="2" xfId="0" applyNumberFormat="1" applyFont="1" applyFill="1" applyBorder="1" applyProtection="1">
      <protection locked="0"/>
    </xf>
    <xf numFmtId="14" fontId="9" fillId="3" borderId="0" xfId="0" applyNumberFormat="1" applyFont="1" applyFill="1"/>
    <xf numFmtId="169" fontId="9" fillId="3" borderId="0" xfId="1" applyNumberFormat="1" applyFont="1" applyFill="1" applyBorder="1" applyProtection="1"/>
    <xf numFmtId="3" fontId="9" fillId="3" borderId="0" xfId="0" applyNumberFormat="1" applyFont="1" applyFill="1"/>
    <xf numFmtId="175" fontId="9" fillId="3" borderId="0" xfId="0" applyNumberFormat="1" applyFont="1" applyFill="1"/>
    <xf numFmtId="44" fontId="9" fillId="3" borderId="0" xfId="2" applyFont="1" applyFill="1" applyBorder="1" applyProtection="1"/>
    <xf numFmtId="10" fontId="9" fillId="3" borderId="0" xfId="0" applyNumberFormat="1" applyFont="1" applyFill="1"/>
    <xf numFmtId="0" fontId="9" fillId="3" borderId="0" xfId="0" applyFont="1" applyFill="1" applyProtection="1"/>
    <xf numFmtId="0" fontId="9" fillId="3" borderId="0" xfId="0" applyFont="1" applyFill="1" applyAlignment="1" applyProtection="1">
      <alignment horizontal="center"/>
    </xf>
    <xf numFmtId="0" fontId="9" fillId="3" borderId="0" xfId="0" applyFont="1" applyFill="1" applyProtection="1">
      <protection locked="0"/>
    </xf>
    <xf numFmtId="0" fontId="11" fillId="3" borderId="0" xfId="0" applyFont="1" applyFill="1" applyAlignment="1" applyProtection="1">
      <alignment horizontal="center" vertical="center" wrapText="1"/>
      <protection locked="0"/>
    </xf>
    <xf numFmtId="167" fontId="6" fillId="3" borderId="2" xfId="0" applyNumberFormat="1"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9" fillId="3" borderId="2" xfId="0" applyFont="1" applyFill="1" applyBorder="1" applyAlignment="1" applyProtection="1">
      <alignment horizontal="center"/>
    </xf>
    <xf numFmtId="44" fontId="9" fillId="3" borderId="2" xfId="2" applyFont="1" applyFill="1" applyBorder="1" applyProtection="1"/>
    <xf numFmtId="0" fontId="9" fillId="3" borderId="2" xfId="0" applyFont="1" applyFill="1" applyBorder="1" applyProtection="1"/>
    <xf numFmtId="0" fontId="9" fillId="3" borderId="0" xfId="0" applyFont="1" applyFill="1" applyAlignment="1" applyProtection="1">
      <alignment horizontal="center"/>
      <protection locked="0"/>
    </xf>
    <xf numFmtId="174" fontId="9" fillId="3" borderId="2" xfId="0" applyNumberFormat="1" applyFont="1" applyFill="1" applyBorder="1" applyAlignment="1" applyProtection="1">
      <alignment horizontal="right"/>
    </xf>
    <xf numFmtId="164" fontId="6" fillId="0" borderId="2" xfId="0" applyNumberFormat="1" applyFont="1" applyBorder="1" applyProtection="1"/>
    <xf numFmtId="165" fontId="6" fillId="0" borderId="2" xfId="0" applyNumberFormat="1" applyFont="1" applyBorder="1" applyProtection="1"/>
    <xf numFmtId="165" fontId="6" fillId="0" borderId="13" xfId="1" applyNumberFormat="1" applyFont="1" applyFill="1" applyBorder="1" applyProtection="1"/>
    <xf numFmtId="165" fontId="18" fillId="0" borderId="15" xfId="0" applyNumberFormat="1" applyFont="1" applyBorder="1" applyProtection="1"/>
    <xf numFmtId="164" fontId="6" fillId="0" borderId="0" xfId="0" applyNumberFormat="1" applyFont="1" applyProtection="1"/>
    <xf numFmtId="165" fontId="6" fillId="0" borderId="0" xfId="0" applyNumberFormat="1" applyFont="1" applyProtection="1"/>
    <xf numFmtId="173" fontId="9" fillId="3" borderId="0" xfId="0" applyNumberFormat="1" applyFont="1" applyFill="1" applyProtection="1">
      <protection locked="0"/>
    </xf>
    <xf numFmtId="10" fontId="9" fillId="3" borderId="0" xfId="0" applyNumberFormat="1" applyFont="1" applyFill="1" applyProtection="1">
      <protection locked="0"/>
    </xf>
    <xf numFmtId="177" fontId="33" fillId="3" borderId="0" xfId="0" applyNumberFormat="1" applyFont="1" applyFill="1" applyProtection="1">
      <protection locked="0"/>
    </xf>
    <xf numFmtId="0" fontId="6" fillId="3" borderId="0" xfId="0" applyFont="1" applyFill="1" applyProtection="1">
      <protection locked="0"/>
    </xf>
    <xf numFmtId="177" fontId="33" fillId="3" borderId="16" xfId="0" applyNumberFormat="1" applyFont="1" applyFill="1" applyBorder="1" applyProtection="1">
      <protection locked="0"/>
    </xf>
    <xf numFmtId="171" fontId="9" fillId="3" borderId="2" xfId="0" applyNumberFormat="1" applyFont="1" applyFill="1" applyBorder="1" applyProtection="1">
      <protection locked="0"/>
    </xf>
    <xf numFmtId="0" fontId="9" fillId="3" borderId="2" xfId="0" applyFont="1" applyFill="1" applyBorder="1" applyAlignment="1" applyProtection="1">
      <alignment horizontal="center" vertical="center"/>
      <protection locked="0"/>
    </xf>
    <xf numFmtId="3" fontId="9" fillId="3" borderId="2" xfId="0" applyNumberFormat="1" applyFont="1" applyFill="1" applyBorder="1" applyAlignment="1" applyProtection="1">
      <alignment horizontal="center"/>
      <protection locked="0"/>
    </xf>
    <xf numFmtId="1" fontId="6" fillId="3" borderId="2" xfId="0" applyNumberFormat="1" applyFont="1" applyFill="1" applyBorder="1" applyProtection="1">
      <protection locked="0"/>
    </xf>
    <xf numFmtId="3" fontId="6" fillId="3" borderId="2" xfId="0" applyNumberFormat="1" applyFont="1" applyFill="1" applyBorder="1" applyAlignment="1" applyProtection="1">
      <alignment horizontal="right"/>
      <protection locked="0"/>
    </xf>
    <xf numFmtId="1" fontId="9" fillId="3" borderId="2" xfId="0" applyNumberFormat="1" applyFont="1" applyFill="1" applyBorder="1" applyProtection="1">
      <protection locked="0"/>
    </xf>
    <xf numFmtId="169" fontId="9" fillId="3" borderId="0" xfId="0" applyNumberFormat="1" applyFont="1" applyFill="1"/>
    <xf numFmtId="0" fontId="11" fillId="3" borderId="0" xfId="0" applyFont="1" applyFill="1"/>
    <xf numFmtId="0" fontId="25" fillId="3" borderId="0" xfId="0" applyFont="1" applyFill="1"/>
    <xf numFmtId="0" fontId="25" fillId="3" borderId="11" xfId="0" applyFont="1" applyFill="1" applyBorder="1" applyAlignment="1" applyProtection="1">
      <alignment horizontal="center"/>
      <protection locked="0"/>
    </xf>
    <xf numFmtId="0" fontId="25" fillId="3" borderId="2" xfId="0" applyFont="1" applyFill="1" applyBorder="1" applyProtection="1">
      <protection locked="0"/>
    </xf>
    <xf numFmtId="44" fontId="25" fillId="3" borderId="2" xfId="0" applyNumberFormat="1" applyFont="1" applyFill="1" applyBorder="1" applyProtection="1">
      <protection locked="0"/>
    </xf>
    <xf numFmtId="0" fontId="11" fillId="3" borderId="0" xfId="0" applyFont="1" applyFill="1" applyAlignment="1" applyProtection="1">
      <alignment horizontal="left" vertical="center"/>
      <protection locked="0"/>
    </xf>
    <xf numFmtId="0" fontId="11" fillId="3" borderId="1" xfId="0" applyFont="1" applyFill="1" applyBorder="1" applyAlignment="1" applyProtection="1">
      <alignment horizontal="center" vertical="center" wrapText="1"/>
      <protection locked="0"/>
    </xf>
    <xf numFmtId="167" fontId="6" fillId="3" borderId="1" xfId="2" applyNumberFormat="1" applyFont="1" applyFill="1" applyBorder="1" applyProtection="1">
      <protection locked="0"/>
    </xf>
    <xf numFmtId="167" fontId="9" fillId="3" borderId="1" xfId="2" applyNumberFormat="1" applyFont="1" applyFill="1" applyBorder="1" applyProtection="1">
      <protection locked="0"/>
    </xf>
    <xf numFmtId="0" fontId="17" fillId="3" borderId="0" xfId="0" applyFont="1" applyFill="1"/>
    <xf numFmtId="167" fontId="6" fillId="3" borderId="0" xfId="2" applyNumberFormat="1" applyFont="1" applyFill="1" applyBorder="1" applyProtection="1"/>
    <xf numFmtId="167" fontId="9" fillId="3" borderId="0" xfId="2" applyNumberFormat="1" applyFont="1" applyFill="1" applyBorder="1" applyProtection="1"/>
  </cellXfs>
  <cellStyles count="12">
    <cellStyle name="Comma" xfId="1" builtinId="3"/>
    <cellStyle name="Comma 2" xfId="6" xr:uid="{CF6010DB-7713-4CBD-918F-224B5574F86D}"/>
    <cellStyle name="Currency" xfId="2" builtinId="4"/>
    <cellStyle name="Currency 2" xfId="5" xr:uid="{FA57FF74-3374-4BA4-9256-B11F90C4E295}"/>
    <cellStyle name="Currency 3" xfId="10" xr:uid="{F06BBC7C-420C-42F8-BD02-2848840D2D7E}"/>
    <cellStyle name="KenBorder" xfId="11" xr:uid="{6529530C-EF80-4AD2-8BA9-DD047D1DC325}"/>
    <cellStyle name="Normal" xfId="0" builtinId="0"/>
    <cellStyle name="Normal 2" xfId="4" xr:uid="{290AB0E3-5816-4B83-BA9B-FE596A68BDE4}"/>
    <cellStyle name="Normal 6" xfId="9" xr:uid="{ED60C067-5C86-4084-A74F-776D80DE364C}"/>
    <cellStyle name="Normal_Sheet1" xfId="8" xr:uid="{493C6199-C6C1-4840-818E-44880C882551}"/>
    <cellStyle name="Percent" xfId="3" builtinId="5"/>
    <cellStyle name="Percent 2" xfId="7" xr:uid="{C6E58215-0ED9-479A-82D1-6575E869E6DA}"/>
  </cellStyles>
  <dxfs count="0"/>
  <tableStyles count="0" defaultTableStyle="TableStyleMedium2" defaultPivotStyle="PivotStyleLight16"/>
  <colors>
    <mruColors>
      <color rgb="FF961DB3"/>
      <color rgb="FFAD20B0"/>
      <color rgb="FF952DA3"/>
      <color rgb="FFA62A9A"/>
      <color rgb="FF9A2AA6"/>
      <color rgb="FFCCFFCC"/>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81D19-E91E-42E4-AE82-352100FE1FFD}">
  <dimension ref="A1:G8"/>
  <sheetViews>
    <sheetView tabSelected="1" workbookViewId="0">
      <selection sqref="A1:G1"/>
    </sheetView>
  </sheetViews>
  <sheetFormatPr defaultColWidth="0" defaultRowHeight="15.5" zeroHeight="1" x14ac:dyDescent="0.35"/>
  <cols>
    <col min="1" max="6" width="8.81640625" style="147" customWidth="1"/>
    <col min="7" max="7" width="45.7265625" style="147" customWidth="1"/>
    <col min="8" max="16384" width="8.81640625" style="147" hidden="1"/>
  </cols>
  <sheetData>
    <row r="1" spans="1:7" ht="17.5" x14ac:dyDescent="0.45">
      <c r="A1" s="146" t="s">
        <v>0</v>
      </c>
      <c r="B1" s="146"/>
      <c r="C1" s="146"/>
      <c r="D1" s="146"/>
      <c r="E1" s="146"/>
      <c r="F1" s="146"/>
      <c r="G1" s="146"/>
    </row>
    <row r="2" spans="1:7" ht="17.5" x14ac:dyDescent="0.35">
      <c r="A2" s="148" t="s">
        <v>1</v>
      </c>
    </row>
    <row r="3" spans="1:7" ht="19.149999999999999" customHeight="1" x14ac:dyDescent="0.35">
      <c r="A3" s="149" t="s">
        <v>2</v>
      </c>
      <c r="B3" s="149"/>
      <c r="C3" s="149"/>
      <c r="D3" s="149"/>
      <c r="E3" s="149"/>
      <c r="F3" s="149"/>
      <c r="G3" s="149"/>
    </row>
    <row r="4" spans="1:7" ht="14.5" customHeight="1" x14ac:dyDescent="0.35">
      <c r="A4" s="149"/>
      <c r="B4" s="149"/>
      <c r="C4" s="149"/>
      <c r="D4" s="149"/>
      <c r="E4" s="149"/>
      <c r="F4" s="149"/>
      <c r="G4" s="149"/>
    </row>
    <row r="5" spans="1:7" ht="14.5" customHeight="1" x14ac:dyDescent="0.35">
      <c r="A5" s="149"/>
      <c r="B5" s="149"/>
      <c r="C5" s="149"/>
      <c r="D5" s="149"/>
      <c r="E5" s="149"/>
      <c r="F5" s="149"/>
      <c r="G5" s="149"/>
    </row>
    <row r="6" spans="1:7" ht="14.5" customHeight="1" x14ac:dyDescent="0.35">
      <c r="A6" s="149"/>
      <c r="B6" s="149"/>
      <c r="C6" s="149"/>
      <c r="D6" s="149"/>
      <c r="E6" s="149"/>
      <c r="F6" s="149"/>
      <c r="G6" s="149"/>
    </row>
    <row r="7" spans="1:7" ht="14.5" customHeight="1" x14ac:dyDescent="0.35">
      <c r="A7" s="149"/>
      <c r="B7" s="149"/>
      <c r="C7" s="149"/>
      <c r="D7" s="149"/>
      <c r="E7" s="149"/>
      <c r="F7" s="149"/>
      <c r="G7" s="149"/>
    </row>
    <row r="8" spans="1:7" ht="22.9" customHeight="1" x14ac:dyDescent="0.35">
      <c r="A8" s="149"/>
      <c r="B8" s="149"/>
      <c r="C8" s="149"/>
      <c r="D8" s="149"/>
      <c r="E8" s="149"/>
      <c r="F8" s="149"/>
      <c r="G8" s="149"/>
    </row>
  </sheetData>
  <sheetProtection sheet="1" objects="1" scenarios="1" selectLockedCells="1"/>
  <mergeCells count="2">
    <mergeCell ref="A3:G8"/>
    <mergeCell ref="A1:G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E8F-A75B-4EFD-8C77-C7CA388825DC}">
  <sheetPr codeName="Sheet6"/>
  <dimension ref="A1:AW2"/>
  <sheetViews>
    <sheetView workbookViewId="0">
      <selection activeCell="L10" sqref="L10"/>
    </sheetView>
  </sheetViews>
  <sheetFormatPr defaultRowHeight="14.5" x14ac:dyDescent="0.35"/>
  <cols>
    <col min="4" max="4" width="8.7265625" customWidth="1"/>
    <col min="6" max="6" width="9.26953125" bestFit="1" customWidth="1"/>
    <col min="11" max="12" width="9.54296875" bestFit="1" customWidth="1"/>
    <col min="18" max="18" width="10.26953125" bestFit="1" customWidth="1"/>
    <col min="34" max="37" width="9.54296875" bestFit="1" customWidth="1"/>
    <col min="38" max="38" width="7.26953125" bestFit="1" customWidth="1"/>
    <col min="39" max="39" width="9.54296875" bestFit="1" customWidth="1"/>
    <col min="40" max="41" width="10.26953125" bestFit="1" customWidth="1"/>
  </cols>
  <sheetData>
    <row r="1" spans="1:49" s="1" customFormat="1" ht="60.65" customHeight="1" x14ac:dyDescent="0.35">
      <c r="A1" s="7" t="s">
        <v>86</v>
      </c>
      <c r="B1" s="7" t="s">
        <v>171</v>
      </c>
      <c r="C1" s="7" t="s">
        <v>172</v>
      </c>
      <c r="D1" s="7" t="s">
        <v>87</v>
      </c>
      <c r="E1" s="7" t="s">
        <v>174</v>
      </c>
      <c r="F1" s="7" t="s">
        <v>175</v>
      </c>
      <c r="G1" s="7" t="s">
        <v>396</v>
      </c>
      <c r="H1" s="7" t="s">
        <v>397</v>
      </c>
      <c r="I1" s="7" t="s">
        <v>398</v>
      </c>
      <c r="J1" s="7" t="s">
        <v>399</v>
      </c>
      <c r="K1" s="7" t="s">
        <v>400</v>
      </c>
      <c r="L1" s="7" t="s">
        <v>401</v>
      </c>
      <c r="M1" s="7" t="s">
        <v>271</v>
      </c>
      <c r="N1" s="7" t="s">
        <v>272</v>
      </c>
      <c r="O1" s="7" t="s">
        <v>273</v>
      </c>
      <c r="P1" s="42" t="s">
        <v>402</v>
      </c>
      <c r="Q1" s="42" t="s">
        <v>403</v>
      </c>
      <c r="R1" s="7" t="s">
        <v>276</v>
      </c>
      <c r="S1" s="7" t="s">
        <v>404</v>
      </c>
      <c r="T1" s="7" t="s">
        <v>405</v>
      </c>
      <c r="U1" s="7" t="s">
        <v>406</v>
      </c>
      <c r="V1" s="7" t="s">
        <v>407</v>
      </c>
      <c r="W1" s="7" t="s">
        <v>408</v>
      </c>
      <c r="X1" s="7" t="s">
        <v>409</v>
      </c>
      <c r="Y1" s="7" t="s">
        <v>410</v>
      </c>
      <c r="Z1" s="7" t="s">
        <v>176</v>
      </c>
      <c r="AA1" s="5" t="s">
        <v>411</v>
      </c>
      <c r="AB1" s="5" t="s">
        <v>412</v>
      </c>
      <c r="AC1" s="5" t="s">
        <v>413</v>
      </c>
      <c r="AD1" s="5" t="s">
        <v>414</v>
      </c>
      <c r="AE1" s="5" t="s">
        <v>415</v>
      </c>
      <c r="AF1" s="5" t="s">
        <v>416</v>
      </c>
      <c r="AG1" s="43" t="s">
        <v>417</v>
      </c>
      <c r="AH1" s="44" t="s">
        <v>418</v>
      </c>
      <c r="AI1" s="44" t="s">
        <v>419</v>
      </c>
      <c r="AJ1" s="45" t="s">
        <v>420</v>
      </c>
      <c r="AK1" s="46" t="s">
        <v>421</v>
      </c>
      <c r="AL1" s="43" t="s">
        <v>422</v>
      </c>
      <c r="AM1" s="43" t="s">
        <v>423</v>
      </c>
      <c r="AN1" s="47" t="s">
        <v>424</v>
      </c>
      <c r="AO1" s="43" t="s">
        <v>425</v>
      </c>
      <c r="AP1" s="47" t="s">
        <v>426</v>
      </c>
      <c r="AQ1" s="48" t="s">
        <v>427</v>
      </c>
      <c r="AR1" s="47" t="s">
        <v>428</v>
      </c>
      <c r="AS1" s="31" t="s">
        <v>389</v>
      </c>
      <c r="AT1" s="31" t="s">
        <v>390</v>
      </c>
      <c r="AU1" s="31" t="s">
        <v>391</v>
      </c>
      <c r="AV1" s="31" t="s">
        <v>392</v>
      </c>
      <c r="AW1" s="31" t="s">
        <v>429</v>
      </c>
    </row>
    <row r="2" spans="1:49" s="2" customFormat="1" ht="16" x14ac:dyDescent="0.45">
      <c r="A2" s="6" t="s">
        <v>430</v>
      </c>
      <c r="B2" s="6" t="s">
        <v>431</v>
      </c>
      <c r="C2" s="4">
        <v>4</v>
      </c>
      <c r="D2" s="6">
        <v>1295882819</v>
      </c>
      <c r="E2" s="17">
        <v>44013</v>
      </c>
      <c r="F2" s="17">
        <v>44377</v>
      </c>
      <c r="G2" s="23">
        <v>20624</v>
      </c>
      <c r="H2" s="24">
        <f t="shared" ref="H2" si="0">P2+Q2</f>
        <v>20044</v>
      </c>
      <c r="I2" s="6">
        <v>82</v>
      </c>
      <c r="J2" s="33">
        <v>88391</v>
      </c>
      <c r="K2" s="33">
        <v>6658065</v>
      </c>
      <c r="L2" s="33">
        <v>3882898</v>
      </c>
      <c r="M2" s="4">
        <v>1</v>
      </c>
      <c r="N2" s="26">
        <f t="shared" ref="N2" si="1">IF(OR(G2=0,I2=0,J2=0,K2=0),0,IF(OR(O2=4,O2=5),O2,IF(F2-E2&lt;364,2,IF(H2=0,3,1))))</f>
        <v>1</v>
      </c>
      <c r="O2" s="4"/>
      <c r="P2" s="8">
        <v>20044</v>
      </c>
      <c r="Q2" s="8">
        <v>0</v>
      </c>
      <c r="R2" s="49">
        <v>37256</v>
      </c>
      <c r="S2" s="6" t="e">
        <f>VLOOKUP(D2,#REF!,2,0)</f>
        <v>#REF!</v>
      </c>
      <c r="T2" s="6"/>
      <c r="U2" s="6"/>
      <c r="V2" s="6"/>
      <c r="W2" s="6">
        <v>3.92</v>
      </c>
      <c r="X2" s="6">
        <v>8.65</v>
      </c>
      <c r="Y2" s="40">
        <v>363.18</v>
      </c>
      <c r="Z2" s="4" t="s">
        <v>64</v>
      </c>
      <c r="AA2" s="50">
        <f t="shared" ref="AA2" si="2">(DATE(2023,10,15)-(E2+F2)/2)/30.416666</f>
        <v>33.501370597290318</v>
      </c>
      <c r="AB2" s="50">
        <f t="shared" ref="AB2" si="3">IF(AC2&gt;=0.75,1,IF(AC2&gt;=0.25,0.5,0))</f>
        <v>0.5</v>
      </c>
      <c r="AC2" s="50">
        <f t="shared" ref="AC2" si="4">AA2-TRUNC(AA2)</f>
        <v>0.50137059729031819</v>
      </c>
      <c r="AD2" s="51">
        <f t="shared" ref="AD2" si="5">TRUNC(AA2)+AB2</f>
        <v>33.5</v>
      </c>
      <c r="AE2" s="52">
        <f>VLOOKUP(AD2,'Inflation Factors 2026'!$A$5:$D$76,3,0)</f>
        <v>1.1479332530463535</v>
      </c>
      <c r="AF2" s="53">
        <f>VLOOKUP(AD2,'Inflation Factors 2026'!$A$5:$D$76,4,0)</f>
        <v>1.071786140156159</v>
      </c>
      <c r="AG2" s="54">
        <f t="shared" ref="AG2" si="6">J2*M2</f>
        <v>88391</v>
      </c>
      <c r="AH2" s="55">
        <f t="shared" ref="AH2" si="7">K2*M2</f>
        <v>6658065</v>
      </c>
      <c r="AI2" s="55">
        <f t="shared" ref="AI2" si="8">AH2-AG2</f>
        <v>6569674</v>
      </c>
      <c r="AJ2" s="56" t="e">
        <f>AI2*'Inflation Factors 2026'!#REF!/0.9</f>
        <v>#REF!</v>
      </c>
      <c r="AK2" s="57" t="e">
        <f t="shared" ref="AK2" si="9">AI2-AJ2</f>
        <v>#REF!</v>
      </c>
      <c r="AL2" s="57">
        <f t="shared" ref="AL2" si="10">(AG2*1)</f>
        <v>88391</v>
      </c>
      <c r="AM2" s="55" t="e">
        <f t="shared" ref="AM2" si="11">AJ2*AE2</f>
        <v>#REF!</v>
      </c>
      <c r="AN2" s="58" t="e">
        <f>(AK2-(I2*'Inflation Factors 2026'!#REF!))*Data!#REF!</f>
        <v>#REF!</v>
      </c>
      <c r="AO2" s="58" t="e">
        <f>(AN2+(IF(C2=19,'Inflation Factors 2026'!#REF!+'Inflation Factors 2026'!#REF!,'Inflation Factors 2026'!#REF!)*I2))</f>
        <v>#REF!</v>
      </c>
      <c r="AP2" s="55" t="e">
        <f>(AL2+AM2+AO2)/G2</f>
        <v>#REF!</v>
      </c>
      <c r="AQ2" s="59" t="e">
        <f>'Inflation Factors 2026'!#REF!</f>
        <v>#REF!</v>
      </c>
      <c r="AR2" s="60" t="e">
        <f t="shared" ref="AR2" si="12">AP2+AQ2</f>
        <v>#REF!</v>
      </c>
      <c r="AS2" s="25">
        <f t="shared" ref="AS2" si="13">IF(N2=1,(H2/G2),0)</f>
        <v>0.97187742435996893</v>
      </c>
      <c r="AT2" s="40" t="e">
        <f t="shared" ref="AT2" si="14">IF(AS2&gt;=20%,AR2,"")</f>
        <v>#REF!</v>
      </c>
      <c r="AU2" s="40" t="e">
        <f t="shared" ref="AU2" si="15">IF(Z2="Y",IF(AR2&gt;=$AW$65,$AW$65,AR2),"")</f>
        <v>#REF!</v>
      </c>
      <c r="AV2" s="40" t="e">
        <f t="shared" ref="AV2" si="16">IF(AU2="","",$AW$68)</f>
        <v>#REF!</v>
      </c>
      <c r="AW2" s="40" t="e">
        <f>IF(AV2="",IF(AR2&lt;$AW$65,AR2,$AW$65),AV2)</f>
        <v>#REF!</v>
      </c>
    </row>
  </sheetData>
  <dataValidations count="4">
    <dataValidation type="whole" errorStyle="warning" operator="lessThanOrEqual" allowBlank="1" showInputMessage="1" showErrorMessage="1" error="Medi-Cal days are less than Total days." sqref="AF2" xr:uid="{2E355B75-4C05-48A7-854D-6A1E804FF2CE}">
      <formula1>AB2</formula1>
    </dataValidation>
    <dataValidation type="whole" errorStyle="warning" operator="lessThan" allowBlank="1" showInputMessage="1" showErrorMessage="1" error="Depreciation costs should be less than total SNF costs." sqref="AH2 AH1:AI1" xr:uid="{E5514A58-BAE3-45DA-BC83-B7E87AE4DB20}">
      <formula1>AI1</formula1>
    </dataValidation>
    <dataValidation type="whole" errorStyle="warning" operator="lessThanOrEqual" allowBlank="1" showInputMessage="1" showErrorMessage="1" error="Medi-Cal days are less than Total days." sqref="Q1" xr:uid="{2EC99E21-831A-4E1F-8518-52D60EE8EE65}">
      <formula1>P1</formula1>
    </dataValidation>
    <dataValidation type="whole" errorStyle="warning" operator="greaterThanOrEqual" allowBlank="1" showInputMessage="1" showErrorMessage="1" error="Total SNF days are less than Medi-Cal SNF days." sqref="P1" xr:uid="{933D620F-7A9A-4F14-B4C1-46F642275BD3}">
      <formula1>Q1</formula1>
    </dataValidation>
  </dataValidation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01AD-F015-4C00-A5F8-E41D9082B928}">
  <sheetPr codeName="Sheet7"/>
  <dimension ref="A1:E81"/>
  <sheetViews>
    <sheetView showGridLines="0" zoomScale="85" zoomScaleNormal="85" workbookViewId="0"/>
  </sheetViews>
  <sheetFormatPr defaultColWidth="0" defaultRowHeight="16" zeroHeight="1" x14ac:dyDescent="0.45"/>
  <cols>
    <col min="1" max="1" width="17.26953125" style="84" customWidth="1"/>
    <col min="2" max="3" width="15.453125" style="84" customWidth="1"/>
    <col min="4" max="4" width="13.1796875" style="84" customWidth="1"/>
    <col min="5" max="5" width="3.453125" style="2" hidden="1" customWidth="1"/>
    <col min="6" max="16384" width="8.7265625" style="2" hidden="1"/>
  </cols>
  <sheetData>
    <row r="1" spans="1:4" x14ac:dyDescent="0.45">
      <c r="A1" s="97" t="s">
        <v>0</v>
      </c>
      <c r="B1" s="2"/>
      <c r="C1" s="2"/>
      <c r="D1" s="2"/>
    </row>
    <row r="2" spans="1:4" ht="16.5" x14ac:dyDescent="0.45">
      <c r="A2" s="113" t="s">
        <v>3</v>
      </c>
      <c r="B2" s="2"/>
      <c r="C2" s="2"/>
      <c r="D2" s="2"/>
    </row>
    <row r="3" spans="1:4" ht="38.65" customHeight="1" x14ac:dyDescent="0.45">
      <c r="A3" s="103" t="s">
        <v>432</v>
      </c>
      <c r="B3" s="2"/>
      <c r="C3" s="2"/>
      <c r="D3" s="2"/>
    </row>
    <row r="4" spans="1:4" s="1" customFormat="1" ht="51.75" customHeight="1" x14ac:dyDescent="0.35">
      <c r="A4" s="89" t="s">
        <v>433</v>
      </c>
      <c r="B4" s="95" t="s">
        <v>434</v>
      </c>
      <c r="C4" s="104" t="s">
        <v>435</v>
      </c>
      <c r="D4" s="105" t="s">
        <v>436</v>
      </c>
    </row>
    <row r="5" spans="1:4" x14ac:dyDescent="0.45">
      <c r="A5" s="106">
        <v>19</v>
      </c>
      <c r="B5" s="107">
        <v>1.0318499999999999</v>
      </c>
      <c r="C5" s="108">
        <v>1.0728739393601696</v>
      </c>
      <c r="D5" s="109">
        <v>1.04138177324379</v>
      </c>
    </row>
    <row r="6" spans="1:4" x14ac:dyDescent="0.45">
      <c r="A6" s="106">
        <v>19.5</v>
      </c>
      <c r="B6" s="107">
        <v>1.0327</v>
      </c>
      <c r="C6" s="108">
        <v>1.0743044379459832</v>
      </c>
      <c r="D6" s="109">
        <v>1.0407371961469354</v>
      </c>
    </row>
    <row r="7" spans="1:4" x14ac:dyDescent="0.45">
      <c r="A7" s="106">
        <v>20</v>
      </c>
      <c r="B7" s="107">
        <v>1.03356</v>
      </c>
      <c r="C7" s="108">
        <v>1.0757273577313418</v>
      </c>
      <c r="D7" s="109">
        <v>1.0400934164956226</v>
      </c>
    </row>
    <row r="8" spans="1:4" x14ac:dyDescent="0.45">
      <c r="A8" s="106">
        <v>20.5</v>
      </c>
      <c r="B8" s="107">
        <v>1.0344100000000001</v>
      </c>
      <c r="C8" s="108">
        <v>1.0771540518397389</v>
      </c>
      <c r="D8" s="109">
        <v>1.039450432810914</v>
      </c>
    </row>
    <row r="9" spans="1:4" x14ac:dyDescent="0.45">
      <c r="A9" s="106">
        <v>21</v>
      </c>
      <c r="B9" s="107">
        <v>1.0352600000000001</v>
      </c>
      <c r="C9" s="108">
        <v>1.0785845353083174</v>
      </c>
      <c r="D9" s="109">
        <v>1.0402093133136956</v>
      </c>
    </row>
    <row r="10" spans="1:4" x14ac:dyDescent="0.45">
      <c r="A10" s="106">
        <v>21.5</v>
      </c>
      <c r="B10" s="107">
        <v>1.0361199999999999</v>
      </c>
      <c r="C10" s="108">
        <v>1.0800188232542063</v>
      </c>
      <c r="D10" s="109">
        <v>1.0409693027108673</v>
      </c>
    </row>
    <row r="11" spans="1:4" x14ac:dyDescent="0.45">
      <c r="A11" s="106">
        <v>22</v>
      </c>
      <c r="B11" s="107">
        <v>1.0369699999999999</v>
      </c>
      <c r="C11" s="108">
        <v>1.0814569308750508</v>
      </c>
      <c r="D11" s="109">
        <v>1.0417304034347203</v>
      </c>
    </row>
    <row r="12" spans="1:4" x14ac:dyDescent="0.45">
      <c r="A12" s="106">
        <v>22.5</v>
      </c>
      <c r="B12" s="107">
        <v>1.03783</v>
      </c>
      <c r="C12" s="108">
        <v>1.082898873449551</v>
      </c>
      <c r="D12" s="109">
        <v>1.0424926179246652</v>
      </c>
    </row>
    <row r="13" spans="1:4" x14ac:dyDescent="0.45">
      <c r="A13" s="106">
        <v>23</v>
      </c>
      <c r="B13" s="107">
        <v>1.03868</v>
      </c>
      <c r="C13" s="108">
        <v>1.0881813069785728</v>
      </c>
      <c r="D13" s="109">
        <v>1.0432491349882729</v>
      </c>
    </row>
    <row r="14" spans="1:4" x14ac:dyDescent="0.45">
      <c r="A14" s="106">
        <v>23.5</v>
      </c>
      <c r="B14" s="107">
        <v>1.0395399999999999</v>
      </c>
      <c r="C14" s="108">
        <v>1.0935155290716052</v>
      </c>
      <c r="D14" s="109">
        <v>1.0440067508293294</v>
      </c>
    </row>
    <row r="15" spans="1:4" x14ac:dyDescent="0.45">
      <c r="A15" s="106">
        <v>24</v>
      </c>
      <c r="B15" s="107">
        <v>1.0404</v>
      </c>
      <c r="C15" s="108">
        <v>1.098902305076884</v>
      </c>
      <c r="D15" s="109">
        <v>1.0447654678433971</v>
      </c>
    </row>
    <row r="16" spans="1:4" x14ac:dyDescent="0.45">
      <c r="A16" s="106">
        <v>24.5</v>
      </c>
      <c r="B16" s="107">
        <v>1.0412600000000001</v>
      </c>
      <c r="C16" s="108">
        <v>1.1043424154980568</v>
      </c>
      <c r="D16" s="109">
        <v>1.0455252884330073</v>
      </c>
    </row>
    <row r="17" spans="1:4" x14ac:dyDescent="0.45">
      <c r="A17" s="106">
        <v>25</v>
      </c>
      <c r="B17" s="107">
        <v>1.0421199999999999</v>
      </c>
      <c r="C17" s="108">
        <v>1.1098366563711815</v>
      </c>
      <c r="D17" s="109">
        <v>1.0476525698428243</v>
      </c>
    </row>
    <row r="18" spans="1:4" x14ac:dyDescent="0.45">
      <c r="A18" s="106">
        <v>25.5</v>
      </c>
      <c r="B18" s="107">
        <v>1.04298</v>
      </c>
      <c r="C18" s="108">
        <v>1.1153858396530376</v>
      </c>
      <c r="D18" s="109">
        <v>1.0497885254616512</v>
      </c>
    </row>
    <row r="19" spans="1:4" x14ac:dyDescent="0.45">
      <c r="A19" s="106">
        <v>26</v>
      </c>
      <c r="B19" s="107">
        <v>1.0438400000000001</v>
      </c>
      <c r="C19" s="108">
        <v>1.1188628422704954</v>
      </c>
      <c r="D19" s="109">
        <v>1.0519332084528479</v>
      </c>
    </row>
    <row r="20" spans="1:4" x14ac:dyDescent="0.45">
      <c r="A20" s="106">
        <v>26.5</v>
      </c>
      <c r="B20" s="107">
        <v>1.0447</v>
      </c>
      <c r="C20" s="108">
        <v>1.1223615904606103</v>
      </c>
      <c r="D20" s="109">
        <v>1.0540866724151079</v>
      </c>
    </row>
    <row r="21" spans="1:4" x14ac:dyDescent="0.45">
      <c r="A21" s="106">
        <v>27</v>
      </c>
      <c r="B21" s="107">
        <v>1.04556</v>
      </c>
      <c r="C21" s="108">
        <v>1.1258822888622535</v>
      </c>
      <c r="D21" s="109">
        <v>1.0559960393188685</v>
      </c>
    </row>
    <row r="22" spans="1:4" x14ac:dyDescent="0.45">
      <c r="A22" s="106">
        <v>27.5</v>
      </c>
      <c r="B22" s="107">
        <v>1.04643</v>
      </c>
      <c r="C22" s="108">
        <v>1.1294251446900745</v>
      </c>
      <c r="D22" s="109">
        <v>1.0579123360089955</v>
      </c>
    </row>
    <row r="23" spans="1:4" x14ac:dyDescent="0.45">
      <c r="A23" s="106">
        <v>28</v>
      </c>
      <c r="B23" s="107">
        <v>1.0472900000000001</v>
      </c>
      <c r="C23" s="108">
        <v>1.1329903677751569</v>
      </c>
      <c r="D23" s="109">
        <v>1.0598356002801432</v>
      </c>
    </row>
    <row r="24" spans="1:4" x14ac:dyDescent="0.45">
      <c r="A24" s="106">
        <v>28.5</v>
      </c>
      <c r="B24" s="107">
        <v>1.0481499999999999</v>
      </c>
      <c r="C24" s="108">
        <v>1.1365781706064451</v>
      </c>
      <c r="D24" s="109">
        <v>1.0617658702023067</v>
      </c>
    </row>
    <row r="25" spans="1:4" x14ac:dyDescent="0.45">
      <c r="A25" s="106">
        <v>29</v>
      </c>
      <c r="B25" s="107">
        <v>1.0490200000000001</v>
      </c>
      <c r="C25" s="108">
        <v>1.1382703465428317</v>
      </c>
      <c r="D25" s="109">
        <v>1.0647238488599537</v>
      </c>
    </row>
    <row r="26" spans="1:4" x14ac:dyDescent="0.45">
      <c r="A26" s="106">
        <v>29.5</v>
      </c>
      <c r="B26" s="107">
        <v>1.04989</v>
      </c>
      <c r="C26" s="108">
        <v>1.1399675687295259</v>
      </c>
      <c r="D26" s="109">
        <v>1.0676983548552021</v>
      </c>
    </row>
    <row r="27" spans="1:4" x14ac:dyDescent="0.45">
      <c r="A27" s="106">
        <v>30</v>
      </c>
      <c r="B27" s="107">
        <v>1.0507500000000001</v>
      </c>
      <c r="C27" s="108">
        <v>1.1416698597729249</v>
      </c>
      <c r="D27" s="109">
        <v>1.0712314930909916</v>
      </c>
    </row>
    <row r="28" spans="1:4" x14ac:dyDescent="0.45">
      <c r="A28" s="106">
        <v>30.5</v>
      </c>
      <c r="B28" s="107">
        <v>1.05162</v>
      </c>
      <c r="C28" s="108">
        <v>1.1433772424146591</v>
      </c>
      <c r="D28" s="109">
        <v>1.0747880920932076</v>
      </c>
    </row>
    <row r="29" spans="1:4" x14ac:dyDescent="0.45">
      <c r="A29" s="106">
        <v>31</v>
      </c>
      <c r="B29" s="107">
        <v>1.0524899999999999</v>
      </c>
      <c r="C29" s="108">
        <v>1.1450897395326041</v>
      </c>
      <c r="D29" s="109">
        <v>1.0748549387033384</v>
      </c>
    </row>
    <row r="30" spans="1:4" x14ac:dyDescent="0.45">
      <c r="A30" s="106">
        <v>31.5</v>
      </c>
      <c r="B30" s="107">
        <v>1.0533600000000001</v>
      </c>
      <c r="C30" s="108">
        <v>1.1468073741419031</v>
      </c>
      <c r="D30" s="109">
        <v>1.0749217936290567</v>
      </c>
    </row>
    <row r="31" spans="1:4" x14ac:dyDescent="0.45">
      <c r="A31" s="106">
        <v>32</v>
      </c>
      <c r="B31" s="107">
        <v>1.05423</v>
      </c>
      <c r="C31" s="108">
        <v>1.1470886367706856</v>
      </c>
      <c r="D31" s="109">
        <v>1.0736424675594611</v>
      </c>
    </row>
    <row r="32" spans="1:4" x14ac:dyDescent="0.45">
      <c r="A32" s="106">
        <v>32.5</v>
      </c>
      <c r="B32" s="107">
        <v>1.0550999999999999</v>
      </c>
      <c r="C32" s="108">
        <v>1.1473700373966156</v>
      </c>
      <c r="D32" s="109">
        <v>1.0723661830685489</v>
      </c>
    </row>
    <row r="33" spans="1:4" x14ac:dyDescent="0.45">
      <c r="A33" s="106">
        <v>33</v>
      </c>
      <c r="B33" s="107">
        <v>1.0559700000000001</v>
      </c>
      <c r="C33" s="108">
        <v>1.1476515761212769</v>
      </c>
      <c r="D33" s="109">
        <v>1.0720760831548264</v>
      </c>
    </row>
    <row r="34" spans="1:4" x14ac:dyDescent="0.45">
      <c r="A34" s="106">
        <v>33.5</v>
      </c>
      <c r="B34" s="107">
        <v>1.05684</v>
      </c>
      <c r="C34" s="108">
        <v>1.1479332530463535</v>
      </c>
      <c r="D34" s="109">
        <v>1.071786140156159</v>
      </c>
    </row>
    <row r="35" spans="1:4" x14ac:dyDescent="0.45">
      <c r="A35" s="106">
        <v>34</v>
      </c>
      <c r="B35" s="107">
        <v>1.0577099999999999</v>
      </c>
      <c r="C35" s="108">
        <v>1.1482150682736292</v>
      </c>
      <c r="D35" s="109">
        <v>1.0738743751029827</v>
      </c>
    </row>
    <row r="36" spans="1:4" x14ac:dyDescent="0.45">
      <c r="A36" s="106">
        <v>34.5</v>
      </c>
      <c r="B36" s="107">
        <v>1.0585800000000001</v>
      </c>
      <c r="C36" s="108">
        <v>1.1484970219049877</v>
      </c>
      <c r="D36" s="109">
        <v>1.0759707632399207</v>
      </c>
    </row>
    <row r="37" spans="1:4" x14ac:dyDescent="0.45">
      <c r="A37" s="106">
        <v>35</v>
      </c>
      <c r="B37" s="107">
        <v>1.0594600000000001</v>
      </c>
      <c r="C37" s="108">
        <v>1.1407857420512892</v>
      </c>
      <c r="D37" s="109">
        <v>1.0775775100219296</v>
      </c>
    </row>
    <row r="38" spans="1:4" x14ac:dyDescent="0.45">
      <c r="A38" s="106">
        <v>35.5</v>
      </c>
      <c r="B38" s="107">
        <v>1.06033</v>
      </c>
      <c r="C38" s="108">
        <v>1.1331773222737402</v>
      </c>
      <c r="D38" s="109">
        <v>1.0791890626894334</v>
      </c>
    </row>
    <row r="39" spans="1:4" x14ac:dyDescent="0.45">
      <c r="A39" s="106">
        <v>36</v>
      </c>
      <c r="B39" s="107">
        <v>1.06121</v>
      </c>
      <c r="C39" s="108">
        <v>1.1256697181454438</v>
      </c>
      <c r="D39" s="109">
        <v>1.0808054428368077</v>
      </c>
    </row>
    <row r="40" spans="1:4" x14ac:dyDescent="0.45">
      <c r="A40" s="106">
        <v>36.5</v>
      </c>
      <c r="B40" s="107">
        <v>1.0620799999999999</v>
      </c>
      <c r="C40" s="108">
        <v>1.1182609390624207</v>
      </c>
      <c r="D40" s="109">
        <v>1.0824266721879956</v>
      </c>
    </row>
    <row r="41" spans="1:4" x14ac:dyDescent="0.45">
      <c r="A41" s="106">
        <v>37</v>
      </c>
      <c r="B41" s="107">
        <v>1.0629599999999999</v>
      </c>
      <c r="C41" s="108">
        <v>1.1109490464839697</v>
      </c>
      <c r="D41" s="109">
        <v>1.0845225062426858</v>
      </c>
    </row>
    <row r="42" spans="1:4" x14ac:dyDescent="0.45">
      <c r="A42" s="106">
        <v>37.5</v>
      </c>
      <c r="B42" s="107">
        <v>1.0638399999999999</v>
      </c>
      <c r="C42" s="108">
        <v>1.1037321522416119</v>
      </c>
      <c r="D42" s="109">
        <v>1.0866264721033554</v>
      </c>
    </row>
    <row r="43" spans="1:4" x14ac:dyDescent="0.45">
      <c r="A43" s="106">
        <v>38</v>
      </c>
      <c r="B43" s="107">
        <v>1.0647200000000001</v>
      </c>
      <c r="C43" s="108">
        <v>1.1143006782433476</v>
      </c>
      <c r="D43" s="109">
        <v>1.0877817897459576</v>
      </c>
    </row>
    <row r="44" spans="1:4" x14ac:dyDescent="0.45">
      <c r="A44" s="106">
        <v>38.5</v>
      </c>
      <c r="B44" s="107">
        <v>1.0656000000000001</v>
      </c>
      <c r="C44" s="108">
        <v>1.125073553784655</v>
      </c>
      <c r="D44" s="109">
        <v>1.0889395667056039</v>
      </c>
    </row>
    <row r="45" spans="1:4" x14ac:dyDescent="0.45">
      <c r="A45" s="106">
        <v>39</v>
      </c>
      <c r="B45" s="107">
        <v>1.06647</v>
      </c>
      <c r="C45" s="108">
        <v>1.1360567635778847</v>
      </c>
      <c r="D45" s="109">
        <v>1.0916059850114701</v>
      </c>
    </row>
    <row r="46" spans="1:4" x14ac:dyDescent="0.45">
      <c r="A46" s="106">
        <v>39.5</v>
      </c>
      <c r="B46" s="107">
        <v>1.0673600000000001</v>
      </c>
      <c r="C46" s="108">
        <v>1.147256528335463</v>
      </c>
      <c r="D46" s="109">
        <v>1.0942854935545245</v>
      </c>
    </row>
    <row r="47" spans="1:4" x14ac:dyDescent="0.45">
      <c r="A47" s="106">
        <v>40</v>
      </c>
      <c r="B47" s="107">
        <v>1.0682400000000001</v>
      </c>
      <c r="C47" s="108">
        <v>1.1586793165186977</v>
      </c>
      <c r="D47" s="109">
        <v>1.0953148963073511</v>
      </c>
    </row>
    <row r="48" spans="1:4" x14ac:dyDescent="0.45">
      <c r="A48" s="106">
        <v>40.5</v>
      </c>
      <c r="B48" s="107">
        <v>1.0691200000000001</v>
      </c>
      <c r="C48" s="108">
        <v>1.1703318567955117</v>
      </c>
      <c r="D48" s="109">
        <v>1.0963462376179165</v>
      </c>
    </row>
    <row r="49" spans="1:4" x14ac:dyDescent="0.45">
      <c r="A49" s="106">
        <v>41</v>
      </c>
      <c r="B49" s="107">
        <v>1.07</v>
      </c>
      <c r="C49" s="108">
        <v>1.1659753278942089</v>
      </c>
      <c r="D49" s="109">
        <v>1.0972171398013062</v>
      </c>
    </row>
    <row r="50" spans="1:4" x14ac:dyDescent="0.45">
      <c r="A50" s="106">
        <v>41.5</v>
      </c>
      <c r="B50" s="107">
        <v>1.0708800000000001</v>
      </c>
      <c r="C50" s="108">
        <v>1.1616511128291522</v>
      </c>
      <c r="D50" s="109">
        <v>1.0980894267180412</v>
      </c>
    </row>
    <row r="51" spans="1:4" x14ac:dyDescent="0.45">
      <c r="A51" s="106">
        <v>42</v>
      </c>
      <c r="B51" s="107">
        <v>1.0717699999999999</v>
      </c>
      <c r="C51" s="108">
        <v>1.1573588534049251</v>
      </c>
      <c r="D51" s="109">
        <v>1.1050978394114797</v>
      </c>
    </row>
    <row r="52" spans="1:4" x14ac:dyDescent="0.45">
      <c r="A52" s="106">
        <v>42.5</v>
      </c>
      <c r="B52" s="107">
        <v>1.0726500000000001</v>
      </c>
      <c r="C52" s="108">
        <v>1.1530981967006984</v>
      </c>
      <c r="D52" s="109">
        <v>1.1121962873045967</v>
      </c>
    </row>
    <row r="53" spans="1:4" x14ac:dyDescent="0.45">
      <c r="A53" s="106">
        <v>43</v>
      </c>
      <c r="B53" s="107">
        <v>1.0735399999999999</v>
      </c>
      <c r="C53" s="108">
        <v>1.1488687949734988</v>
      </c>
      <c r="D53" s="109">
        <v>1.1109166777924957</v>
      </c>
    </row>
    <row r="54" spans="1:4" x14ac:dyDescent="0.45">
      <c r="A54" s="106">
        <v>43.5</v>
      </c>
      <c r="B54" s="107">
        <v>1.0744199999999999</v>
      </c>
      <c r="C54" s="108">
        <v>1.1446703055635967</v>
      </c>
      <c r="D54" s="109">
        <v>1.1096400093418188</v>
      </c>
    </row>
    <row r="55" spans="1:4" x14ac:dyDescent="0.45">
      <c r="A55" s="106">
        <v>44</v>
      </c>
      <c r="B55" s="107">
        <v>1.07531</v>
      </c>
      <c r="C55" s="108">
        <v>1.1483606286076853</v>
      </c>
      <c r="D55" s="109">
        <v>1.1080538973470433</v>
      </c>
    </row>
    <row r="56" spans="1:4" x14ac:dyDescent="0.45">
      <c r="A56" s="106">
        <v>44.5</v>
      </c>
      <c r="B56" s="107">
        <v>1.0762</v>
      </c>
      <c r="C56" s="108">
        <v>1.1520748232084679</v>
      </c>
      <c r="D56" s="109">
        <v>1.1064723132358578</v>
      </c>
    </row>
    <row r="57" spans="1:4" x14ac:dyDescent="0.45">
      <c r="A57" s="106">
        <v>45</v>
      </c>
      <c r="B57" s="107">
        <v>1.0770900000000001</v>
      </c>
      <c r="C57" s="108">
        <v>1.1558131217440948</v>
      </c>
      <c r="D57" s="109">
        <v>1.1086983517123457</v>
      </c>
    </row>
    <row r="58" spans="1:4" x14ac:dyDescent="0.45">
      <c r="A58" s="106">
        <v>45.5</v>
      </c>
      <c r="B58" s="107">
        <v>1.0779799999999999</v>
      </c>
      <c r="C58" s="108">
        <v>1.1595757596186544</v>
      </c>
      <c r="D58" s="109">
        <v>1.1109333650840394</v>
      </c>
    </row>
    <row r="59" spans="1:4" x14ac:dyDescent="0.45">
      <c r="A59" s="106">
        <v>46</v>
      </c>
      <c r="B59" s="107">
        <v>1.07887</v>
      </c>
      <c r="C59" s="108">
        <v>1.1633629753115879</v>
      </c>
      <c r="D59" s="109">
        <v>1.1130661456559865</v>
      </c>
    </row>
    <row r="60" spans="1:4" x14ac:dyDescent="0.45">
      <c r="A60" s="106">
        <v>46.5</v>
      </c>
      <c r="B60" s="107">
        <v>1.0797600000000001</v>
      </c>
      <c r="C60" s="108">
        <v>1.1671750104280747</v>
      </c>
      <c r="D60" s="109">
        <v>1.1152071310449794</v>
      </c>
    </row>
    <row r="61" spans="1:4" x14ac:dyDescent="0.45">
      <c r="A61" s="106">
        <v>47</v>
      </c>
      <c r="B61" s="107">
        <v>1.0806500000000001</v>
      </c>
      <c r="C61" s="108">
        <v>1.1686387286936255</v>
      </c>
      <c r="D61" s="109">
        <v>1.1154904013603586</v>
      </c>
    </row>
    <row r="62" spans="1:4" x14ac:dyDescent="0.45">
      <c r="A62" s="106">
        <v>47.5</v>
      </c>
      <c r="B62" s="107">
        <v>1.0815399999999999</v>
      </c>
      <c r="C62" s="108">
        <v>1.1701061227769802</v>
      </c>
      <c r="D62" s="109">
        <v>1.1157738156175341</v>
      </c>
    </row>
    <row r="63" spans="1:4" x14ac:dyDescent="0.45">
      <c r="A63" s="106">
        <v>48</v>
      </c>
      <c r="B63" s="107">
        <v>1.08243</v>
      </c>
      <c r="C63" s="108">
        <v>1.1715772065421013</v>
      </c>
      <c r="D63" s="109">
        <v>1.1158925273422704</v>
      </c>
    </row>
    <row r="64" spans="1:4" x14ac:dyDescent="0.45">
      <c r="A64" s="106">
        <v>48.5</v>
      </c>
      <c r="B64" s="107">
        <v>1.0833299999999999</v>
      </c>
      <c r="C64" s="108">
        <v>1.1730519939227597</v>
      </c>
      <c r="D64" s="109">
        <v>1.1160112643301427</v>
      </c>
    </row>
    <row r="65" spans="1:4" x14ac:dyDescent="0.45">
      <c r="A65" s="106">
        <v>49</v>
      </c>
      <c r="B65" s="107">
        <v>1.08422</v>
      </c>
      <c r="C65" s="108">
        <v>1.1745304989229743</v>
      </c>
      <c r="D65" s="109">
        <v>1.120960930220859</v>
      </c>
    </row>
    <row r="66" spans="1:4" x14ac:dyDescent="0.45">
      <c r="A66" s="106">
        <v>49.5</v>
      </c>
      <c r="B66" s="107">
        <v>1.08511</v>
      </c>
      <c r="C66" s="108">
        <v>1.1760127356174555</v>
      </c>
      <c r="D66" s="109">
        <v>1.1259546966231293</v>
      </c>
    </row>
    <row r="67" spans="1:4" x14ac:dyDescent="0.45">
      <c r="A67" s="106">
        <v>50</v>
      </c>
      <c r="B67" s="107">
        <v>1.0860099999999999</v>
      </c>
      <c r="C67" s="108">
        <v>1.1759585416385978</v>
      </c>
      <c r="D67" s="109">
        <v>1.1301180986301733</v>
      </c>
    </row>
    <row r="68" spans="1:4" x14ac:dyDescent="0.45">
      <c r="A68" s="106">
        <v>50.5</v>
      </c>
      <c r="B68" s="107">
        <v>1.08691</v>
      </c>
      <c r="C68" s="108">
        <v>1.1759043526543322</v>
      </c>
      <c r="D68" s="109">
        <v>1.134312404632204</v>
      </c>
    </row>
    <row r="69" spans="1:4" x14ac:dyDescent="0.45">
      <c r="A69" s="106">
        <v>51</v>
      </c>
      <c r="B69" s="107">
        <v>1.0878000000000001</v>
      </c>
      <c r="C69" s="108">
        <v>1.1758501686639686</v>
      </c>
      <c r="D69" s="109">
        <v>1.1377018265470524</v>
      </c>
    </row>
    <row r="70" spans="1:4" x14ac:dyDescent="0.45">
      <c r="A70" s="106">
        <v>51.5</v>
      </c>
      <c r="B70" s="107">
        <v>1.0887</v>
      </c>
      <c r="C70" s="108">
        <v>1.1757959896668164</v>
      </c>
      <c r="D70" s="109">
        <v>1.1411115649310015</v>
      </c>
    </row>
    <row r="71" spans="1:4" x14ac:dyDescent="0.45">
      <c r="A71" s="106">
        <v>52</v>
      </c>
      <c r="B71" s="107">
        <v>1.0895999999999999</v>
      </c>
      <c r="C71" s="108">
        <v>1.1757418156621855</v>
      </c>
      <c r="D71" s="109">
        <v>1.148240170158612</v>
      </c>
    </row>
    <row r="72" spans="1:4" x14ac:dyDescent="0.45">
      <c r="A72" s="106">
        <v>52.5</v>
      </c>
      <c r="B72" s="107">
        <v>1.0905</v>
      </c>
      <c r="C72" s="108">
        <v>1.1756876466493857</v>
      </c>
      <c r="D72" s="109">
        <v>1.1554584010936568</v>
      </c>
    </row>
    <row r="73" spans="1:4" x14ac:dyDescent="0.45">
      <c r="A73" s="106">
        <v>53</v>
      </c>
      <c r="B73" s="107">
        <v>1.0913999999999999</v>
      </c>
      <c r="C73" s="108">
        <v>1.178764334064228</v>
      </c>
      <c r="D73" s="109">
        <v>1.1592332193599284</v>
      </c>
    </row>
    <row r="74" spans="1:4" x14ac:dyDescent="0.45">
      <c r="A74" s="106">
        <v>53.5</v>
      </c>
      <c r="B74" s="107">
        <v>1.0923</v>
      </c>
      <c r="C74" s="108">
        <v>1.1818571666555657</v>
      </c>
      <c r="D74" s="109">
        <v>1.1630327827092348</v>
      </c>
    </row>
    <row r="75" spans="1:4" x14ac:dyDescent="0.45">
      <c r="A75" s="106">
        <v>54</v>
      </c>
      <c r="B75" s="107">
        <v>1.0931999999999999</v>
      </c>
      <c r="C75" s="108">
        <v>1.1849662718424816</v>
      </c>
      <c r="D75" s="109">
        <v>1.168541681150139</v>
      </c>
    </row>
    <row r="76" spans="1:4" ht="16.5" x14ac:dyDescent="0.45">
      <c r="A76" s="227"/>
      <c r="B76" s="228"/>
      <c r="C76" s="229"/>
      <c r="D76" s="230"/>
    </row>
    <row r="77" spans="1:4" x14ac:dyDescent="0.45">
      <c r="A77" s="231"/>
      <c r="B77" s="232"/>
      <c r="C77" s="110"/>
      <c r="D77" s="232"/>
    </row>
    <row r="78" spans="1:4" x14ac:dyDescent="0.45">
      <c r="A78" s="84" t="s">
        <v>437</v>
      </c>
      <c r="B78" s="111"/>
      <c r="C78" s="2"/>
      <c r="D78" s="2"/>
    </row>
    <row r="79" spans="1:4" x14ac:dyDescent="0.45">
      <c r="A79" s="84" t="s">
        <v>438</v>
      </c>
      <c r="B79" s="2"/>
      <c r="C79" s="2"/>
      <c r="D79" s="2"/>
    </row>
    <row r="80" spans="1:4" x14ac:dyDescent="0.45">
      <c r="A80" s="84" t="s">
        <v>439</v>
      </c>
      <c r="B80" s="2"/>
      <c r="C80" s="2"/>
      <c r="D80" s="2"/>
    </row>
    <row r="81" spans="1:4" x14ac:dyDescent="0.45">
      <c r="A81" s="84" t="s">
        <v>440</v>
      </c>
      <c r="B81" s="2"/>
      <c r="C81" s="2"/>
      <c r="D81" s="2"/>
    </row>
  </sheetData>
  <sheetProtection sheet="1" objects="1" scenarios="1" selectLockedCell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F53CA-52C3-4F8D-9112-7285343E4A8D}">
  <sheetPr codeName="Sheet8"/>
  <dimension ref="A1:XFC11"/>
  <sheetViews>
    <sheetView zoomScaleNormal="100" workbookViewId="0"/>
  </sheetViews>
  <sheetFormatPr defaultColWidth="0" defaultRowHeight="16" zeroHeight="1" x14ac:dyDescent="0.45"/>
  <cols>
    <col min="1" max="1" width="22.7265625" style="102" bestFit="1" customWidth="1"/>
    <col min="2" max="2" width="52.54296875" style="102" customWidth="1"/>
    <col min="3" max="16382" width="8.81640625" style="102" hidden="1"/>
    <col min="16383" max="16383" width="8.7265625" style="102" hidden="1"/>
    <col min="16384" max="16384" width="0.26953125" style="102" hidden="1"/>
  </cols>
  <sheetData>
    <row r="1" spans="1:3" x14ac:dyDescent="0.45">
      <c r="A1" s="88" t="s">
        <v>0</v>
      </c>
    </row>
    <row r="2" spans="1:3" ht="16.5" x14ac:dyDescent="0.45">
      <c r="A2" s="196" t="s">
        <v>3</v>
      </c>
    </row>
    <row r="3" spans="1:3" ht="17.649999999999999" customHeight="1" x14ac:dyDescent="0.45">
      <c r="B3" s="218" t="s">
        <v>441</v>
      </c>
      <c r="C3" s="137"/>
    </row>
    <row r="4" spans="1:3" ht="17.649999999999999" customHeight="1" x14ac:dyDescent="0.45">
      <c r="A4" s="218" t="s">
        <v>442</v>
      </c>
      <c r="B4" s="235">
        <v>6059684926</v>
      </c>
      <c r="C4" s="137"/>
    </row>
    <row r="5" spans="1:3" ht="17.649999999999999" customHeight="1" x14ac:dyDescent="0.45">
      <c r="A5" s="218" t="s">
        <v>443</v>
      </c>
      <c r="B5" s="235">
        <v>1501675294</v>
      </c>
      <c r="C5" s="137"/>
    </row>
    <row r="6" spans="1:3" ht="17.649999999999999" customHeight="1" thickBot="1" x14ac:dyDescent="0.5">
      <c r="A6" s="236" t="s">
        <v>444</v>
      </c>
      <c r="B6" s="237">
        <v>13535775714</v>
      </c>
      <c r="C6" s="137"/>
    </row>
    <row r="7" spans="1:3" ht="17.649999999999999" customHeight="1" thickTop="1" x14ac:dyDescent="0.45">
      <c r="A7" s="218" t="s">
        <v>445</v>
      </c>
      <c r="B7" s="233">
        <v>0.44767917657888578</v>
      </c>
      <c r="C7" s="137"/>
    </row>
    <row r="8" spans="1:3" ht="17.649999999999999" customHeight="1" x14ac:dyDescent="0.45">
      <c r="A8" s="218" t="s">
        <v>446</v>
      </c>
      <c r="B8" s="233">
        <v>0.11094120689712841</v>
      </c>
      <c r="C8" s="137"/>
    </row>
    <row r="9" spans="1:3" ht="17.149999999999999" customHeight="1" x14ac:dyDescent="0.45">
      <c r="A9" s="218" t="s">
        <v>441</v>
      </c>
      <c r="B9" s="234">
        <v>0.55862038347601417</v>
      </c>
    </row>
    <row r="10" spans="1:3" x14ac:dyDescent="0.45"/>
    <row r="11" spans="1:3" x14ac:dyDescent="0.45">
      <c r="A11" s="218" t="s">
        <v>447</v>
      </c>
    </row>
  </sheetData>
  <sheetProtection sheet="1" objects="1" scenarios="1" selectLockedCells="1"/>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A357-CD7F-470B-8A3D-564C4E2E980C}">
  <sheetPr codeName="Sheet9"/>
  <dimension ref="A1:C20"/>
  <sheetViews>
    <sheetView zoomScale="90" zoomScaleNormal="90" workbookViewId="0"/>
  </sheetViews>
  <sheetFormatPr defaultColWidth="0" defaultRowHeight="16" zeroHeight="1" x14ac:dyDescent="0.45"/>
  <cols>
    <col min="1" max="1" width="64.1796875" style="102" bestFit="1" customWidth="1"/>
    <col min="2" max="2" width="12.54296875" style="102" bestFit="1" customWidth="1"/>
    <col min="3" max="3" width="24.81640625" style="102" bestFit="1" customWidth="1"/>
    <col min="4" max="16384" width="8.7265625" style="102" hidden="1"/>
  </cols>
  <sheetData>
    <row r="1" spans="1:3" x14ac:dyDescent="0.45">
      <c r="A1" s="88" t="s">
        <v>0</v>
      </c>
    </row>
    <row r="2" spans="1:3" ht="16.5" x14ac:dyDescent="0.45">
      <c r="A2" s="196" t="s">
        <v>3</v>
      </c>
    </row>
    <row r="3" spans="1:3" ht="16.5" x14ac:dyDescent="0.45">
      <c r="A3" s="246"/>
      <c r="B3" s="246"/>
      <c r="C3" s="114" t="s">
        <v>448</v>
      </c>
    </row>
    <row r="4" spans="1:3" ht="46.5" customHeight="1" x14ac:dyDescent="0.45">
      <c r="A4" s="246"/>
      <c r="B4" s="246"/>
      <c r="C4" s="247" t="s">
        <v>449</v>
      </c>
    </row>
    <row r="5" spans="1:3" ht="16.5" x14ac:dyDescent="0.45">
      <c r="A5" s="248" t="s">
        <v>450</v>
      </c>
      <c r="B5" s="112">
        <v>1386763456</v>
      </c>
      <c r="C5" s="249">
        <v>0.21</v>
      </c>
    </row>
    <row r="6" spans="1:3" ht="16.5" x14ac:dyDescent="0.45">
      <c r="A6" s="248" t="s">
        <v>451</v>
      </c>
      <c r="B6" s="112">
        <v>1609872415</v>
      </c>
      <c r="C6" s="249">
        <v>0.4</v>
      </c>
    </row>
    <row r="7" spans="1:3" ht="16.5" x14ac:dyDescent="0.45">
      <c r="A7" s="248" t="s">
        <v>452</v>
      </c>
      <c r="B7" s="112">
        <v>1861533648</v>
      </c>
      <c r="C7" s="249">
        <v>1.67</v>
      </c>
    </row>
    <row r="8" spans="1:3" ht="16.5" x14ac:dyDescent="0.45">
      <c r="A8" s="248" t="s">
        <v>453</v>
      </c>
      <c r="B8" s="112">
        <v>1427049964</v>
      </c>
      <c r="C8" s="249">
        <v>0.8</v>
      </c>
    </row>
    <row r="9" spans="1:3" ht="16.5" x14ac:dyDescent="0.45">
      <c r="A9" s="248" t="s">
        <v>454</v>
      </c>
      <c r="B9" s="112">
        <v>1710066634</v>
      </c>
      <c r="C9" s="249">
        <v>1.1200000000000001</v>
      </c>
    </row>
    <row r="10" spans="1:3" ht="16.5" x14ac:dyDescent="0.45">
      <c r="A10" s="248" t="s">
        <v>455</v>
      </c>
      <c r="B10" s="112">
        <v>1326146333</v>
      </c>
      <c r="C10" s="249">
        <v>0.31</v>
      </c>
    </row>
    <row r="11" spans="1:3" ht="16.5" x14ac:dyDescent="0.45">
      <c r="A11" s="248" t="s">
        <v>456</v>
      </c>
      <c r="B11" s="112">
        <v>1841342334</v>
      </c>
      <c r="C11" s="249">
        <v>0.43</v>
      </c>
    </row>
    <row r="12" spans="1:3" ht="16.5" x14ac:dyDescent="0.45">
      <c r="A12" s="248" t="s">
        <v>457</v>
      </c>
      <c r="B12" s="112">
        <v>1619947090</v>
      </c>
      <c r="C12" s="249">
        <v>0.68</v>
      </c>
    </row>
    <row r="13" spans="1:3" ht="16.5" x14ac:dyDescent="0.45">
      <c r="A13" s="248" t="s">
        <v>458</v>
      </c>
      <c r="B13" s="112">
        <v>1235352618</v>
      </c>
      <c r="C13" s="249">
        <v>2.0499999999999998</v>
      </c>
    </row>
    <row r="14" spans="1:3" ht="16.5" x14ac:dyDescent="0.45">
      <c r="A14" s="248" t="s">
        <v>459</v>
      </c>
      <c r="B14" s="112">
        <v>1700963956</v>
      </c>
      <c r="C14" s="249">
        <v>0.36</v>
      </c>
    </row>
    <row r="17" s="102" customFormat="1" hidden="1" x14ac:dyDescent="0.45"/>
    <row r="18" s="102" customFormat="1" hidden="1" x14ac:dyDescent="0.45"/>
    <row r="19" s="102" customFormat="1" hidden="1" x14ac:dyDescent="0.45"/>
    <row r="20" s="102" customFormat="1" hidden="1" x14ac:dyDescent="0.45"/>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8D209B-5F70-49EF-AFDC-2D3046BE016A}">
  <sheetPr codeName="Sheet10"/>
  <dimension ref="A1:E6"/>
  <sheetViews>
    <sheetView zoomScaleNormal="100" workbookViewId="0"/>
  </sheetViews>
  <sheetFormatPr defaultColWidth="0" defaultRowHeight="16" zeroHeight="1" x14ac:dyDescent="0.45"/>
  <cols>
    <col min="1" max="1" width="12.453125" style="218" bestFit="1" customWidth="1"/>
    <col min="2" max="2" width="10.26953125" style="218" bestFit="1" customWidth="1"/>
    <col min="3" max="3" width="10.54296875" style="218" bestFit="1" customWidth="1"/>
    <col min="4" max="4" width="17.26953125" style="218" customWidth="1"/>
    <col min="5" max="5" width="24.54296875" style="102" hidden="1" customWidth="1"/>
    <col min="6" max="16384" width="8.7265625" style="102" hidden="1"/>
  </cols>
  <sheetData>
    <row r="1" spans="1:5" x14ac:dyDescent="0.45">
      <c r="A1" s="88" t="s">
        <v>0</v>
      </c>
      <c r="B1" s="102"/>
      <c r="C1" s="102"/>
      <c r="D1" s="102"/>
    </row>
    <row r="2" spans="1:5" ht="16.5" x14ac:dyDescent="0.45">
      <c r="A2" s="196" t="s">
        <v>3</v>
      </c>
      <c r="B2" s="102"/>
      <c r="C2" s="102"/>
      <c r="D2" s="102"/>
    </row>
    <row r="3" spans="1:5" x14ac:dyDescent="0.45">
      <c r="A3" s="250" t="s">
        <v>460</v>
      </c>
      <c r="B3" s="102"/>
      <c r="C3" s="102"/>
      <c r="D3" s="102"/>
    </row>
    <row r="4" spans="1:5" ht="36" customHeight="1" x14ac:dyDescent="0.45">
      <c r="A4" s="251" t="s">
        <v>461</v>
      </c>
      <c r="B4" s="251" t="s">
        <v>462</v>
      </c>
      <c r="C4" s="251" t="s">
        <v>463</v>
      </c>
      <c r="D4" s="251" t="s">
        <v>464</v>
      </c>
    </row>
    <row r="5" spans="1:5" x14ac:dyDescent="0.45">
      <c r="A5" s="252">
        <v>1061</v>
      </c>
      <c r="B5" s="252">
        <v>1061</v>
      </c>
      <c r="C5" s="253">
        <v>281</v>
      </c>
      <c r="D5" s="253">
        <v>281</v>
      </c>
      <c r="E5" s="254"/>
    </row>
    <row r="6" spans="1:5" hidden="1" x14ac:dyDescent="0.45">
      <c r="A6" s="255"/>
      <c r="B6" s="255"/>
      <c r="C6" s="256"/>
      <c r="D6" s="256"/>
      <c r="E6" s="254"/>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D646-D6FC-41AB-812F-9269294E6D28}">
  <dimension ref="A1:B55"/>
  <sheetViews>
    <sheetView zoomScale="95" zoomScaleNormal="95" workbookViewId="0"/>
  </sheetViews>
  <sheetFormatPr defaultColWidth="0" defaultRowHeight="0" customHeight="1" zeroHeight="1" x14ac:dyDescent="0.45"/>
  <cols>
    <col min="1" max="1" width="17.453125" style="151" customWidth="1"/>
    <col min="2" max="2" width="95.54296875" style="151" customWidth="1"/>
    <col min="3" max="16384" width="5.54296875" style="151" hidden="1"/>
  </cols>
  <sheetData>
    <row r="1" spans="1:2" s="80" customFormat="1" ht="25.15" customHeight="1" x14ac:dyDescent="0.45">
      <c r="A1" s="115" t="s">
        <v>0</v>
      </c>
    </row>
    <row r="2" spans="1:2" ht="16.149999999999999" customHeight="1" x14ac:dyDescent="0.45">
      <c r="A2" s="150" t="s">
        <v>3</v>
      </c>
    </row>
    <row r="3" spans="1:2" ht="17.5" x14ac:dyDescent="0.45">
      <c r="A3" s="152" t="s">
        <v>4</v>
      </c>
    </row>
    <row r="4" spans="1:2" ht="100.15" customHeight="1" x14ac:dyDescent="0.45">
      <c r="A4" s="138" t="s">
        <v>5</v>
      </c>
      <c r="B4" s="138"/>
    </row>
    <row r="5" spans="1:2" ht="34.5" customHeight="1" x14ac:dyDescent="0.45">
      <c r="A5" s="9" t="s">
        <v>6</v>
      </c>
      <c r="B5" s="81"/>
    </row>
    <row r="6" spans="1:2" ht="17.5" x14ac:dyDescent="0.45">
      <c r="A6" s="10" t="s">
        <v>7</v>
      </c>
      <c r="B6" s="18" t="s">
        <v>8</v>
      </c>
    </row>
    <row r="7" spans="1:2" ht="17.5" x14ac:dyDescent="0.45">
      <c r="A7" s="11" t="s">
        <v>9</v>
      </c>
      <c r="B7" s="70" t="s">
        <v>10</v>
      </c>
    </row>
    <row r="8" spans="1:2" ht="17.5" x14ac:dyDescent="0.45">
      <c r="A8" s="14" t="s">
        <v>11</v>
      </c>
      <c r="B8" s="71" t="s">
        <v>12</v>
      </c>
    </row>
    <row r="9" spans="1:2" ht="17.5" x14ac:dyDescent="0.45">
      <c r="A9" s="14" t="s">
        <v>13</v>
      </c>
      <c r="B9" s="71" t="s">
        <v>14</v>
      </c>
    </row>
    <row r="10" spans="1:2" ht="17.5" x14ac:dyDescent="0.45">
      <c r="A10" s="14" t="s">
        <v>15</v>
      </c>
      <c r="B10" s="71" t="s">
        <v>16</v>
      </c>
    </row>
    <row r="11" spans="1:2" ht="17.5" x14ac:dyDescent="0.45">
      <c r="A11" s="14" t="s">
        <v>17</v>
      </c>
      <c r="B11" s="71" t="s">
        <v>18</v>
      </c>
    </row>
    <row r="12" spans="1:2" ht="35" x14ac:dyDescent="0.45">
      <c r="A12" s="14" t="s">
        <v>19</v>
      </c>
      <c r="B12" s="71" t="s">
        <v>20</v>
      </c>
    </row>
    <row r="13" spans="1:2" ht="17.5" x14ac:dyDescent="0.45">
      <c r="A13" s="14" t="s">
        <v>21</v>
      </c>
      <c r="B13" s="71" t="s">
        <v>22</v>
      </c>
    </row>
    <row r="14" spans="1:2" ht="17.5" x14ac:dyDescent="0.45">
      <c r="A14" s="14" t="s">
        <v>23</v>
      </c>
      <c r="B14" s="71" t="s">
        <v>24</v>
      </c>
    </row>
    <row r="15" spans="1:2" ht="17.5" x14ac:dyDescent="0.45">
      <c r="A15" s="12" t="s">
        <v>25</v>
      </c>
      <c r="B15" s="72" t="s">
        <v>26</v>
      </c>
    </row>
    <row r="16" spans="1:2" ht="17.5" x14ac:dyDescent="0.45">
      <c r="A16" s="12" t="s">
        <v>27</v>
      </c>
      <c r="B16" s="71" t="s">
        <v>28</v>
      </c>
    </row>
    <row r="17" spans="1:2" ht="17.5" x14ac:dyDescent="0.45">
      <c r="A17" s="12" t="s">
        <v>29</v>
      </c>
      <c r="B17" s="71" t="s">
        <v>30</v>
      </c>
    </row>
    <row r="18" spans="1:2" ht="35.25" customHeight="1" x14ac:dyDescent="0.45">
      <c r="A18" s="9" t="s">
        <v>31</v>
      </c>
      <c r="B18" s="82"/>
    </row>
    <row r="19" spans="1:2" ht="17.5" x14ac:dyDescent="0.45">
      <c r="A19" s="15" t="s">
        <v>7</v>
      </c>
      <c r="B19" s="16" t="s">
        <v>8</v>
      </c>
    </row>
    <row r="20" spans="1:2" ht="35" x14ac:dyDescent="0.45">
      <c r="A20" s="12" t="s">
        <v>32</v>
      </c>
      <c r="B20" s="13" t="s">
        <v>33</v>
      </c>
    </row>
    <row r="21" spans="1:2" ht="35.25" customHeight="1" x14ac:dyDescent="0.45">
      <c r="A21" s="9" t="s">
        <v>34</v>
      </c>
      <c r="B21" s="82"/>
    </row>
    <row r="22" spans="1:2" ht="19.149999999999999" customHeight="1" x14ac:dyDescent="0.45">
      <c r="A22" s="15" t="s">
        <v>7</v>
      </c>
      <c r="B22" s="19" t="s">
        <v>8</v>
      </c>
    </row>
    <row r="23" spans="1:2" ht="35" x14ac:dyDescent="0.45">
      <c r="A23" s="12" t="s">
        <v>35</v>
      </c>
      <c r="B23" s="20" t="s">
        <v>36</v>
      </c>
    </row>
    <row r="24" spans="1:2" ht="17.5" x14ac:dyDescent="0.45">
      <c r="A24" s="12" t="s">
        <v>37</v>
      </c>
      <c r="B24" s="21" t="s">
        <v>38</v>
      </c>
    </row>
    <row r="25" spans="1:2" ht="17.5" x14ac:dyDescent="0.45">
      <c r="A25" s="14" t="s">
        <v>39</v>
      </c>
      <c r="B25" s="20" t="s">
        <v>40</v>
      </c>
    </row>
    <row r="26" spans="1:2" ht="43.9" customHeight="1" x14ac:dyDescent="0.45">
      <c r="A26" s="12" t="s">
        <v>41</v>
      </c>
      <c r="B26" s="73" t="s">
        <v>42</v>
      </c>
    </row>
    <row r="27" spans="1:2" ht="43.9" customHeight="1" x14ac:dyDescent="0.45">
      <c r="A27" s="9" t="s">
        <v>43</v>
      </c>
      <c r="B27" s="81"/>
    </row>
    <row r="28" spans="1:2" ht="17.5" x14ac:dyDescent="0.45">
      <c r="A28" s="10" t="s">
        <v>7</v>
      </c>
      <c r="B28" s="18" t="s">
        <v>8</v>
      </c>
    </row>
    <row r="29" spans="1:2" ht="17.5" x14ac:dyDescent="0.45">
      <c r="A29" s="14" t="s">
        <v>44</v>
      </c>
      <c r="B29" s="20" t="s">
        <v>45</v>
      </c>
    </row>
    <row r="30" spans="1:2" ht="17.5" x14ac:dyDescent="0.45">
      <c r="A30" s="14" t="s">
        <v>46</v>
      </c>
      <c r="B30" s="20" t="s">
        <v>47</v>
      </c>
    </row>
    <row r="31" spans="1:2" ht="17.5" x14ac:dyDescent="0.45">
      <c r="A31" s="14" t="s">
        <v>48</v>
      </c>
      <c r="B31" s="20" t="s">
        <v>49</v>
      </c>
    </row>
    <row r="32" spans="1:2" ht="17.5" x14ac:dyDescent="0.45">
      <c r="A32" s="14" t="s">
        <v>50</v>
      </c>
      <c r="B32" s="20" t="s">
        <v>51</v>
      </c>
    </row>
    <row r="33" spans="1:2" ht="35" x14ac:dyDescent="0.45">
      <c r="A33" s="14" t="s">
        <v>52</v>
      </c>
      <c r="B33" s="20" t="s">
        <v>53</v>
      </c>
    </row>
    <row r="34" spans="1:2" ht="36" customHeight="1" x14ac:dyDescent="0.45">
      <c r="A34" s="9" t="s">
        <v>54</v>
      </c>
      <c r="B34" s="81"/>
    </row>
    <row r="35" spans="1:2" ht="17.5" x14ac:dyDescent="0.45">
      <c r="A35" s="10" t="s">
        <v>7</v>
      </c>
      <c r="B35" s="18" t="s">
        <v>8</v>
      </c>
    </row>
    <row r="36" spans="1:2" ht="17.5" x14ac:dyDescent="0.45">
      <c r="A36" s="12" t="s">
        <v>55</v>
      </c>
      <c r="B36" s="74" t="s">
        <v>56</v>
      </c>
    </row>
    <row r="37" spans="1:2" ht="34.5" customHeight="1" x14ac:dyDescent="0.45">
      <c r="A37" s="75" t="s">
        <v>57</v>
      </c>
      <c r="B37" s="83"/>
    </row>
    <row r="38" spans="1:2" ht="17.5" x14ac:dyDescent="0.45">
      <c r="A38" s="76" t="s">
        <v>7</v>
      </c>
      <c r="B38" s="77" t="s">
        <v>8</v>
      </c>
    </row>
    <row r="39" spans="1:2" ht="17.5" x14ac:dyDescent="0.45">
      <c r="A39" s="78" t="s">
        <v>58</v>
      </c>
      <c r="B39" s="79" t="s">
        <v>59</v>
      </c>
    </row>
    <row r="40" spans="1:2" ht="34.5" customHeight="1" x14ac:dyDescent="0.45">
      <c r="A40" s="75" t="s">
        <v>60</v>
      </c>
      <c r="B40" s="83"/>
    </row>
    <row r="41" spans="1:2" ht="17.5" x14ac:dyDescent="0.45">
      <c r="A41" s="76" t="s">
        <v>7</v>
      </c>
      <c r="B41" s="77" t="s">
        <v>8</v>
      </c>
    </row>
    <row r="42" spans="1:2" ht="17.5" x14ac:dyDescent="0.45">
      <c r="A42" s="78" t="s">
        <v>61</v>
      </c>
      <c r="B42" s="79" t="s">
        <v>62</v>
      </c>
    </row>
    <row r="43" spans="1:2" ht="33.75" customHeight="1" x14ac:dyDescent="0.45">
      <c r="A43" s="9" t="s">
        <v>63</v>
      </c>
      <c r="B43" s="81"/>
    </row>
    <row r="44" spans="1:2" ht="17.5" x14ac:dyDescent="0.45">
      <c r="A44" s="10" t="s">
        <v>7</v>
      </c>
      <c r="B44" s="22" t="s">
        <v>8</v>
      </c>
    </row>
    <row r="45" spans="1:2" ht="17.5" x14ac:dyDescent="0.45">
      <c r="A45" s="12" t="s">
        <v>64</v>
      </c>
      <c r="B45" s="20" t="s">
        <v>65</v>
      </c>
    </row>
    <row r="46" spans="1:2" ht="34.5" customHeight="1" x14ac:dyDescent="0.45">
      <c r="A46" s="9" t="s">
        <v>66</v>
      </c>
      <c r="B46" s="81"/>
    </row>
    <row r="47" spans="1:2" ht="17.5" x14ac:dyDescent="0.45">
      <c r="A47" s="10" t="s">
        <v>7</v>
      </c>
      <c r="B47" s="18" t="s">
        <v>8</v>
      </c>
    </row>
    <row r="48" spans="1:2" ht="17.5" x14ac:dyDescent="0.45">
      <c r="A48" s="12" t="s">
        <v>67</v>
      </c>
      <c r="B48" s="20" t="s">
        <v>68</v>
      </c>
    </row>
    <row r="49" spans="1:2" ht="17.5" x14ac:dyDescent="0.45">
      <c r="A49" s="12" t="s">
        <v>69</v>
      </c>
      <c r="B49" s="20" t="s">
        <v>70</v>
      </c>
    </row>
    <row r="50" spans="1:2" ht="17.5" x14ac:dyDescent="0.45">
      <c r="A50" s="12" t="s">
        <v>71</v>
      </c>
      <c r="B50" s="20" t="s">
        <v>72</v>
      </c>
    </row>
    <row r="51" spans="1:2" ht="17.5" x14ac:dyDescent="0.45">
      <c r="A51" s="12" t="s">
        <v>73</v>
      </c>
      <c r="B51" s="20" t="s">
        <v>74</v>
      </c>
    </row>
    <row r="52" spans="1:2" ht="17.5" x14ac:dyDescent="0.45">
      <c r="A52" s="12" t="s">
        <v>75</v>
      </c>
      <c r="B52" s="20" t="s">
        <v>76</v>
      </c>
    </row>
    <row r="53" spans="1:2" ht="17.5" x14ac:dyDescent="0.45">
      <c r="A53" s="12" t="s">
        <v>77</v>
      </c>
      <c r="B53" s="20" t="s">
        <v>78</v>
      </c>
    </row>
    <row r="54" spans="1:2" ht="17.5" x14ac:dyDescent="0.45">
      <c r="A54" s="12" t="s">
        <v>79</v>
      </c>
      <c r="B54" s="13" t="s">
        <v>80</v>
      </c>
    </row>
    <row r="55" spans="1:2" ht="24" customHeight="1" x14ac:dyDescent="0.45">
      <c r="A55" s="12" t="s">
        <v>81</v>
      </c>
      <c r="B55" s="13" t="s">
        <v>82</v>
      </c>
    </row>
  </sheetData>
  <sheetProtection sheet="1" objects="1" scenarios="1" selectLockedCells="1"/>
  <mergeCells count="1">
    <mergeCell ref="A4:B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932DA-3547-4717-8115-5AEFF781CD56}">
  <sheetPr codeName="Sheet1"/>
  <dimension ref="A1:XFC82"/>
  <sheetViews>
    <sheetView zoomScale="85" zoomScaleNormal="85" workbookViewId="0"/>
  </sheetViews>
  <sheetFormatPr defaultColWidth="0" defaultRowHeight="17.5" zeroHeight="1" x14ac:dyDescent="0.45"/>
  <cols>
    <col min="1" max="1" width="48.26953125" style="172" customWidth="1"/>
    <col min="2" max="2" width="32.54296875" style="170" customWidth="1"/>
    <col min="3" max="3" width="20.54296875" style="171" customWidth="1"/>
    <col min="4" max="4" width="20.81640625" style="172" customWidth="1"/>
    <col min="5" max="5" width="22.453125" style="172" customWidth="1"/>
    <col min="6" max="16383" width="8.7265625" style="172" hidden="1"/>
    <col min="16384" max="16384" width="1.26953125" style="172" hidden="1"/>
  </cols>
  <sheetData>
    <row r="1" spans="1:5" x14ac:dyDescent="0.45">
      <c r="A1" s="169" t="s">
        <v>0</v>
      </c>
    </row>
    <row r="2" spans="1:5" x14ac:dyDescent="0.45">
      <c r="A2" s="173" t="s">
        <v>3</v>
      </c>
    </row>
    <row r="3" spans="1:5" s="176" customFormat="1" x14ac:dyDescent="0.45">
      <c r="A3" s="174" t="s">
        <v>83</v>
      </c>
      <c r="B3" s="175" t="s">
        <v>84</v>
      </c>
    </row>
    <row r="4" spans="1:5" x14ac:dyDescent="0.45">
      <c r="A4" s="177">
        <v>755.08</v>
      </c>
      <c r="B4" s="178">
        <v>771.22</v>
      </c>
      <c r="C4" s="176"/>
    </row>
    <row r="5" spans="1:5" s="176" customFormat="1" ht="25.5" customHeight="1" x14ac:dyDescent="0.45">
      <c r="A5" s="179" t="s">
        <v>85</v>
      </c>
      <c r="B5" s="179"/>
      <c r="C5" s="180"/>
      <c r="D5" s="181"/>
    </row>
    <row r="6" spans="1:5" s="176" customFormat="1" ht="35.25" customHeight="1" x14ac:dyDescent="0.45">
      <c r="A6" s="182" t="s">
        <v>86</v>
      </c>
      <c r="B6" s="175" t="s">
        <v>87</v>
      </c>
      <c r="C6" s="183" t="s">
        <v>88</v>
      </c>
      <c r="D6" s="183" t="s">
        <v>89</v>
      </c>
      <c r="E6" s="183" t="s">
        <v>90</v>
      </c>
    </row>
    <row r="7" spans="1:5" x14ac:dyDescent="0.45">
      <c r="A7" s="184" t="s">
        <v>91</v>
      </c>
      <c r="B7" s="185">
        <v>1235261652</v>
      </c>
      <c r="C7" s="186">
        <v>771.22</v>
      </c>
      <c r="D7" s="186">
        <v>761.27</v>
      </c>
      <c r="E7" s="186">
        <v>761.27</v>
      </c>
    </row>
    <row r="8" spans="1:5" x14ac:dyDescent="0.45">
      <c r="A8" s="184" t="s">
        <v>92</v>
      </c>
      <c r="B8" s="185">
        <v>1396176160</v>
      </c>
      <c r="C8" s="186">
        <v>684.45130876654935</v>
      </c>
      <c r="D8" s="186">
        <v>674.5013087665493</v>
      </c>
      <c r="E8" s="186">
        <v>674.5013087665493</v>
      </c>
    </row>
    <row r="9" spans="1:5" x14ac:dyDescent="0.45">
      <c r="A9" s="184" t="s">
        <v>93</v>
      </c>
      <c r="B9" s="185">
        <v>1891759502</v>
      </c>
      <c r="C9" s="186">
        <v>771.22</v>
      </c>
      <c r="D9" s="186">
        <v>761.27</v>
      </c>
      <c r="E9" s="186">
        <v>761.27</v>
      </c>
    </row>
    <row r="10" spans="1:5" x14ac:dyDescent="0.45">
      <c r="A10" s="184" t="s">
        <v>94</v>
      </c>
      <c r="B10" s="185">
        <v>1073553756</v>
      </c>
      <c r="C10" s="186">
        <v>771.22</v>
      </c>
      <c r="D10" s="186">
        <v>761.27</v>
      </c>
      <c r="E10" s="186">
        <v>761.27</v>
      </c>
    </row>
    <row r="11" spans="1:5" x14ac:dyDescent="0.45">
      <c r="A11" s="184" t="s">
        <v>95</v>
      </c>
      <c r="B11" s="185">
        <v>1467560599</v>
      </c>
      <c r="C11" s="186">
        <v>771.22</v>
      </c>
      <c r="D11" s="186">
        <v>761.27</v>
      </c>
      <c r="E11" s="186">
        <v>761.27</v>
      </c>
    </row>
    <row r="12" spans="1:5" ht="15.65" customHeight="1" x14ac:dyDescent="0.45">
      <c r="A12" s="184" t="s">
        <v>96</v>
      </c>
      <c r="B12" s="185">
        <v>1215095419</v>
      </c>
      <c r="C12" s="186">
        <v>771.22</v>
      </c>
      <c r="D12" s="186">
        <v>761.27</v>
      </c>
      <c r="E12" s="186">
        <v>761.27</v>
      </c>
    </row>
    <row r="13" spans="1:5" ht="15.65" customHeight="1" x14ac:dyDescent="0.45">
      <c r="A13" s="184" t="s">
        <v>97</v>
      </c>
      <c r="B13" s="185">
        <v>1346250347</v>
      </c>
      <c r="C13" s="186">
        <v>704.86</v>
      </c>
      <c r="D13" s="186">
        <v>694.91</v>
      </c>
      <c r="E13" s="186">
        <v>694.91</v>
      </c>
    </row>
    <row r="14" spans="1:5" x14ac:dyDescent="0.45">
      <c r="A14" s="184" t="s">
        <v>98</v>
      </c>
      <c r="B14" s="185">
        <v>1477672665</v>
      </c>
      <c r="C14" s="186">
        <v>771.22</v>
      </c>
      <c r="D14" s="186">
        <v>761.27</v>
      </c>
      <c r="E14" s="186">
        <v>761.27</v>
      </c>
    </row>
    <row r="15" spans="1:5" x14ac:dyDescent="0.45">
      <c r="A15" s="184" t="s">
        <v>99</v>
      </c>
      <c r="B15" s="185">
        <v>1215476734</v>
      </c>
      <c r="C15" s="186">
        <v>636.04</v>
      </c>
      <c r="D15" s="186">
        <v>626.08999999999992</v>
      </c>
      <c r="E15" s="186">
        <v>626.08999999999992</v>
      </c>
    </row>
    <row r="16" spans="1:5" x14ac:dyDescent="0.45">
      <c r="A16" s="184" t="s">
        <v>100</v>
      </c>
      <c r="B16" s="185">
        <v>1235290818</v>
      </c>
      <c r="C16" s="186">
        <v>771.22</v>
      </c>
      <c r="D16" s="186">
        <v>761.27</v>
      </c>
      <c r="E16" s="186">
        <v>761.27</v>
      </c>
    </row>
    <row r="17" spans="1:5" x14ac:dyDescent="0.45">
      <c r="A17" s="184" t="s">
        <v>101</v>
      </c>
      <c r="B17" s="185">
        <v>1295816569</v>
      </c>
      <c r="C17" s="186">
        <v>485.20741463837794</v>
      </c>
      <c r="D17" s="186">
        <v>475.25741463837795</v>
      </c>
      <c r="E17" s="186">
        <v>475.25741463837795</v>
      </c>
    </row>
    <row r="18" spans="1:5" x14ac:dyDescent="0.45">
      <c r="A18" s="184" t="s">
        <v>102</v>
      </c>
      <c r="B18" s="185">
        <v>1033247622</v>
      </c>
      <c r="C18" s="186">
        <v>771.22</v>
      </c>
      <c r="D18" s="186">
        <v>761.27</v>
      </c>
      <c r="E18" s="186">
        <v>761.27</v>
      </c>
    </row>
    <row r="19" spans="1:5" x14ac:dyDescent="0.45">
      <c r="A19" s="184" t="s">
        <v>103</v>
      </c>
      <c r="B19" s="185">
        <v>1104856095</v>
      </c>
      <c r="C19" s="186">
        <v>771.22</v>
      </c>
      <c r="D19" s="186">
        <v>761.27</v>
      </c>
      <c r="E19" s="186">
        <v>761.27</v>
      </c>
    </row>
    <row r="20" spans="1:5" x14ac:dyDescent="0.45">
      <c r="A20" s="184" t="s">
        <v>104</v>
      </c>
      <c r="B20" s="185">
        <v>1609872415</v>
      </c>
      <c r="C20" s="186">
        <v>609.82410006076293</v>
      </c>
      <c r="D20" s="186">
        <v>599.87410006076288</v>
      </c>
      <c r="E20" s="186">
        <v>599.87410006076288</v>
      </c>
    </row>
    <row r="21" spans="1:5" x14ac:dyDescent="0.45">
      <c r="A21" s="184" t="s">
        <v>105</v>
      </c>
      <c r="B21" s="185">
        <v>1962556290</v>
      </c>
      <c r="C21" s="186">
        <v>818.96</v>
      </c>
      <c r="D21" s="186">
        <v>809.01</v>
      </c>
      <c r="E21" s="186">
        <v>809.01</v>
      </c>
    </row>
    <row r="22" spans="1:5" x14ac:dyDescent="0.45">
      <c r="A22" s="184" t="s">
        <v>106</v>
      </c>
      <c r="B22" s="185">
        <v>1619141298</v>
      </c>
      <c r="C22" s="186">
        <v>771.22</v>
      </c>
      <c r="D22" s="186">
        <v>761.27</v>
      </c>
      <c r="E22" s="186">
        <v>761.27</v>
      </c>
    </row>
    <row r="23" spans="1:5" x14ac:dyDescent="0.45">
      <c r="A23" s="184" t="s">
        <v>107</v>
      </c>
      <c r="B23" s="185">
        <v>1225228646</v>
      </c>
      <c r="C23" s="186">
        <v>744.43277291523327</v>
      </c>
      <c r="D23" s="186">
        <v>734.48277291523323</v>
      </c>
      <c r="E23" s="186">
        <v>734.48277291523323</v>
      </c>
    </row>
    <row r="24" spans="1:5" x14ac:dyDescent="0.45">
      <c r="A24" s="184" t="s">
        <v>108</v>
      </c>
      <c r="B24" s="185">
        <v>1417930249</v>
      </c>
      <c r="C24" s="186">
        <v>771.22</v>
      </c>
      <c r="D24" s="186">
        <v>761.27</v>
      </c>
      <c r="E24" s="186">
        <v>761.27</v>
      </c>
    </row>
    <row r="25" spans="1:5" x14ac:dyDescent="0.45">
      <c r="A25" s="184" t="s">
        <v>109</v>
      </c>
      <c r="B25" s="185">
        <v>1467585471</v>
      </c>
      <c r="C25" s="186">
        <v>771.22</v>
      </c>
      <c r="D25" s="186">
        <v>761.27</v>
      </c>
      <c r="E25" s="186">
        <v>761.27</v>
      </c>
    </row>
    <row r="26" spans="1:5" x14ac:dyDescent="0.45">
      <c r="A26" s="184" t="s">
        <v>110</v>
      </c>
      <c r="B26" s="185">
        <v>1639565088</v>
      </c>
      <c r="C26" s="186">
        <v>497.2409374796004</v>
      </c>
      <c r="D26" s="186">
        <v>487.29093747960042</v>
      </c>
      <c r="E26" s="186">
        <v>487.29093747960042</v>
      </c>
    </row>
    <row r="27" spans="1:5" x14ac:dyDescent="0.45">
      <c r="A27" s="184" t="s">
        <v>111</v>
      </c>
      <c r="B27" s="185">
        <v>1336164151</v>
      </c>
      <c r="C27" s="186">
        <v>771.22</v>
      </c>
      <c r="D27" s="186">
        <v>761.27</v>
      </c>
      <c r="E27" s="186">
        <v>761.27</v>
      </c>
    </row>
    <row r="28" spans="1:5" ht="15.75" customHeight="1" x14ac:dyDescent="0.45">
      <c r="A28" s="184" t="s">
        <v>112</v>
      </c>
      <c r="B28" s="185">
        <v>1750309837</v>
      </c>
      <c r="C28" s="186">
        <v>771.22</v>
      </c>
      <c r="D28" s="186">
        <v>761.27</v>
      </c>
      <c r="E28" s="186">
        <v>761.27</v>
      </c>
    </row>
    <row r="29" spans="1:5" ht="15.75" customHeight="1" x14ac:dyDescent="0.45">
      <c r="A29" s="184" t="s">
        <v>113</v>
      </c>
      <c r="B29" s="185">
        <v>1275525115</v>
      </c>
      <c r="C29" s="186">
        <v>755.07969665012808</v>
      </c>
      <c r="D29" s="186">
        <v>745.12969665012804</v>
      </c>
      <c r="E29" s="186">
        <v>745.12969665012804</v>
      </c>
    </row>
    <row r="30" spans="1:5" ht="15.75" customHeight="1" x14ac:dyDescent="0.45">
      <c r="A30" s="184" t="s">
        <v>114</v>
      </c>
      <c r="B30" s="185">
        <v>1841342334</v>
      </c>
      <c r="C30" s="186">
        <v>705.62139420257563</v>
      </c>
      <c r="D30" s="186">
        <v>695.67139420257558</v>
      </c>
      <c r="E30" s="186">
        <v>695.67139420257558</v>
      </c>
    </row>
    <row r="31" spans="1:5" x14ac:dyDescent="0.45">
      <c r="A31" s="184" t="s">
        <v>115</v>
      </c>
      <c r="B31" s="185">
        <v>1487681631</v>
      </c>
      <c r="C31" s="186">
        <v>568.8506624566196</v>
      </c>
      <c r="D31" s="186">
        <v>558.90066245661956</v>
      </c>
      <c r="E31" s="186">
        <v>558.90066245661956</v>
      </c>
    </row>
    <row r="32" spans="1:5" x14ac:dyDescent="0.45">
      <c r="A32" s="184" t="s">
        <v>116</v>
      </c>
      <c r="B32" s="185">
        <v>1093776338</v>
      </c>
      <c r="C32" s="186">
        <v>771.22</v>
      </c>
      <c r="D32" s="186">
        <v>761.27</v>
      </c>
      <c r="E32" s="186">
        <v>761.27</v>
      </c>
    </row>
    <row r="33" spans="1:5" x14ac:dyDescent="0.45">
      <c r="A33" s="184" t="s">
        <v>117</v>
      </c>
      <c r="B33" s="185">
        <v>1427049964</v>
      </c>
      <c r="C33" s="186">
        <v>503.36533511124509</v>
      </c>
      <c r="D33" s="186">
        <v>493.4153351112451</v>
      </c>
      <c r="E33" s="186">
        <v>493.4153351112451</v>
      </c>
    </row>
    <row r="34" spans="1:5" x14ac:dyDescent="0.45">
      <c r="A34" s="184" t="s">
        <v>118</v>
      </c>
      <c r="B34" s="185">
        <v>1629240577</v>
      </c>
      <c r="C34" s="186">
        <v>771.22</v>
      </c>
      <c r="D34" s="186">
        <v>761.27</v>
      </c>
      <c r="E34" s="186">
        <v>761.27</v>
      </c>
    </row>
    <row r="35" spans="1:5" x14ac:dyDescent="0.45">
      <c r="A35" s="184" t="s">
        <v>119</v>
      </c>
      <c r="B35" s="185">
        <v>1417997370</v>
      </c>
      <c r="C35" s="186">
        <v>771.22</v>
      </c>
      <c r="D35" s="186">
        <v>761.27</v>
      </c>
      <c r="E35" s="186">
        <v>761.27</v>
      </c>
    </row>
    <row r="36" spans="1:5" x14ac:dyDescent="0.45">
      <c r="A36" s="184" t="s">
        <v>120</v>
      </c>
      <c r="B36" s="185">
        <v>1376539130</v>
      </c>
      <c r="C36" s="186">
        <v>605.96737493339617</v>
      </c>
      <c r="D36" s="186">
        <v>596.01737493339613</v>
      </c>
      <c r="E36" s="186">
        <v>596.01737493339613</v>
      </c>
    </row>
    <row r="37" spans="1:5" x14ac:dyDescent="0.45">
      <c r="A37" s="184" t="s">
        <v>121</v>
      </c>
      <c r="B37" s="185">
        <v>1144358953</v>
      </c>
      <c r="C37" s="186">
        <v>641.84326042750024</v>
      </c>
      <c r="D37" s="186">
        <v>631.89326042750019</v>
      </c>
      <c r="E37" s="186">
        <v>631.89326042750019</v>
      </c>
    </row>
    <row r="38" spans="1:5" x14ac:dyDescent="0.45">
      <c r="A38" s="184" t="s">
        <v>122</v>
      </c>
      <c r="B38" s="185">
        <v>1386763456</v>
      </c>
      <c r="C38" s="186">
        <v>631.36579408406681</v>
      </c>
      <c r="D38" s="186">
        <v>621.41579408406676</v>
      </c>
      <c r="E38" s="186">
        <v>621.41579408406676</v>
      </c>
    </row>
    <row r="39" spans="1:5" x14ac:dyDescent="0.45">
      <c r="A39" s="184" t="s">
        <v>123</v>
      </c>
      <c r="B39" s="185">
        <v>1811107410</v>
      </c>
      <c r="C39" s="186">
        <v>771.22</v>
      </c>
      <c r="D39" s="186">
        <v>761.27</v>
      </c>
      <c r="E39" s="186">
        <v>761.27</v>
      </c>
    </row>
    <row r="40" spans="1:5" x14ac:dyDescent="0.45">
      <c r="A40" s="184" t="s">
        <v>124</v>
      </c>
      <c r="B40" s="185">
        <v>1326146333</v>
      </c>
      <c r="C40" s="186">
        <v>605.33926173247994</v>
      </c>
      <c r="D40" s="186">
        <v>595.38926173247989</v>
      </c>
      <c r="E40" s="186">
        <v>595.38926173247989</v>
      </c>
    </row>
    <row r="41" spans="1:5" x14ac:dyDescent="0.45">
      <c r="A41" s="184" t="s">
        <v>125</v>
      </c>
      <c r="B41" s="185">
        <v>1336289966</v>
      </c>
      <c r="C41" s="186">
        <v>771.22</v>
      </c>
      <c r="D41" s="186">
        <v>761.27</v>
      </c>
      <c r="E41" s="186">
        <v>761.27</v>
      </c>
    </row>
    <row r="42" spans="1:5" x14ac:dyDescent="0.45">
      <c r="A42" s="184" t="s">
        <v>126</v>
      </c>
      <c r="B42" s="185">
        <v>1174674246</v>
      </c>
      <c r="C42" s="186">
        <v>771.22</v>
      </c>
      <c r="D42" s="186">
        <v>761.27</v>
      </c>
      <c r="E42" s="186">
        <v>761.27</v>
      </c>
    </row>
    <row r="43" spans="1:5" x14ac:dyDescent="0.45">
      <c r="A43" s="184" t="s">
        <v>127</v>
      </c>
      <c r="B43" s="185">
        <v>1770524928</v>
      </c>
      <c r="C43" s="186">
        <v>771.22</v>
      </c>
      <c r="D43" s="186">
        <v>761.27</v>
      </c>
      <c r="E43" s="186">
        <v>761.27</v>
      </c>
    </row>
    <row r="44" spans="1:5" x14ac:dyDescent="0.45">
      <c r="A44" s="184" t="s">
        <v>128</v>
      </c>
      <c r="B44" s="185">
        <v>1861533648</v>
      </c>
      <c r="C44" s="186">
        <v>659.44775879121482</v>
      </c>
      <c r="D44" s="186">
        <v>649.49775879121478</v>
      </c>
      <c r="E44" s="186">
        <v>649.49775879121478</v>
      </c>
    </row>
    <row r="45" spans="1:5" x14ac:dyDescent="0.45">
      <c r="A45" s="184" t="s">
        <v>129</v>
      </c>
      <c r="B45" s="185">
        <v>1770659153</v>
      </c>
      <c r="C45" s="186">
        <v>771.22</v>
      </c>
      <c r="D45" s="186">
        <v>761.27</v>
      </c>
      <c r="E45" s="186">
        <v>761.27</v>
      </c>
    </row>
    <row r="46" spans="1:5" x14ac:dyDescent="0.45">
      <c r="A46" s="184" t="s">
        <v>130</v>
      </c>
      <c r="B46" s="185">
        <v>1427006485</v>
      </c>
      <c r="C46" s="186">
        <v>582.74249299206542</v>
      </c>
      <c r="D46" s="186">
        <v>572.79249299206538</v>
      </c>
      <c r="E46" s="186">
        <v>572.79249299206538</v>
      </c>
    </row>
    <row r="47" spans="1:5" x14ac:dyDescent="0.45">
      <c r="A47" s="184" t="s">
        <v>131</v>
      </c>
      <c r="B47" s="185">
        <v>1891872883</v>
      </c>
      <c r="C47" s="186">
        <v>771.22</v>
      </c>
      <c r="D47" s="186">
        <v>761.27</v>
      </c>
      <c r="E47" s="186">
        <v>761.27</v>
      </c>
    </row>
    <row r="48" spans="1:5" x14ac:dyDescent="0.45">
      <c r="A48" s="184" t="s">
        <v>132</v>
      </c>
      <c r="B48" s="185">
        <v>1619947090</v>
      </c>
      <c r="C48" s="186">
        <v>704.86</v>
      </c>
      <c r="D48" s="186">
        <v>694.91</v>
      </c>
      <c r="E48" s="186">
        <v>694.91</v>
      </c>
    </row>
    <row r="49" spans="1:5" x14ac:dyDescent="0.45">
      <c r="A49" s="184" t="s">
        <v>133</v>
      </c>
      <c r="B49" s="185">
        <v>1952348518</v>
      </c>
      <c r="C49" s="186">
        <v>771.22</v>
      </c>
      <c r="D49" s="186">
        <v>761.27</v>
      </c>
      <c r="E49" s="186">
        <v>761.27</v>
      </c>
    </row>
    <row r="50" spans="1:5" x14ac:dyDescent="0.45">
      <c r="A50" s="184" t="s">
        <v>134</v>
      </c>
      <c r="B50" s="185">
        <v>1770639809</v>
      </c>
      <c r="C50" s="186">
        <v>771.22</v>
      </c>
      <c r="D50" s="186">
        <v>761.27</v>
      </c>
      <c r="E50" s="186">
        <v>761.27</v>
      </c>
    </row>
    <row r="51" spans="1:5" x14ac:dyDescent="0.45">
      <c r="A51" s="184" t="s">
        <v>135</v>
      </c>
      <c r="B51" s="185">
        <v>1114091055</v>
      </c>
      <c r="C51" s="186">
        <v>771.22</v>
      </c>
      <c r="D51" s="186">
        <v>761.27</v>
      </c>
      <c r="E51" s="186">
        <v>761.27</v>
      </c>
    </row>
    <row r="52" spans="1:5" x14ac:dyDescent="0.45">
      <c r="A52" s="184" t="s">
        <v>136</v>
      </c>
      <c r="B52" s="185">
        <v>1669734653</v>
      </c>
      <c r="C52" s="186">
        <v>771.22</v>
      </c>
      <c r="D52" s="186">
        <v>761.27</v>
      </c>
      <c r="E52" s="186">
        <v>761.27</v>
      </c>
    </row>
    <row r="53" spans="1:5" x14ac:dyDescent="0.45">
      <c r="A53" s="184" t="s">
        <v>137</v>
      </c>
      <c r="B53" s="185">
        <v>1285677518</v>
      </c>
      <c r="C53" s="186">
        <v>771.22</v>
      </c>
      <c r="D53" s="186">
        <v>761.27</v>
      </c>
      <c r="E53" s="186">
        <v>761.27</v>
      </c>
    </row>
    <row r="54" spans="1:5" x14ac:dyDescent="0.45">
      <c r="A54" s="184" t="s">
        <v>138</v>
      </c>
      <c r="B54" s="185">
        <v>1710174818</v>
      </c>
      <c r="C54" s="186">
        <v>771.22</v>
      </c>
      <c r="D54" s="186">
        <v>761.27</v>
      </c>
      <c r="E54" s="186">
        <v>761.27</v>
      </c>
    </row>
    <row r="55" spans="1:5" x14ac:dyDescent="0.45">
      <c r="A55" s="184" t="s">
        <v>139</v>
      </c>
      <c r="B55" s="185">
        <v>1710066634</v>
      </c>
      <c r="C55" s="186">
        <v>771.22</v>
      </c>
      <c r="D55" s="186">
        <v>761.27</v>
      </c>
      <c r="E55" s="186">
        <v>761.27</v>
      </c>
    </row>
    <row r="56" spans="1:5" x14ac:dyDescent="0.45">
      <c r="A56" s="184" t="s">
        <v>140</v>
      </c>
      <c r="B56" s="185">
        <v>1447724646</v>
      </c>
      <c r="C56" s="186">
        <v>771.22</v>
      </c>
      <c r="D56" s="186">
        <v>761.27</v>
      </c>
      <c r="E56" s="186">
        <v>761.27</v>
      </c>
    </row>
    <row r="57" spans="1:5" x14ac:dyDescent="0.45">
      <c r="A57" s="184" t="s">
        <v>141</v>
      </c>
      <c r="B57" s="185">
        <v>1326234022</v>
      </c>
      <c r="C57" s="186">
        <v>771.22</v>
      </c>
      <c r="D57" s="186">
        <v>761.27</v>
      </c>
      <c r="E57" s="186">
        <v>761.27</v>
      </c>
    </row>
    <row r="58" spans="1:5" x14ac:dyDescent="0.45">
      <c r="A58" s="184" t="s">
        <v>142</v>
      </c>
      <c r="B58" s="185">
        <v>1386252112</v>
      </c>
      <c r="C58" s="186">
        <v>636.04</v>
      </c>
      <c r="D58" s="186">
        <v>626.08999999999992</v>
      </c>
      <c r="E58" s="186">
        <v>626.08999999999992</v>
      </c>
    </row>
    <row r="59" spans="1:5" x14ac:dyDescent="0.45">
      <c r="A59" s="184" t="s">
        <v>143</v>
      </c>
      <c r="B59" s="185">
        <v>1538142369</v>
      </c>
      <c r="C59" s="186">
        <v>771.22</v>
      </c>
      <c r="D59" s="186">
        <v>761.27</v>
      </c>
      <c r="E59" s="186">
        <v>761.27</v>
      </c>
    </row>
    <row r="60" spans="1:5" x14ac:dyDescent="0.45">
      <c r="A60" s="184" t="s">
        <v>144</v>
      </c>
      <c r="B60" s="185">
        <v>1184607418</v>
      </c>
      <c r="C60" s="186">
        <v>771.22</v>
      </c>
      <c r="D60" s="186">
        <v>761.27</v>
      </c>
      <c r="E60" s="186">
        <v>761.27</v>
      </c>
    </row>
    <row r="61" spans="1:5" x14ac:dyDescent="0.45">
      <c r="A61" s="184" t="s">
        <v>145</v>
      </c>
      <c r="B61" s="185">
        <v>1396031639</v>
      </c>
      <c r="C61" s="186">
        <v>771.22</v>
      </c>
      <c r="D61" s="186">
        <v>761.27</v>
      </c>
      <c r="E61" s="186">
        <v>761.27</v>
      </c>
    </row>
    <row r="62" spans="1:5" x14ac:dyDescent="0.45">
      <c r="A62" s="184" t="s">
        <v>146</v>
      </c>
      <c r="B62" s="185">
        <v>1235352618</v>
      </c>
      <c r="C62" s="186">
        <v>771.22</v>
      </c>
      <c r="D62" s="186">
        <v>761.27</v>
      </c>
      <c r="E62" s="186">
        <v>761.27</v>
      </c>
    </row>
    <row r="63" spans="1:5" x14ac:dyDescent="0.45">
      <c r="A63" s="184" t="s">
        <v>147</v>
      </c>
      <c r="B63" s="185">
        <v>1407938574</v>
      </c>
      <c r="C63" s="186">
        <v>771.22</v>
      </c>
      <c r="D63" s="186">
        <v>761.27</v>
      </c>
      <c r="E63" s="186">
        <v>761.27</v>
      </c>
    </row>
    <row r="64" spans="1:5" x14ac:dyDescent="0.45">
      <c r="A64" s="184" t="s">
        <v>148</v>
      </c>
      <c r="B64" s="185">
        <v>1801887401</v>
      </c>
      <c r="C64" s="186">
        <v>771.22</v>
      </c>
      <c r="D64" s="186">
        <v>761.27</v>
      </c>
      <c r="E64" s="186">
        <v>761.27</v>
      </c>
    </row>
    <row r="65" spans="1:5" x14ac:dyDescent="0.45">
      <c r="A65" s="184" t="s">
        <v>149</v>
      </c>
      <c r="B65" s="185">
        <v>1831128602</v>
      </c>
      <c r="C65" s="186">
        <v>618.59192977394298</v>
      </c>
      <c r="D65" s="186">
        <v>608.64192977394293</v>
      </c>
      <c r="E65" s="186">
        <v>608.64192977394293</v>
      </c>
    </row>
    <row r="66" spans="1:5" x14ac:dyDescent="0.45">
      <c r="A66" s="184" t="s">
        <v>150</v>
      </c>
      <c r="B66" s="185">
        <v>1700963956</v>
      </c>
      <c r="C66" s="186">
        <v>711.31121536869057</v>
      </c>
      <c r="D66" s="186">
        <v>701.36121536869052</v>
      </c>
      <c r="E66" s="186">
        <v>701.36121536869052</v>
      </c>
    </row>
    <row r="67" spans="1:5" x14ac:dyDescent="0.45">
      <c r="A67" s="184" t="s">
        <v>151</v>
      </c>
      <c r="B67" s="185">
        <v>1295897395</v>
      </c>
      <c r="C67" s="186">
        <v>771.22</v>
      </c>
      <c r="D67" s="186">
        <v>761.27</v>
      </c>
      <c r="E67" s="186">
        <v>761.27</v>
      </c>
    </row>
    <row r="68" spans="1:5" x14ac:dyDescent="0.45">
      <c r="A68" s="184" t="s">
        <v>152</v>
      </c>
      <c r="B68" s="185">
        <v>1740268713</v>
      </c>
      <c r="C68" s="186">
        <v>771.22</v>
      </c>
      <c r="D68" s="186">
        <v>761.27</v>
      </c>
      <c r="E68" s="186">
        <v>761.27</v>
      </c>
    </row>
    <row r="69" spans="1:5" x14ac:dyDescent="0.45">
      <c r="A69" s="184" t="s">
        <v>153</v>
      </c>
      <c r="B69" s="185">
        <v>1154404010</v>
      </c>
      <c r="C69" s="186">
        <v>771.22</v>
      </c>
      <c r="D69" s="186">
        <v>761.27</v>
      </c>
      <c r="E69" s="186">
        <v>761.27</v>
      </c>
    </row>
    <row r="70" spans="1:5" x14ac:dyDescent="0.45">
      <c r="A70" s="184" t="s">
        <v>154</v>
      </c>
      <c r="B70" s="185">
        <v>1942281936</v>
      </c>
      <c r="C70" s="186">
        <v>771.22</v>
      </c>
      <c r="D70" s="186">
        <v>761.27</v>
      </c>
      <c r="E70" s="186">
        <v>761.27</v>
      </c>
    </row>
    <row r="71" spans="1:5" x14ac:dyDescent="0.45">
      <c r="D71" s="171"/>
      <c r="E71" s="171"/>
    </row>
    <row r="72" spans="1:5" x14ac:dyDescent="0.45"/>
    <row r="73" spans="1:5" x14ac:dyDescent="0.45">
      <c r="A73" s="187" t="s">
        <v>155</v>
      </c>
    </row>
    <row r="74" spans="1:5" ht="31.5" customHeight="1" x14ac:dyDescent="0.45">
      <c r="A74" s="182" t="s">
        <v>86</v>
      </c>
      <c r="B74" s="175" t="s">
        <v>87</v>
      </c>
      <c r="C74" s="183" t="s">
        <v>88</v>
      </c>
      <c r="D74" s="183" t="s">
        <v>89</v>
      </c>
      <c r="E74" s="183" t="s">
        <v>90</v>
      </c>
    </row>
    <row r="75" spans="1:5" x14ac:dyDescent="0.45">
      <c r="A75" s="167" t="s">
        <v>156</v>
      </c>
      <c r="B75" s="188">
        <v>1245458421</v>
      </c>
      <c r="C75" s="186">
        <v>538.24</v>
      </c>
      <c r="D75" s="186">
        <v>528.29</v>
      </c>
      <c r="E75" s="186">
        <v>528.29</v>
      </c>
    </row>
    <row r="76" spans="1:5" x14ac:dyDescent="0.45">
      <c r="A76" s="167" t="s">
        <v>157</v>
      </c>
      <c r="B76" s="188">
        <v>1073519443</v>
      </c>
      <c r="C76" s="186">
        <v>704.86</v>
      </c>
      <c r="D76" s="186">
        <v>694.91</v>
      </c>
      <c r="E76" s="186">
        <v>694.91</v>
      </c>
    </row>
    <row r="77" spans="1:5" x14ac:dyDescent="0.45">
      <c r="A77" s="167" t="s">
        <v>158</v>
      </c>
      <c r="B77" s="188">
        <v>1184936023</v>
      </c>
      <c r="C77" s="186">
        <v>704.86</v>
      </c>
      <c r="D77" s="186">
        <v>694.91</v>
      </c>
      <c r="E77" s="186">
        <v>694.91</v>
      </c>
    </row>
    <row r="78" spans="1:5" x14ac:dyDescent="0.45">
      <c r="A78" s="167" t="s">
        <v>159</v>
      </c>
      <c r="B78" s="188">
        <v>1255723490</v>
      </c>
      <c r="C78" s="186">
        <v>636.04</v>
      </c>
      <c r="D78" s="186">
        <v>626.08999999999992</v>
      </c>
      <c r="E78" s="186">
        <v>626.08999999999992</v>
      </c>
    </row>
    <row r="79" spans="1:5" x14ac:dyDescent="0.45">
      <c r="A79" s="167" t="s">
        <v>160</v>
      </c>
      <c r="B79" s="188">
        <v>1083895627</v>
      </c>
      <c r="C79" s="186">
        <v>704.86</v>
      </c>
      <c r="D79" s="186">
        <v>694.91</v>
      </c>
      <c r="E79" s="186">
        <v>694.91</v>
      </c>
    </row>
    <row r="80" spans="1:5" x14ac:dyDescent="0.45">
      <c r="A80" s="167" t="s">
        <v>161</v>
      </c>
      <c r="B80" s="188">
        <v>1073298196</v>
      </c>
      <c r="C80" s="186">
        <v>704.86</v>
      </c>
      <c r="D80" s="186">
        <v>694.91</v>
      </c>
      <c r="E80" s="186">
        <v>694.91</v>
      </c>
    </row>
    <row r="81" spans="1:5" x14ac:dyDescent="0.45">
      <c r="A81" s="167" t="s">
        <v>162</v>
      </c>
      <c r="B81" s="188">
        <v>1801452941</v>
      </c>
      <c r="C81" s="186">
        <v>557.88441387764328</v>
      </c>
      <c r="D81" s="186">
        <v>547.93441387764324</v>
      </c>
      <c r="E81" s="186">
        <v>547.93441387764324</v>
      </c>
    </row>
    <row r="82" spans="1:5" x14ac:dyDescent="0.45">
      <c r="A82" s="167" t="s">
        <v>163</v>
      </c>
      <c r="B82" s="188">
        <v>1922350206</v>
      </c>
      <c r="C82" s="186">
        <v>771.22</v>
      </c>
      <c r="D82" s="186">
        <v>761.27</v>
      </c>
      <c r="E82" s="186">
        <v>761.27</v>
      </c>
    </row>
  </sheetData>
  <sheetProtection sheet="1" objects="1" scenarios="1" selectLockedCells="1"/>
  <mergeCells count="1">
    <mergeCell ref="A5:B5"/>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A3CC1-6146-4A77-A5F0-EFC28B10860A}">
  <dimension ref="A1:XFC84"/>
  <sheetViews>
    <sheetView zoomScale="85" zoomScaleNormal="85" workbookViewId="0"/>
  </sheetViews>
  <sheetFormatPr defaultColWidth="0" defaultRowHeight="17.5" zeroHeight="1" x14ac:dyDescent="0.45"/>
  <cols>
    <col min="1" max="1" width="48.26953125" style="151" customWidth="1"/>
    <col min="2" max="2" width="33.7265625" style="153" customWidth="1"/>
    <col min="3" max="3" width="26.453125" style="154" customWidth="1"/>
    <col min="4" max="4" width="33.90625" style="151" customWidth="1"/>
    <col min="5" max="5" width="20.7265625" style="151" bestFit="1" customWidth="1"/>
    <col min="6" max="16383" width="8.7265625" style="151" hidden="1"/>
    <col min="16384" max="16384" width="4" style="151" hidden="1"/>
  </cols>
  <sheetData>
    <row r="1" spans="1:5" x14ac:dyDescent="0.45">
      <c r="A1" s="189" t="s">
        <v>0</v>
      </c>
    </row>
    <row r="2" spans="1:5" x14ac:dyDescent="0.45">
      <c r="A2" s="152" t="s">
        <v>3</v>
      </c>
    </row>
    <row r="3" spans="1:5" s="156" customFormat="1" x14ac:dyDescent="0.45">
      <c r="A3" s="15" t="s">
        <v>164</v>
      </c>
      <c r="B3" s="155" t="s">
        <v>165</v>
      </c>
      <c r="C3" s="15" t="s">
        <v>166</v>
      </c>
      <c r="D3" s="15" t="s">
        <v>167</v>
      </c>
    </row>
    <row r="4" spans="1:5" x14ac:dyDescent="0.45">
      <c r="A4" s="157">
        <v>771.22</v>
      </c>
      <c r="B4" s="158">
        <v>771.22</v>
      </c>
      <c r="C4" s="190">
        <v>705.62</v>
      </c>
      <c r="D4" s="190">
        <v>705.62</v>
      </c>
    </row>
    <row r="5" spans="1:5" s="156" customFormat="1" ht="25.5" customHeight="1" x14ac:dyDescent="0.45">
      <c r="A5" s="159" t="s">
        <v>168</v>
      </c>
      <c r="B5" s="159"/>
      <c r="C5" s="160"/>
      <c r="D5" s="161"/>
    </row>
    <row r="6" spans="1:5" s="156" customFormat="1" ht="35.25" customHeight="1" x14ac:dyDescent="0.45">
      <c r="A6" s="162" t="s">
        <v>86</v>
      </c>
      <c r="B6" s="155" t="s">
        <v>87</v>
      </c>
      <c r="C6" s="163" t="s">
        <v>88</v>
      </c>
      <c r="D6" s="163" t="s">
        <v>89</v>
      </c>
      <c r="E6" s="163" t="s">
        <v>90</v>
      </c>
    </row>
    <row r="7" spans="1:5" x14ac:dyDescent="0.45">
      <c r="A7" s="164" t="s">
        <v>91</v>
      </c>
      <c r="B7" s="165">
        <v>1235261652</v>
      </c>
      <c r="C7" s="166">
        <v>771.22</v>
      </c>
      <c r="D7" s="166">
        <v>761.45</v>
      </c>
      <c r="E7" s="166">
        <v>761.45</v>
      </c>
    </row>
    <row r="8" spans="1:5" x14ac:dyDescent="0.45">
      <c r="A8" s="164" t="s">
        <v>92</v>
      </c>
      <c r="B8" s="165">
        <v>1396176160</v>
      </c>
      <c r="C8" s="166">
        <v>643.57539537493437</v>
      </c>
      <c r="D8" s="166">
        <v>633.80539537493439</v>
      </c>
      <c r="E8" s="166">
        <v>633.80539537493439</v>
      </c>
    </row>
    <row r="9" spans="1:5" x14ac:dyDescent="0.45">
      <c r="A9" s="164" t="s">
        <v>93</v>
      </c>
      <c r="B9" s="165">
        <v>1891759502</v>
      </c>
      <c r="C9" s="166">
        <v>771.22</v>
      </c>
      <c r="D9" s="166">
        <v>761.45</v>
      </c>
      <c r="E9" s="166">
        <v>761.45</v>
      </c>
    </row>
    <row r="10" spans="1:5" x14ac:dyDescent="0.45">
      <c r="A10" s="164" t="s">
        <v>94</v>
      </c>
      <c r="B10" s="165">
        <v>1073553756</v>
      </c>
      <c r="C10" s="166">
        <v>771.22</v>
      </c>
      <c r="D10" s="166">
        <v>761.45</v>
      </c>
      <c r="E10" s="166">
        <v>761.45</v>
      </c>
    </row>
    <row r="11" spans="1:5" x14ac:dyDescent="0.45">
      <c r="A11" s="164" t="s">
        <v>95</v>
      </c>
      <c r="B11" s="165">
        <v>1467560599</v>
      </c>
      <c r="C11" s="166">
        <v>771.22</v>
      </c>
      <c r="D11" s="166">
        <v>761.45</v>
      </c>
      <c r="E11" s="166">
        <v>761.45</v>
      </c>
    </row>
    <row r="12" spans="1:5" x14ac:dyDescent="0.45">
      <c r="A12" s="164" t="s">
        <v>96</v>
      </c>
      <c r="B12" s="165">
        <v>1215095419</v>
      </c>
      <c r="C12" s="166">
        <v>771.22</v>
      </c>
      <c r="D12" s="166">
        <v>761.45</v>
      </c>
      <c r="E12" s="166">
        <v>761.45</v>
      </c>
    </row>
    <row r="13" spans="1:5" x14ac:dyDescent="0.45">
      <c r="A13" s="164" t="s">
        <v>97</v>
      </c>
      <c r="B13" s="165">
        <v>1346250347</v>
      </c>
      <c r="C13" s="166">
        <v>704.86</v>
      </c>
      <c r="D13" s="166">
        <v>695.09</v>
      </c>
      <c r="E13" s="166">
        <v>695.09</v>
      </c>
    </row>
    <row r="14" spans="1:5" x14ac:dyDescent="0.45">
      <c r="A14" s="164" t="s">
        <v>98</v>
      </c>
      <c r="B14" s="165">
        <v>1477672665</v>
      </c>
      <c r="C14" s="166">
        <v>771.22</v>
      </c>
      <c r="D14" s="166">
        <v>761.45</v>
      </c>
      <c r="E14" s="166">
        <v>761.45</v>
      </c>
    </row>
    <row r="15" spans="1:5" x14ac:dyDescent="0.45">
      <c r="A15" s="164" t="s">
        <v>162</v>
      </c>
      <c r="B15" s="165">
        <v>1801452941</v>
      </c>
      <c r="C15" s="166">
        <v>557.88441387764328</v>
      </c>
      <c r="D15" s="166">
        <v>548.1144138776433</v>
      </c>
      <c r="E15" s="166">
        <v>548.1144138776433</v>
      </c>
    </row>
    <row r="16" spans="1:5" x14ac:dyDescent="0.45">
      <c r="A16" s="164" t="s">
        <v>99</v>
      </c>
      <c r="B16" s="165">
        <v>1215476734</v>
      </c>
      <c r="C16" s="166">
        <v>636.04</v>
      </c>
      <c r="D16" s="166">
        <v>626.27</v>
      </c>
      <c r="E16" s="166">
        <v>626.27</v>
      </c>
    </row>
    <row r="17" spans="1:5" x14ac:dyDescent="0.45">
      <c r="A17" s="164" t="s">
        <v>100</v>
      </c>
      <c r="B17" s="165">
        <v>1235290818</v>
      </c>
      <c r="C17" s="166">
        <v>771.22</v>
      </c>
      <c r="D17" s="166">
        <v>761.45</v>
      </c>
      <c r="E17" s="166">
        <v>761.45</v>
      </c>
    </row>
    <row r="18" spans="1:5" x14ac:dyDescent="0.45">
      <c r="A18" s="164" t="s">
        <v>101</v>
      </c>
      <c r="B18" s="165">
        <v>1295816569</v>
      </c>
      <c r="C18" s="166">
        <v>485.20741463837794</v>
      </c>
      <c r="D18" s="166">
        <v>475.43741463837796</v>
      </c>
      <c r="E18" s="166">
        <v>475.43741463837796</v>
      </c>
    </row>
    <row r="19" spans="1:5" x14ac:dyDescent="0.45">
      <c r="A19" s="164" t="s">
        <v>102</v>
      </c>
      <c r="B19" s="165">
        <v>1033247622</v>
      </c>
      <c r="C19" s="166">
        <v>771.22</v>
      </c>
      <c r="D19" s="166">
        <v>761.45</v>
      </c>
      <c r="E19" s="166">
        <v>761.45</v>
      </c>
    </row>
    <row r="20" spans="1:5" x14ac:dyDescent="0.45">
      <c r="A20" s="164" t="s">
        <v>103</v>
      </c>
      <c r="B20" s="165">
        <v>1104856095</v>
      </c>
      <c r="C20" s="166">
        <v>771.22</v>
      </c>
      <c r="D20" s="166">
        <v>761.45</v>
      </c>
      <c r="E20" s="166">
        <v>761.45</v>
      </c>
    </row>
    <row r="21" spans="1:5" x14ac:dyDescent="0.45">
      <c r="A21" s="164" t="s">
        <v>104</v>
      </c>
      <c r="B21" s="165">
        <v>1609872415</v>
      </c>
      <c r="C21" s="166">
        <v>603.56727880663504</v>
      </c>
      <c r="D21" s="166">
        <v>593.79727880663506</v>
      </c>
      <c r="E21" s="166">
        <v>593.79727880663506</v>
      </c>
    </row>
    <row r="22" spans="1:5" x14ac:dyDescent="0.45">
      <c r="A22" s="164" t="s">
        <v>105</v>
      </c>
      <c r="B22" s="165">
        <v>1962556290</v>
      </c>
      <c r="C22" s="166">
        <v>814.98</v>
      </c>
      <c r="D22" s="166">
        <v>805.21</v>
      </c>
      <c r="E22" s="166">
        <v>805.21</v>
      </c>
    </row>
    <row r="23" spans="1:5" x14ac:dyDescent="0.45">
      <c r="A23" s="164" t="s">
        <v>106</v>
      </c>
      <c r="B23" s="165">
        <v>1619141298</v>
      </c>
      <c r="C23" s="166">
        <v>771.22</v>
      </c>
      <c r="D23" s="166">
        <v>761.45</v>
      </c>
      <c r="E23" s="166">
        <v>761.45</v>
      </c>
    </row>
    <row r="24" spans="1:5" x14ac:dyDescent="0.45">
      <c r="A24" s="164" t="s">
        <v>107</v>
      </c>
      <c r="B24" s="165">
        <v>1225228646</v>
      </c>
      <c r="C24" s="166">
        <v>651.96457225474694</v>
      </c>
      <c r="D24" s="166">
        <v>642.19457225474696</v>
      </c>
      <c r="E24" s="166">
        <v>642.19457225474696</v>
      </c>
    </row>
    <row r="25" spans="1:5" x14ac:dyDescent="0.45">
      <c r="A25" s="164" t="s">
        <v>108</v>
      </c>
      <c r="B25" s="165">
        <v>1417930249</v>
      </c>
      <c r="C25" s="166">
        <v>771.22</v>
      </c>
      <c r="D25" s="166">
        <v>761.45</v>
      </c>
      <c r="E25" s="166">
        <v>761.45</v>
      </c>
    </row>
    <row r="26" spans="1:5" x14ac:dyDescent="0.45">
      <c r="A26" s="164" t="s">
        <v>109</v>
      </c>
      <c r="B26" s="165">
        <v>1467585471</v>
      </c>
      <c r="C26" s="166">
        <v>771.22</v>
      </c>
      <c r="D26" s="166">
        <v>761.45</v>
      </c>
      <c r="E26" s="166">
        <v>761.45</v>
      </c>
    </row>
    <row r="27" spans="1:5" x14ac:dyDescent="0.45">
      <c r="A27" s="164" t="s">
        <v>158</v>
      </c>
      <c r="B27" s="165">
        <v>1184936023</v>
      </c>
      <c r="C27" s="166">
        <v>704.86</v>
      </c>
      <c r="D27" s="166">
        <v>695.09</v>
      </c>
      <c r="E27" s="166">
        <v>695.09</v>
      </c>
    </row>
    <row r="28" spans="1:5" x14ac:dyDescent="0.45">
      <c r="A28" s="164" t="s">
        <v>110</v>
      </c>
      <c r="B28" s="165">
        <v>1639565088</v>
      </c>
      <c r="C28" s="166">
        <v>497.2409374796004</v>
      </c>
      <c r="D28" s="166">
        <v>487.47093747960042</v>
      </c>
      <c r="E28" s="166">
        <v>487.47093747960042</v>
      </c>
    </row>
    <row r="29" spans="1:5" x14ac:dyDescent="0.45">
      <c r="A29" s="164" t="s">
        <v>111</v>
      </c>
      <c r="B29" s="165">
        <v>1336164151</v>
      </c>
      <c r="C29" s="166">
        <v>771.22</v>
      </c>
      <c r="D29" s="166">
        <v>761.45</v>
      </c>
      <c r="E29" s="166">
        <v>761.45</v>
      </c>
    </row>
    <row r="30" spans="1:5" ht="15.75" customHeight="1" x14ac:dyDescent="0.45">
      <c r="A30" s="164" t="s">
        <v>112</v>
      </c>
      <c r="B30" s="165">
        <v>1750309837</v>
      </c>
      <c r="C30" s="166">
        <v>771.22</v>
      </c>
      <c r="D30" s="166">
        <v>761.45</v>
      </c>
      <c r="E30" s="166">
        <v>761.45</v>
      </c>
    </row>
    <row r="31" spans="1:5" ht="15.75" customHeight="1" x14ac:dyDescent="0.45">
      <c r="A31" s="164" t="s">
        <v>113</v>
      </c>
      <c r="B31" s="165">
        <v>1275525115</v>
      </c>
      <c r="C31" s="166">
        <v>681.66594362202932</v>
      </c>
      <c r="D31" s="166">
        <v>671.89594362202934</v>
      </c>
      <c r="E31" s="166">
        <v>671.89594362202934</v>
      </c>
    </row>
    <row r="32" spans="1:5" ht="15.75" customHeight="1" x14ac:dyDescent="0.45">
      <c r="A32" s="164" t="s">
        <v>114</v>
      </c>
      <c r="B32" s="165">
        <v>1841342334</v>
      </c>
      <c r="C32" s="166">
        <v>705.62139420257563</v>
      </c>
      <c r="D32" s="166">
        <v>695.85139420257565</v>
      </c>
      <c r="E32" s="166">
        <v>695.85139420257565</v>
      </c>
    </row>
    <row r="33" spans="1:5" x14ac:dyDescent="0.45">
      <c r="A33" s="164" t="s">
        <v>115</v>
      </c>
      <c r="B33" s="165">
        <v>1487681631</v>
      </c>
      <c r="C33" s="166">
        <v>563.06552878797879</v>
      </c>
      <c r="D33" s="166">
        <v>553.29552878797881</v>
      </c>
      <c r="E33" s="166">
        <v>553.29552878797881</v>
      </c>
    </row>
    <row r="34" spans="1:5" x14ac:dyDescent="0.45">
      <c r="A34" s="164" t="s">
        <v>116</v>
      </c>
      <c r="B34" s="165">
        <v>1093776338</v>
      </c>
      <c r="C34" s="166">
        <v>771.22</v>
      </c>
      <c r="D34" s="166">
        <v>761.45</v>
      </c>
      <c r="E34" s="166">
        <v>761.45</v>
      </c>
    </row>
    <row r="35" spans="1:5" x14ac:dyDescent="0.45">
      <c r="A35" s="164" t="s">
        <v>117</v>
      </c>
      <c r="B35" s="165">
        <v>1427049964</v>
      </c>
      <c r="C35" s="166">
        <v>500.06001447595969</v>
      </c>
      <c r="D35" s="166">
        <v>490.29001447595971</v>
      </c>
      <c r="E35" s="166">
        <v>490.29001447595971</v>
      </c>
    </row>
    <row r="36" spans="1:5" x14ac:dyDescent="0.45">
      <c r="A36" s="164" t="s">
        <v>118</v>
      </c>
      <c r="B36" s="165">
        <v>1629240577</v>
      </c>
      <c r="C36" s="166">
        <v>771.22</v>
      </c>
      <c r="D36" s="166">
        <v>761.45</v>
      </c>
      <c r="E36" s="166">
        <v>761.45</v>
      </c>
    </row>
    <row r="37" spans="1:5" x14ac:dyDescent="0.45">
      <c r="A37" s="164" t="s">
        <v>119</v>
      </c>
      <c r="B37" s="165">
        <v>1417997370</v>
      </c>
      <c r="C37" s="166">
        <v>771.22</v>
      </c>
      <c r="D37" s="166">
        <v>761.45</v>
      </c>
      <c r="E37" s="166">
        <v>761.45</v>
      </c>
    </row>
    <row r="38" spans="1:5" x14ac:dyDescent="0.45">
      <c r="A38" s="164" t="s">
        <v>120</v>
      </c>
      <c r="B38" s="165">
        <v>1376539130</v>
      </c>
      <c r="C38" s="166">
        <v>600.99611663360974</v>
      </c>
      <c r="D38" s="166">
        <v>591.22611663360976</v>
      </c>
      <c r="E38" s="166">
        <v>591.22611663360976</v>
      </c>
    </row>
    <row r="39" spans="1:5" x14ac:dyDescent="0.45">
      <c r="A39" s="164" t="s">
        <v>121</v>
      </c>
      <c r="B39" s="165">
        <v>1144358953</v>
      </c>
      <c r="C39" s="166">
        <v>641.84326042750024</v>
      </c>
      <c r="D39" s="166">
        <v>632.07326042750026</v>
      </c>
      <c r="E39" s="166">
        <v>632.07326042750026</v>
      </c>
    </row>
    <row r="40" spans="1:5" x14ac:dyDescent="0.45">
      <c r="A40" s="164" t="s">
        <v>122</v>
      </c>
      <c r="B40" s="165">
        <v>1386763456</v>
      </c>
      <c r="C40" s="166">
        <v>609.16702777146395</v>
      </c>
      <c r="D40" s="166">
        <v>599.39702777146397</v>
      </c>
      <c r="E40" s="166">
        <v>599.39702777146397</v>
      </c>
    </row>
    <row r="41" spans="1:5" x14ac:dyDescent="0.45">
      <c r="A41" s="164" t="s">
        <v>123</v>
      </c>
      <c r="B41" s="165">
        <v>1811107410</v>
      </c>
      <c r="C41" s="166">
        <v>771.22</v>
      </c>
      <c r="D41" s="166">
        <v>761.45</v>
      </c>
      <c r="E41" s="166">
        <v>761.45</v>
      </c>
    </row>
    <row r="42" spans="1:5" x14ac:dyDescent="0.45">
      <c r="A42" s="164" t="s">
        <v>124</v>
      </c>
      <c r="B42" s="165">
        <v>1326146333</v>
      </c>
      <c r="C42" s="166">
        <v>602.68294803935896</v>
      </c>
      <c r="D42" s="166">
        <v>592.91294803935898</v>
      </c>
      <c r="E42" s="166">
        <v>592.91294803935898</v>
      </c>
    </row>
    <row r="43" spans="1:5" x14ac:dyDescent="0.45">
      <c r="A43" s="164" t="s">
        <v>125</v>
      </c>
      <c r="B43" s="165">
        <v>1336289966</v>
      </c>
      <c r="C43" s="166">
        <v>704.86</v>
      </c>
      <c r="D43" s="166">
        <v>695.09</v>
      </c>
      <c r="E43" s="166">
        <v>695.09</v>
      </c>
    </row>
    <row r="44" spans="1:5" x14ac:dyDescent="0.45">
      <c r="A44" s="164" t="s">
        <v>126</v>
      </c>
      <c r="B44" s="165">
        <v>1174674246</v>
      </c>
      <c r="C44" s="166">
        <v>709.00579418760265</v>
      </c>
      <c r="D44" s="166">
        <v>699.23579418760266</v>
      </c>
      <c r="E44" s="166">
        <v>699.23579418760266</v>
      </c>
    </row>
    <row r="45" spans="1:5" x14ac:dyDescent="0.45">
      <c r="A45" s="164" t="s">
        <v>127</v>
      </c>
      <c r="B45" s="165">
        <v>1770524928</v>
      </c>
      <c r="C45" s="166">
        <v>771.21824834643292</v>
      </c>
      <c r="D45" s="166">
        <v>761.44824834643293</v>
      </c>
      <c r="E45" s="166">
        <v>761.44824834643293</v>
      </c>
    </row>
    <row r="46" spans="1:5" x14ac:dyDescent="0.45">
      <c r="A46" s="164" t="s">
        <v>128</v>
      </c>
      <c r="B46" s="165">
        <v>1861533648</v>
      </c>
      <c r="C46" s="166">
        <v>637.77538587689526</v>
      </c>
      <c r="D46" s="166">
        <v>628.00538587689528</v>
      </c>
      <c r="E46" s="166">
        <v>628.00538587689528</v>
      </c>
    </row>
    <row r="47" spans="1:5" x14ac:dyDescent="0.45">
      <c r="A47" s="164" t="s">
        <v>129</v>
      </c>
      <c r="B47" s="165">
        <v>1770659153</v>
      </c>
      <c r="C47" s="166">
        <v>771.22</v>
      </c>
      <c r="D47" s="166">
        <v>761.45</v>
      </c>
      <c r="E47" s="166">
        <v>761.45</v>
      </c>
    </row>
    <row r="48" spans="1:5" x14ac:dyDescent="0.45">
      <c r="A48" s="164" t="s">
        <v>130</v>
      </c>
      <c r="B48" s="165">
        <v>1427006485</v>
      </c>
      <c r="C48" s="166">
        <v>582.74249299206542</v>
      </c>
      <c r="D48" s="166">
        <v>572.97249299206544</v>
      </c>
      <c r="E48" s="166">
        <v>572.97249299206544</v>
      </c>
    </row>
    <row r="49" spans="1:5" x14ac:dyDescent="0.45">
      <c r="A49" s="164" t="s">
        <v>131</v>
      </c>
      <c r="B49" s="165">
        <v>1891872883</v>
      </c>
      <c r="C49" s="166">
        <v>771.22</v>
      </c>
      <c r="D49" s="166">
        <v>761.45</v>
      </c>
      <c r="E49" s="166">
        <v>761.45</v>
      </c>
    </row>
    <row r="50" spans="1:5" x14ac:dyDescent="0.45">
      <c r="A50" s="164" t="s">
        <v>132</v>
      </c>
      <c r="B50" s="165">
        <v>1619947090</v>
      </c>
      <c r="C50" s="166">
        <v>704.86</v>
      </c>
      <c r="D50" s="166">
        <v>695.09</v>
      </c>
      <c r="E50" s="166">
        <v>695.09</v>
      </c>
    </row>
    <row r="51" spans="1:5" x14ac:dyDescent="0.45">
      <c r="A51" s="164" t="s">
        <v>133</v>
      </c>
      <c r="B51" s="165">
        <v>1952348518</v>
      </c>
      <c r="C51" s="166">
        <v>771.22</v>
      </c>
      <c r="D51" s="166">
        <v>761.45</v>
      </c>
      <c r="E51" s="166">
        <v>761.45</v>
      </c>
    </row>
    <row r="52" spans="1:5" x14ac:dyDescent="0.45">
      <c r="A52" s="164" t="s">
        <v>134</v>
      </c>
      <c r="B52" s="165">
        <v>1770639809</v>
      </c>
      <c r="C52" s="166">
        <v>771.22</v>
      </c>
      <c r="D52" s="166">
        <v>761.45</v>
      </c>
      <c r="E52" s="166">
        <v>761.45</v>
      </c>
    </row>
    <row r="53" spans="1:5" x14ac:dyDescent="0.45">
      <c r="A53" s="164" t="s">
        <v>135</v>
      </c>
      <c r="B53" s="165">
        <v>1114091055</v>
      </c>
      <c r="C53" s="166">
        <v>771.22</v>
      </c>
      <c r="D53" s="166">
        <v>761.45</v>
      </c>
      <c r="E53" s="166">
        <v>761.45</v>
      </c>
    </row>
    <row r="54" spans="1:5" x14ac:dyDescent="0.45">
      <c r="A54" s="164" t="s">
        <v>136</v>
      </c>
      <c r="B54" s="165">
        <v>1669734653</v>
      </c>
      <c r="C54" s="166">
        <v>771.22</v>
      </c>
      <c r="D54" s="166">
        <v>761.45</v>
      </c>
      <c r="E54" s="166">
        <v>761.45</v>
      </c>
    </row>
    <row r="55" spans="1:5" x14ac:dyDescent="0.45">
      <c r="A55" s="164" t="s">
        <v>137</v>
      </c>
      <c r="B55" s="165">
        <v>1285677518</v>
      </c>
      <c r="C55" s="166">
        <v>771.22</v>
      </c>
      <c r="D55" s="166">
        <v>761.45</v>
      </c>
      <c r="E55" s="166">
        <v>761.45</v>
      </c>
    </row>
    <row r="56" spans="1:5" x14ac:dyDescent="0.45">
      <c r="A56" s="164" t="s">
        <v>138</v>
      </c>
      <c r="B56" s="165">
        <v>1710174818</v>
      </c>
      <c r="C56" s="166">
        <v>771.22</v>
      </c>
      <c r="D56" s="166">
        <v>761.45</v>
      </c>
      <c r="E56" s="166">
        <v>761.45</v>
      </c>
    </row>
    <row r="57" spans="1:5" x14ac:dyDescent="0.45">
      <c r="A57" s="164" t="s">
        <v>139</v>
      </c>
      <c r="B57" s="165">
        <v>1710066634</v>
      </c>
      <c r="C57" s="166">
        <v>771.22</v>
      </c>
      <c r="D57" s="166">
        <v>761.45</v>
      </c>
      <c r="E57" s="166">
        <v>761.45</v>
      </c>
    </row>
    <row r="58" spans="1:5" x14ac:dyDescent="0.45">
      <c r="A58" s="164" t="s">
        <v>140</v>
      </c>
      <c r="B58" s="165">
        <v>1447724646</v>
      </c>
      <c r="C58" s="166">
        <v>771.22</v>
      </c>
      <c r="D58" s="166">
        <v>761.45</v>
      </c>
      <c r="E58" s="166">
        <v>761.45</v>
      </c>
    </row>
    <row r="59" spans="1:5" x14ac:dyDescent="0.45">
      <c r="A59" s="164" t="s">
        <v>141</v>
      </c>
      <c r="B59" s="165">
        <v>1326234022</v>
      </c>
      <c r="C59" s="166">
        <v>771.22</v>
      </c>
      <c r="D59" s="166">
        <v>761.45</v>
      </c>
      <c r="E59" s="166">
        <v>761.45</v>
      </c>
    </row>
    <row r="60" spans="1:5" x14ac:dyDescent="0.45">
      <c r="A60" s="164" t="s">
        <v>142</v>
      </c>
      <c r="B60" s="165">
        <v>1386252112</v>
      </c>
      <c r="C60" s="166">
        <v>636.04</v>
      </c>
      <c r="D60" s="166">
        <v>626.27</v>
      </c>
      <c r="E60" s="166">
        <v>626.27</v>
      </c>
    </row>
    <row r="61" spans="1:5" x14ac:dyDescent="0.45">
      <c r="A61" s="164" t="s">
        <v>143</v>
      </c>
      <c r="B61" s="165">
        <v>1538142369</v>
      </c>
      <c r="C61" s="166">
        <v>771.22</v>
      </c>
      <c r="D61" s="166">
        <v>761.45</v>
      </c>
      <c r="E61" s="166">
        <v>761.45</v>
      </c>
    </row>
    <row r="62" spans="1:5" x14ac:dyDescent="0.45">
      <c r="A62" s="164" t="s">
        <v>144</v>
      </c>
      <c r="B62" s="165">
        <v>1184607418</v>
      </c>
      <c r="C62" s="166">
        <v>771.22</v>
      </c>
      <c r="D62" s="166">
        <v>761.45</v>
      </c>
      <c r="E62" s="166">
        <v>761.45</v>
      </c>
    </row>
    <row r="63" spans="1:5" x14ac:dyDescent="0.45">
      <c r="A63" s="164" t="s">
        <v>145</v>
      </c>
      <c r="B63" s="165">
        <v>1396031639</v>
      </c>
      <c r="C63" s="166">
        <v>771.22</v>
      </c>
      <c r="D63" s="166">
        <v>761.45</v>
      </c>
      <c r="E63" s="166">
        <v>761.45</v>
      </c>
    </row>
    <row r="64" spans="1:5" x14ac:dyDescent="0.45">
      <c r="A64" s="164" t="s">
        <v>146</v>
      </c>
      <c r="B64" s="165">
        <v>1235352618</v>
      </c>
      <c r="C64" s="166">
        <v>771.22</v>
      </c>
      <c r="D64" s="166">
        <v>761.45</v>
      </c>
      <c r="E64" s="166">
        <v>761.45</v>
      </c>
    </row>
    <row r="65" spans="1:5" x14ac:dyDescent="0.45">
      <c r="A65" s="164" t="s">
        <v>147</v>
      </c>
      <c r="B65" s="165">
        <v>1407938574</v>
      </c>
      <c r="C65" s="166">
        <v>771.22</v>
      </c>
      <c r="D65" s="166">
        <v>761.45</v>
      </c>
      <c r="E65" s="166">
        <v>761.45</v>
      </c>
    </row>
    <row r="66" spans="1:5" x14ac:dyDescent="0.45">
      <c r="A66" s="164" t="s">
        <v>148</v>
      </c>
      <c r="B66" s="165">
        <v>1801887401</v>
      </c>
      <c r="C66" s="166">
        <v>771.22</v>
      </c>
      <c r="D66" s="166">
        <v>761.45</v>
      </c>
      <c r="E66" s="166">
        <v>761.45</v>
      </c>
    </row>
    <row r="67" spans="1:5" x14ac:dyDescent="0.45">
      <c r="A67" s="164" t="s">
        <v>163</v>
      </c>
      <c r="B67" s="165">
        <v>1922350206</v>
      </c>
      <c r="C67" s="166">
        <v>771.22</v>
      </c>
      <c r="D67" s="166">
        <v>761.45</v>
      </c>
      <c r="E67" s="166">
        <v>761.45</v>
      </c>
    </row>
    <row r="68" spans="1:5" x14ac:dyDescent="0.45">
      <c r="A68" s="164" t="s">
        <v>151</v>
      </c>
      <c r="B68" s="165">
        <v>1295897395</v>
      </c>
      <c r="C68" s="166">
        <v>771.22</v>
      </c>
      <c r="D68" s="166">
        <v>761.45</v>
      </c>
      <c r="E68" s="166">
        <v>761.45</v>
      </c>
    </row>
    <row r="69" spans="1:5" x14ac:dyDescent="0.45">
      <c r="A69" s="164" t="s">
        <v>152</v>
      </c>
      <c r="B69" s="165">
        <v>1740268713</v>
      </c>
      <c r="C69" s="166">
        <v>771.22</v>
      </c>
      <c r="D69" s="166">
        <v>761.45</v>
      </c>
      <c r="E69" s="166">
        <v>761.45</v>
      </c>
    </row>
    <row r="70" spans="1:5" x14ac:dyDescent="0.45">
      <c r="A70" s="164" t="s">
        <v>153</v>
      </c>
      <c r="B70" s="165">
        <v>1154404010</v>
      </c>
      <c r="C70" s="166">
        <v>771.22</v>
      </c>
      <c r="D70" s="166">
        <v>761.45</v>
      </c>
      <c r="E70" s="166">
        <v>761.45</v>
      </c>
    </row>
    <row r="71" spans="1:5" x14ac:dyDescent="0.45">
      <c r="A71" s="164" t="s">
        <v>154</v>
      </c>
      <c r="B71" s="165">
        <v>1942281936</v>
      </c>
      <c r="C71" s="166">
        <v>771.22</v>
      </c>
      <c r="D71" s="166">
        <v>761.45</v>
      </c>
      <c r="E71" s="166">
        <v>761.45</v>
      </c>
    </row>
    <row r="72" spans="1:5" x14ac:dyDescent="0.45"/>
    <row r="73" spans="1:5" x14ac:dyDescent="0.45"/>
    <row r="74" spans="1:5" x14ac:dyDescent="0.45">
      <c r="A74" s="9" t="s">
        <v>155</v>
      </c>
    </row>
    <row r="75" spans="1:5" ht="31.5" customHeight="1" x14ac:dyDescent="0.45">
      <c r="A75" s="162" t="s">
        <v>86</v>
      </c>
      <c r="B75" s="155" t="s">
        <v>87</v>
      </c>
      <c r="C75" s="163" t="s">
        <v>88</v>
      </c>
      <c r="D75" s="163" t="s">
        <v>89</v>
      </c>
      <c r="E75" s="163" t="s">
        <v>90</v>
      </c>
    </row>
    <row r="76" spans="1:5" x14ac:dyDescent="0.45">
      <c r="A76" s="167" t="s">
        <v>150</v>
      </c>
      <c r="B76" s="188">
        <v>1700963956</v>
      </c>
      <c r="C76" s="166">
        <v>452.34999999999997</v>
      </c>
      <c r="D76" s="166">
        <v>442.58</v>
      </c>
      <c r="E76" s="166">
        <v>442.58</v>
      </c>
    </row>
    <row r="77" spans="1:5" x14ac:dyDescent="0.45">
      <c r="A77" s="167" t="s">
        <v>156</v>
      </c>
      <c r="B77" s="168">
        <v>1245458421</v>
      </c>
      <c r="C77" s="166">
        <v>538.24</v>
      </c>
      <c r="D77" s="166">
        <v>528.47</v>
      </c>
      <c r="E77" s="166">
        <v>528.47</v>
      </c>
    </row>
    <row r="78" spans="1:5" x14ac:dyDescent="0.45">
      <c r="A78" s="184" t="s">
        <v>169</v>
      </c>
      <c r="B78" s="191">
        <v>1114547114</v>
      </c>
      <c r="C78" s="166">
        <v>704.86</v>
      </c>
      <c r="D78" s="166">
        <v>695.09</v>
      </c>
      <c r="E78" s="166">
        <v>695.09</v>
      </c>
    </row>
    <row r="79" spans="1:5" x14ac:dyDescent="0.45">
      <c r="A79" s="184" t="s">
        <v>157</v>
      </c>
      <c r="B79" s="192">
        <v>1073519443</v>
      </c>
      <c r="C79" s="166">
        <v>704.86</v>
      </c>
      <c r="D79" s="166">
        <v>695.09</v>
      </c>
      <c r="E79" s="166">
        <v>695.09</v>
      </c>
    </row>
    <row r="80" spans="1:5" x14ac:dyDescent="0.45">
      <c r="A80" s="164" t="s">
        <v>149</v>
      </c>
      <c r="B80" s="165">
        <v>1831128602</v>
      </c>
      <c r="C80" s="193">
        <v>478.21</v>
      </c>
      <c r="D80" s="166">
        <v>468.44</v>
      </c>
      <c r="E80" s="166">
        <v>468.44</v>
      </c>
    </row>
    <row r="81" spans="1:5" x14ac:dyDescent="0.45">
      <c r="A81" s="164" t="s">
        <v>159</v>
      </c>
      <c r="B81" s="165">
        <v>1255723490</v>
      </c>
      <c r="C81" s="193">
        <v>636.04</v>
      </c>
      <c r="D81" s="166">
        <v>626.27</v>
      </c>
      <c r="E81" s="166">
        <v>626.27</v>
      </c>
    </row>
    <row r="82" spans="1:5" x14ac:dyDescent="0.45">
      <c r="A82" s="164" t="s">
        <v>160</v>
      </c>
      <c r="B82" s="165">
        <v>1083895627</v>
      </c>
      <c r="C82" s="166">
        <v>704.86</v>
      </c>
      <c r="D82" s="166">
        <v>695.09</v>
      </c>
      <c r="E82" s="166">
        <v>695.09</v>
      </c>
    </row>
    <row r="83" spans="1:5" x14ac:dyDescent="0.45">
      <c r="A83" s="164" t="s">
        <v>170</v>
      </c>
      <c r="B83" s="165">
        <v>1073298196</v>
      </c>
      <c r="C83" s="166">
        <v>704.86</v>
      </c>
      <c r="D83" s="166">
        <v>695.09</v>
      </c>
      <c r="E83" s="166">
        <v>695.09</v>
      </c>
    </row>
    <row r="84" spans="1:5" hidden="1" x14ac:dyDescent="0.45">
      <c r="D84" s="154"/>
      <c r="E84" s="154"/>
    </row>
  </sheetData>
  <sheetProtection sheet="1" objects="1" scenarios="1" selectLockedCells="1"/>
  <mergeCells count="1">
    <mergeCell ref="A5:B5"/>
  </mergeCells>
  <phoneticPr fontId="14" type="noConversion"/>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9996A-AAD3-4C02-BBCE-33797D961FA3}">
  <sheetPr codeName="Sheet2"/>
  <dimension ref="A1:XFC11"/>
  <sheetViews>
    <sheetView zoomScale="86" zoomScaleNormal="86" workbookViewId="0">
      <selection activeCell="D3" sqref="D3"/>
    </sheetView>
  </sheetViews>
  <sheetFormatPr defaultColWidth="0" defaultRowHeight="16" zeroHeight="1" x14ac:dyDescent="0.45"/>
  <cols>
    <col min="1" max="1" width="36.453125" style="218" customWidth="1"/>
    <col min="2" max="2" width="15.26953125" style="218" bestFit="1" customWidth="1"/>
    <col min="3" max="3" width="8.7265625" style="225" customWidth="1"/>
    <col min="4" max="4" width="14.453125" style="218" bestFit="1" customWidth="1"/>
    <col min="5" max="5" width="12.26953125" style="218" customWidth="1"/>
    <col min="6" max="6" width="8.453125" style="218" customWidth="1"/>
    <col min="7" max="7" width="9" style="218" customWidth="1"/>
    <col min="8" max="8" width="8.7265625" style="225" customWidth="1"/>
    <col min="9" max="9" width="13.7265625" style="218" bestFit="1" customWidth="1"/>
    <col min="10" max="10" width="17.26953125" style="218" customWidth="1"/>
    <col min="11" max="11" width="16.26953125" style="218" bestFit="1" customWidth="1"/>
    <col min="12" max="16383" width="8.7265625" style="218" hidden="1"/>
    <col min="16384" max="16384" width="2.7265625" style="218" hidden="1"/>
  </cols>
  <sheetData>
    <row r="1" spans="1:11" x14ac:dyDescent="0.45">
      <c r="A1" s="88" t="s">
        <v>0</v>
      </c>
      <c r="B1" s="216"/>
      <c r="C1" s="217"/>
      <c r="D1" s="216"/>
      <c r="E1" s="216"/>
      <c r="F1" s="216"/>
      <c r="G1" s="216"/>
      <c r="H1" s="217"/>
      <c r="I1" s="216"/>
      <c r="J1" s="216"/>
      <c r="K1" s="216"/>
    </row>
    <row r="2" spans="1:11" ht="16.5" x14ac:dyDescent="0.45">
      <c r="A2" s="196" t="s">
        <v>3</v>
      </c>
      <c r="B2" s="216"/>
      <c r="C2" s="217"/>
      <c r="D2" s="216"/>
      <c r="E2" s="216"/>
      <c r="F2" s="216"/>
      <c r="G2" s="216"/>
      <c r="H2" s="217"/>
      <c r="I2" s="216"/>
      <c r="J2" s="216"/>
      <c r="K2" s="216"/>
    </row>
    <row r="3" spans="1:11" s="219" customFormat="1" ht="45" customHeight="1" x14ac:dyDescent="0.35">
      <c r="A3" s="95" t="s">
        <v>86</v>
      </c>
      <c r="B3" s="95" t="s">
        <v>171</v>
      </c>
      <c r="C3" s="95" t="s">
        <v>172</v>
      </c>
      <c r="D3" s="95" t="s">
        <v>87</v>
      </c>
      <c r="E3" s="95" t="s">
        <v>173</v>
      </c>
      <c r="F3" s="95" t="s">
        <v>174</v>
      </c>
      <c r="G3" s="95" t="s">
        <v>175</v>
      </c>
      <c r="H3" s="95" t="s">
        <v>176</v>
      </c>
      <c r="I3" s="95" t="s">
        <v>177</v>
      </c>
      <c r="J3" s="96" t="s">
        <v>178</v>
      </c>
      <c r="K3" s="96" t="s">
        <v>179</v>
      </c>
    </row>
    <row r="4" spans="1:11" x14ac:dyDescent="0.45">
      <c r="A4" s="85" t="s">
        <v>156</v>
      </c>
      <c r="B4" s="90" t="s">
        <v>180</v>
      </c>
      <c r="C4" s="91">
        <v>12</v>
      </c>
      <c r="D4" s="86">
        <v>1245458421</v>
      </c>
      <c r="E4" s="86">
        <v>1003819376</v>
      </c>
      <c r="F4" s="92" t="s">
        <v>155</v>
      </c>
      <c r="G4" s="92" t="s">
        <v>155</v>
      </c>
      <c r="H4" s="93" t="s">
        <v>64</v>
      </c>
      <c r="I4" s="220">
        <v>538.24</v>
      </c>
      <c r="J4" s="220">
        <v>538.24</v>
      </c>
      <c r="K4" s="208">
        <v>648.54999999999995</v>
      </c>
    </row>
    <row r="5" spans="1:11" x14ac:dyDescent="0.45">
      <c r="A5" s="87" t="s">
        <v>157</v>
      </c>
      <c r="B5" s="87" t="s">
        <v>181</v>
      </c>
      <c r="C5" s="93">
        <v>13</v>
      </c>
      <c r="D5" s="221">
        <v>1073519443</v>
      </c>
      <c r="E5" s="194"/>
      <c r="F5" s="92" t="s">
        <v>155</v>
      </c>
      <c r="G5" s="92" t="s">
        <v>155</v>
      </c>
      <c r="H5" s="222"/>
      <c r="I5" s="220">
        <v>704.86</v>
      </c>
      <c r="J5" s="220">
        <v>704.86</v>
      </c>
      <c r="K5" s="223" t="s">
        <v>182</v>
      </c>
    </row>
    <row r="6" spans="1:11" x14ac:dyDescent="0.45">
      <c r="A6" s="87" t="s">
        <v>158</v>
      </c>
      <c r="B6" s="87" t="s">
        <v>183</v>
      </c>
      <c r="C6" s="93">
        <v>33</v>
      </c>
      <c r="D6" s="93">
        <v>1184936023</v>
      </c>
      <c r="E6" s="224"/>
      <c r="F6" s="92" t="s">
        <v>155</v>
      </c>
      <c r="G6" s="92" t="s">
        <v>155</v>
      </c>
      <c r="H6" s="222"/>
      <c r="I6" s="220">
        <v>704.86</v>
      </c>
      <c r="J6" s="220">
        <v>704.86</v>
      </c>
      <c r="K6" s="223" t="s">
        <v>182</v>
      </c>
    </row>
    <row r="7" spans="1:11" x14ac:dyDescent="0.45">
      <c r="A7" s="87" t="s">
        <v>159</v>
      </c>
      <c r="B7" s="87" t="s">
        <v>184</v>
      </c>
      <c r="C7" s="93">
        <v>19</v>
      </c>
      <c r="D7" s="93">
        <v>1255723490</v>
      </c>
      <c r="E7" s="224"/>
      <c r="F7" s="92" t="s">
        <v>155</v>
      </c>
      <c r="G7" s="92" t="s">
        <v>155</v>
      </c>
      <c r="H7" s="222"/>
      <c r="I7" s="220">
        <v>636.04</v>
      </c>
      <c r="J7" s="220">
        <v>636.04</v>
      </c>
      <c r="K7" s="223"/>
    </row>
    <row r="8" spans="1:11" x14ac:dyDescent="0.45">
      <c r="A8" s="87" t="s">
        <v>160</v>
      </c>
      <c r="B8" s="87" t="s">
        <v>185</v>
      </c>
      <c r="C8" s="93">
        <v>19</v>
      </c>
      <c r="D8" s="93">
        <v>1083895627</v>
      </c>
      <c r="E8" s="224"/>
      <c r="F8" s="92" t="s">
        <v>155</v>
      </c>
      <c r="G8" s="92" t="s">
        <v>155</v>
      </c>
      <c r="H8" s="222"/>
      <c r="I8" s="220">
        <v>704.86</v>
      </c>
      <c r="J8" s="220">
        <v>704.86</v>
      </c>
      <c r="K8" s="223" t="s">
        <v>182</v>
      </c>
    </row>
    <row r="9" spans="1:11" x14ac:dyDescent="0.45">
      <c r="A9" s="87" t="s">
        <v>161</v>
      </c>
      <c r="B9" s="87" t="s">
        <v>186</v>
      </c>
      <c r="C9" s="93">
        <v>75</v>
      </c>
      <c r="D9" s="93">
        <v>1073298196</v>
      </c>
      <c r="E9" s="224"/>
      <c r="F9" s="92" t="s">
        <v>155</v>
      </c>
      <c r="G9" s="92" t="s">
        <v>155</v>
      </c>
      <c r="H9" s="222"/>
      <c r="I9" s="220">
        <v>704.86</v>
      </c>
      <c r="J9" s="220">
        <v>704.86</v>
      </c>
      <c r="K9" s="223" t="s">
        <v>182</v>
      </c>
    </row>
    <row r="10" spans="1:11" x14ac:dyDescent="0.45">
      <c r="A10" s="87" t="s">
        <v>162</v>
      </c>
      <c r="B10" s="87" t="s">
        <v>187</v>
      </c>
      <c r="C10" s="93">
        <v>10</v>
      </c>
      <c r="D10" s="93">
        <v>1801452941</v>
      </c>
      <c r="E10" s="224"/>
      <c r="F10" s="92" t="s">
        <v>155</v>
      </c>
      <c r="G10" s="92" t="s">
        <v>155</v>
      </c>
      <c r="H10" s="93" t="s">
        <v>64</v>
      </c>
      <c r="I10" s="220">
        <v>557.88441387764328</v>
      </c>
      <c r="J10" s="220">
        <v>557.88441387764328</v>
      </c>
      <c r="K10" s="208">
        <v>705.62</v>
      </c>
    </row>
    <row r="11" spans="1:11" x14ac:dyDescent="0.45">
      <c r="A11" s="87" t="s">
        <v>163</v>
      </c>
      <c r="B11" s="94" t="s">
        <v>188</v>
      </c>
      <c r="C11" s="93">
        <v>19</v>
      </c>
      <c r="D11" s="93">
        <v>1922350206</v>
      </c>
      <c r="E11" s="224"/>
      <c r="F11" s="92" t="s">
        <v>155</v>
      </c>
      <c r="G11" s="92" t="s">
        <v>155</v>
      </c>
      <c r="H11" s="222"/>
      <c r="I11" s="220">
        <v>771.22</v>
      </c>
      <c r="J11" s="220">
        <v>771.22</v>
      </c>
      <c r="K11" s="223" t="s">
        <v>182</v>
      </c>
    </row>
  </sheetData>
  <sheetProtection sheet="1" objects="1" scenarios="1" selectLockedCells="1"/>
  <dataValidations count="1">
    <dataValidation type="date" errorStyle="warning" operator="greaterThan" allowBlank="1" showInputMessage="1" showErrorMessage="1" error="Fiscal vperiod should be greater than 6/30/96." sqref="F4:G11" xr:uid="{69F8599C-E6F2-4F04-94E1-FBA4C5CCE221}">
      <formula1>34880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15A94-6906-47DD-973C-83A5DA4BA45A}">
  <dimension ref="A1:J5"/>
  <sheetViews>
    <sheetView workbookViewId="0">
      <selection activeCell="I11" sqref="I11"/>
    </sheetView>
  </sheetViews>
  <sheetFormatPr defaultRowHeight="14.5" x14ac:dyDescent="0.35"/>
  <cols>
    <col min="1" max="1" width="16.7265625" bestFit="1" customWidth="1"/>
    <col min="2" max="2" width="13.26953125" customWidth="1"/>
    <col min="6" max="7" width="15.7265625" bestFit="1" customWidth="1"/>
    <col min="9" max="10" width="15.7265625" bestFit="1" customWidth="1"/>
  </cols>
  <sheetData>
    <row r="1" spans="1:10" x14ac:dyDescent="0.35">
      <c r="A1" s="61" t="s">
        <v>189</v>
      </c>
      <c r="B1" s="61"/>
      <c r="C1" s="139" t="s">
        <v>190</v>
      </c>
      <c r="D1" s="139"/>
      <c r="E1" s="139"/>
      <c r="F1" s="140" t="s">
        <v>191</v>
      </c>
      <c r="G1" s="141"/>
      <c r="H1" s="142"/>
      <c r="I1" s="139" t="s">
        <v>192</v>
      </c>
      <c r="J1" s="139"/>
    </row>
    <row r="2" spans="1:10" x14ac:dyDescent="0.35">
      <c r="B2" s="63" t="s">
        <v>193</v>
      </c>
      <c r="C2" s="63" t="s">
        <v>194</v>
      </c>
      <c r="D2" s="63" t="s">
        <v>195</v>
      </c>
      <c r="E2" s="63" t="s">
        <v>196</v>
      </c>
      <c r="F2" s="63" t="s">
        <v>194</v>
      </c>
      <c r="G2" s="63" t="s">
        <v>195</v>
      </c>
      <c r="H2" s="63" t="s">
        <v>196</v>
      </c>
      <c r="I2" s="63" t="s">
        <v>197</v>
      </c>
      <c r="J2" s="63" t="s">
        <v>198</v>
      </c>
    </row>
    <row r="3" spans="1:10" x14ac:dyDescent="0.35">
      <c r="A3" s="62" t="s">
        <v>199</v>
      </c>
      <c r="B3" s="62">
        <f>Data!H68</f>
        <v>0</v>
      </c>
      <c r="C3" s="62"/>
      <c r="D3" s="68">
        <f>'2026 Calcs'!D4</f>
        <v>771.22</v>
      </c>
      <c r="E3" s="62"/>
      <c r="F3" s="69">
        <v>756394751</v>
      </c>
      <c r="G3" s="69">
        <f t="shared" ref="G3:H3" si="0">$B$3*D3</f>
        <v>0</v>
      </c>
      <c r="H3" s="62">
        <f t="shared" si="0"/>
        <v>0</v>
      </c>
      <c r="I3" s="69">
        <f t="shared" ref="I3:J5" si="1">(F3*(7/12)+G3*(5/12))</f>
        <v>441230271.41666669</v>
      </c>
      <c r="J3" s="69">
        <f t="shared" si="1"/>
        <v>0</v>
      </c>
    </row>
    <row r="4" spans="1:10" x14ac:dyDescent="0.35">
      <c r="A4" s="64" t="s">
        <v>200</v>
      </c>
      <c r="B4" s="67"/>
      <c r="C4" s="64"/>
      <c r="D4" s="64"/>
      <c r="E4" s="64"/>
      <c r="F4" s="64">
        <f>$B$4*C4</f>
        <v>0</v>
      </c>
      <c r="G4" s="64">
        <f t="shared" ref="G4:H5" si="2">$B$4*D4</f>
        <v>0</v>
      </c>
      <c r="H4" s="64">
        <f t="shared" si="2"/>
        <v>0</v>
      </c>
      <c r="I4" s="64">
        <f t="shared" si="1"/>
        <v>0</v>
      </c>
      <c r="J4" s="64">
        <f t="shared" si="1"/>
        <v>0</v>
      </c>
    </row>
    <row r="5" spans="1:10" x14ac:dyDescent="0.35">
      <c r="A5" s="62" t="s">
        <v>201</v>
      </c>
      <c r="B5" s="66"/>
      <c r="C5" s="62"/>
      <c r="D5" s="62"/>
      <c r="E5" s="65"/>
      <c r="F5" s="62">
        <f>$B$4*C5</f>
        <v>0</v>
      </c>
      <c r="G5" s="62">
        <f t="shared" si="2"/>
        <v>0</v>
      </c>
      <c r="H5" s="62">
        <f t="shared" ref="H5" si="3">$B$4*E5</f>
        <v>0</v>
      </c>
      <c r="I5" s="62">
        <f t="shared" si="1"/>
        <v>0</v>
      </c>
      <c r="J5" s="62">
        <f t="shared" si="1"/>
        <v>0</v>
      </c>
    </row>
  </sheetData>
  <mergeCells count="3">
    <mergeCell ref="C1:E1"/>
    <mergeCell ref="F1:H1"/>
    <mergeCell ref="I1:J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D7AD0-156C-46C1-A396-AF8B07C04E4C}">
  <sheetPr codeName="Sheet3"/>
  <dimension ref="A1:XFC74"/>
  <sheetViews>
    <sheetView topLeftCell="B1" zoomScale="82" zoomScaleNormal="82" workbookViewId="0">
      <selection activeCell="J8" sqref="J8"/>
    </sheetView>
  </sheetViews>
  <sheetFormatPr defaultColWidth="0" defaultRowHeight="16" zeroHeight="1" x14ac:dyDescent="0.45"/>
  <cols>
    <col min="1" max="1" width="57.1796875" style="102" customWidth="1"/>
    <col min="2" max="2" width="45.81640625" style="102" customWidth="1"/>
    <col min="3" max="3" width="23.26953125" style="102" customWidth="1"/>
    <col min="4" max="4" width="26.26953125" style="102" bestFit="1" customWidth="1"/>
    <col min="5" max="5" width="11.1796875" style="102" bestFit="1" customWidth="1"/>
    <col min="6" max="6" width="10.26953125" style="102" customWidth="1"/>
    <col min="7" max="7" width="14.26953125" style="197" bestFit="1" customWidth="1"/>
    <col min="8" max="8" width="21.26953125" style="102" customWidth="1"/>
    <col min="9" max="9" width="28" style="102" customWidth="1"/>
    <col min="10" max="10" width="11.7265625" style="102" customWidth="1"/>
    <col min="11" max="11" width="15.7265625" style="102" customWidth="1"/>
    <col min="12" max="12" width="25.54296875" style="198" customWidth="1"/>
    <col min="13" max="13" width="24.54296875" style="198" customWidth="1"/>
    <col min="14" max="14" width="25.54296875" style="102" customWidth="1"/>
    <col min="15" max="16" width="21.54296875" style="198" customWidth="1"/>
    <col min="17" max="17" width="23.26953125" style="198" customWidth="1"/>
    <col min="18" max="18" width="30.26953125" style="102" customWidth="1"/>
    <col min="19" max="19" width="20.54296875" style="198" customWidth="1"/>
    <col min="20" max="20" width="19.54296875" style="198" customWidth="1"/>
    <col min="21" max="21" width="28.453125" style="198" customWidth="1"/>
    <col min="22" max="22" width="28.7265625" style="198" customWidth="1"/>
    <col min="23" max="24" width="21.7265625" style="198" customWidth="1"/>
    <col min="25" max="25" width="24.7265625" style="198" customWidth="1"/>
    <col min="26" max="26" width="23.54296875" style="102" customWidth="1"/>
    <col min="27" max="27" width="23.453125" style="198" customWidth="1"/>
    <col min="28" max="28" width="31.453125" style="198" customWidth="1"/>
    <col min="29" max="29" width="31.81640625" style="198" customWidth="1"/>
    <col min="30" max="30" width="35.7265625" style="198" customWidth="1"/>
    <col min="31" max="31" width="28.26953125" style="198" customWidth="1"/>
    <col min="32" max="32" width="35.26953125" style="198" bestFit="1" customWidth="1"/>
    <col min="33" max="33" width="38.26953125" style="102" customWidth="1"/>
    <col min="34" max="34" width="5.7265625" style="102" hidden="1"/>
    <col min="35" max="16383" width="8.7265625" style="102" hidden="1"/>
    <col min="16384" max="16384" width="7.26953125" style="102" hidden="1"/>
  </cols>
  <sheetData>
    <row r="1" spans="1:33" x14ac:dyDescent="0.45">
      <c r="A1" s="88" t="s">
        <v>0</v>
      </c>
      <c r="C1" s="195"/>
      <c r="G1" s="102"/>
      <c r="H1" s="195"/>
      <c r="L1" s="102"/>
      <c r="M1" s="102"/>
      <c r="O1" s="102"/>
      <c r="P1" s="102"/>
      <c r="Q1" s="102"/>
      <c r="S1" s="102"/>
      <c r="T1" s="102"/>
      <c r="U1" s="102"/>
      <c r="V1" s="102"/>
      <c r="W1" s="102"/>
      <c r="X1" s="102"/>
      <c r="Y1" s="102"/>
      <c r="AA1" s="102"/>
      <c r="AB1" s="102"/>
      <c r="AC1" s="102"/>
      <c r="AD1" s="102"/>
      <c r="AE1" s="102"/>
      <c r="AF1" s="102"/>
    </row>
    <row r="2" spans="1:33" ht="16.5" x14ac:dyDescent="0.45">
      <c r="A2" s="196" t="s">
        <v>3</v>
      </c>
    </row>
    <row r="3" spans="1:33" ht="16.5" x14ac:dyDescent="0.45">
      <c r="A3" s="199"/>
      <c r="B3" s="98" t="s">
        <v>202</v>
      </c>
      <c r="C3" s="98" t="s">
        <v>203</v>
      </c>
      <c r="D3" s="98" t="s">
        <v>84</v>
      </c>
      <c r="E3" s="98" t="s">
        <v>204</v>
      </c>
      <c r="F3" s="98" t="s">
        <v>205</v>
      </c>
      <c r="G3" s="200" t="s">
        <v>206</v>
      </c>
      <c r="L3" s="102"/>
      <c r="M3" s="102"/>
      <c r="O3" s="102"/>
      <c r="P3" s="102"/>
      <c r="Q3" s="102"/>
      <c r="S3" s="102"/>
      <c r="T3" s="102"/>
      <c r="U3" s="102"/>
      <c r="V3" s="102"/>
      <c r="W3" s="102"/>
      <c r="X3" s="102"/>
      <c r="Y3" s="102"/>
      <c r="AA3" s="102"/>
      <c r="AB3" s="102"/>
      <c r="AC3" s="102"/>
      <c r="AD3" s="102"/>
      <c r="AE3" s="102"/>
      <c r="AF3" s="102"/>
    </row>
    <row r="4" spans="1:33" x14ac:dyDescent="0.45">
      <c r="A4" s="201" t="s">
        <v>207</v>
      </c>
      <c r="B4" s="201">
        <v>771.22</v>
      </c>
      <c r="C4" s="201">
        <v>755.08</v>
      </c>
      <c r="D4" s="202">
        <v>771.22</v>
      </c>
      <c r="E4" s="98">
        <v>43</v>
      </c>
      <c r="F4" s="98">
        <v>9.9499999999999993</v>
      </c>
      <c r="G4" s="203">
        <v>0</v>
      </c>
      <c r="L4" s="102"/>
      <c r="M4" s="102"/>
      <c r="O4" s="102"/>
      <c r="P4" s="102"/>
      <c r="Q4" s="102"/>
      <c r="S4" s="102"/>
      <c r="T4" s="102"/>
      <c r="U4" s="102"/>
      <c r="V4" s="102"/>
      <c r="W4" s="102"/>
      <c r="X4" s="102"/>
      <c r="Y4" s="102"/>
      <c r="AA4" s="102"/>
      <c r="AB4" s="102"/>
      <c r="AC4" s="102"/>
      <c r="AD4" s="102"/>
      <c r="AE4" s="102"/>
      <c r="AF4" s="102"/>
    </row>
    <row r="5" spans="1:33" x14ac:dyDescent="0.45">
      <c r="A5" s="201" t="s">
        <v>208</v>
      </c>
      <c r="B5" s="201">
        <v>705.62</v>
      </c>
      <c r="C5" s="201">
        <v>711.31121536869057</v>
      </c>
      <c r="D5" s="202">
        <v>711.31121536869057</v>
      </c>
      <c r="E5" s="98">
        <v>21</v>
      </c>
      <c r="F5" s="98">
        <v>9.9499999999999993</v>
      </c>
      <c r="G5" s="203">
        <v>8.0655528027699947E-3</v>
      </c>
      <c r="L5" s="102"/>
      <c r="M5" s="102"/>
      <c r="O5" s="102"/>
      <c r="P5" s="102"/>
      <c r="Q5" s="102"/>
      <c r="S5" s="102"/>
      <c r="T5" s="102"/>
      <c r="U5" s="102"/>
      <c r="V5" s="102"/>
      <c r="W5" s="102"/>
      <c r="X5" s="102"/>
      <c r="Y5" s="102"/>
      <c r="AA5" s="201" t="s">
        <v>209</v>
      </c>
      <c r="AB5" s="102"/>
      <c r="AC5" s="201" t="s">
        <v>210</v>
      </c>
      <c r="AD5" s="102"/>
      <c r="AE5" s="102"/>
      <c r="AF5" s="102"/>
    </row>
    <row r="6" spans="1:33" x14ac:dyDescent="0.45">
      <c r="AA6" s="201">
        <v>755.08</v>
      </c>
      <c r="AC6" s="201">
        <v>711.31121536869057</v>
      </c>
    </row>
    <row r="7" spans="1:33" s="119" customFormat="1" ht="76.5" customHeight="1" x14ac:dyDescent="0.35">
      <c r="A7" s="99" t="s">
        <v>211</v>
      </c>
      <c r="B7" s="116">
        <v>46204</v>
      </c>
      <c r="C7" s="116" t="s">
        <v>212</v>
      </c>
      <c r="D7" s="143"/>
      <c r="E7" s="143"/>
      <c r="F7" s="120"/>
      <c r="G7" s="121"/>
      <c r="H7" s="120"/>
      <c r="I7" s="120"/>
      <c r="J7" s="120"/>
      <c r="K7" s="120"/>
      <c r="L7" s="122" t="s">
        <v>213</v>
      </c>
      <c r="M7" s="144" t="s">
        <v>214</v>
      </c>
      <c r="N7" s="144"/>
      <c r="O7" s="144"/>
      <c r="P7" s="144"/>
      <c r="Q7" s="144" t="s">
        <v>215</v>
      </c>
      <c r="R7" s="144"/>
      <c r="S7" s="144"/>
      <c r="T7" s="144"/>
      <c r="U7" s="144"/>
      <c r="V7" s="122" t="s">
        <v>216</v>
      </c>
      <c r="W7" s="123"/>
      <c r="X7" s="123"/>
      <c r="Y7" s="117" t="s">
        <v>217</v>
      </c>
      <c r="Z7" s="145" t="s">
        <v>218</v>
      </c>
      <c r="AA7" s="145"/>
      <c r="AB7" s="145"/>
      <c r="AC7" s="145"/>
      <c r="AD7" s="145"/>
      <c r="AE7" s="118" t="s">
        <v>219</v>
      </c>
      <c r="AF7" s="118" t="s">
        <v>220</v>
      </c>
      <c r="AG7" s="118" t="s">
        <v>221</v>
      </c>
    </row>
    <row r="8" spans="1:33" ht="59.25" customHeight="1" x14ac:dyDescent="0.45">
      <c r="A8" s="124" t="s">
        <v>86</v>
      </c>
      <c r="B8" s="125" t="s">
        <v>87</v>
      </c>
      <c r="C8" s="126" t="s">
        <v>200</v>
      </c>
      <c r="D8" s="126" t="s">
        <v>222</v>
      </c>
      <c r="E8" s="126" t="s">
        <v>223</v>
      </c>
      <c r="F8" s="126" t="s">
        <v>224</v>
      </c>
      <c r="G8" s="127" t="s">
        <v>225</v>
      </c>
      <c r="H8" s="126" t="s">
        <v>226</v>
      </c>
      <c r="I8" s="126" t="s">
        <v>227</v>
      </c>
      <c r="J8" s="126" t="s">
        <v>228</v>
      </c>
      <c r="K8" s="126" t="s">
        <v>229</v>
      </c>
      <c r="L8" s="126" t="s">
        <v>230</v>
      </c>
      <c r="M8" s="128" t="s">
        <v>231</v>
      </c>
      <c r="N8" s="126" t="s">
        <v>232</v>
      </c>
      <c r="O8" s="128" t="s">
        <v>233</v>
      </c>
      <c r="P8" s="129" t="s">
        <v>234</v>
      </c>
      <c r="Q8" s="126" t="s">
        <v>235</v>
      </c>
      <c r="R8" s="126" t="s">
        <v>236</v>
      </c>
      <c r="S8" s="126" t="s">
        <v>237</v>
      </c>
      <c r="T8" s="126" t="s">
        <v>238</v>
      </c>
      <c r="U8" s="128" t="s">
        <v>239</v>
      </c>
      <c r="V8" s="126" t="s">
        <v>240</v>
      </c>
      <c r="W8" s="130" t="s">
        <v>241</v>
      </c>
      <c r="X8" s="126" t="s">
        <v>242</v>
      </c>
      <c r="Y8" s="131" t="s">
        <v>243</v>
      </c>
      <c r="Z8" s="132" t="s">
        <v>244</v>
      </c>
      <c r="AA8" s="133" t="s">
        <v>245</v>
      </c>
      <c r="AB8" s="133" t="s">
        <v>246</v>
      </c>
      <c r="AC8" s="133" t="s">
        <v>247</v>
      </c>
      <c r="AD8" s="133" t="s">
        <v>248</v>
      </c>
      <c r="AE8" s="133" t="s">
        <v>249</v>
      </c>
      <c r="AF8" s="133" t="s">
        <v>250</v>
      </c>
      <c r="AG8" s="133" t="s">
        <v>251</v>
      </c>
    </row>
    <row r="9" spans="1:33" ht="47.5" customHeight="1" x14ac:dyDescent="0.45">
      <c r="A9" s="134" t="s">
        <v>9</v>
      </c>
      <c r="B9" s="135" t="s">
        <v>11</v>
      </c>
      <c r="C9" s="126" t="s">
        <v>13</v>
      </c>
      <c r="D9" s="126" t="s">
        <v>15</v>
      </c>
      <c r="E9" s="126" t="s">
        <v>17</v>
      </c>
      <c r="F9" s="126" t="s">
        <v>19</v>
      </c>
      <c r="G9" s="127" t="s">
        <v>21</v>
      </c>
      <c r="H9" s="126" t="s">
        <v>23</v>
      </c>
      <c r="I9" s="126" t="s">
        <v>25</v>
      </c>
      <c r="J9" s="126" t="s">
        <v>252</v>
      </c>
      <c r="K9" s="126" t="s">
        <v>29</v>
      </c>
      <c r="L9" s="126" t="s">
        <v>32</v>
      </c>
      <c r="M9" s="131" t="s">
        <v>253</v>
      </c>
      <c r="N9" s="131" t="s">
        <v>37</v>
      </c>
      <c r="O9" s="126" t="s">
        <v>254</v>
      </c>
      <c r="P9" s="126" t="s">
        <v>255</v>
      </c>
      <c r="Q9" s="126" t="s">
        <v>256</v>
      </c>
      <c r="R9" s="126" t="s">
        <v>46</v>
      </c>
      <c r="S9" s="126" t="s">
        <v>48</v>
      </c>
      <c r="T9" s="126" t="s">
        <v>50</v>
      </c>
      <c r="U9" s="126" t="s">
        <v>257</v>
      </c>
      <c r="V9" s="126" t="s">
        <v>258</v>
      </c>
      <c r="W9" s="126" t="s">
        <v>58</v>
      </c>
      <c r="X9" s="126" t="s">
        <v>61</v>
      </c>
      <c r="Y9" s="131" t="s">
        <v>259</v>
      </c>
      <c r="Z9" s="132" t="s">
        <v>67</v>
      </c>
      <c r="AA9" s="133" t="s">
        <v>260</v>
      </c>
      <c r="AB9" s="134" t="s">
        <v>261</v>
      </c>
      <c r="AC9" s="134" t="s">
        <v>262</v>
      </c>
      <c r="AD9" s="134" t="s">
        <v>263</v>
      </c>
      <c r="AE9" s="134" t="s">
        <v>77</v>
      </c>
      <c r="AF9" s="134" t="s">
        <v>79</v>
      </c>
      <c r="AG9" s="134" t="s">
        <v>81</v>
      </c>
    </row>
    <row r="10" spans="1:33" x14ac:dyDescent="0.45">
      <c r="A10" s="87" t="s">
        <v>91</v>
      </c>
      <c r="B10" s="87">
        <v>1235261652</v>
      </c>
      <c r="C10" s="93" t="s">
        <v>182</v>
      </c>
      <c r="D10" s="204">
        <v>44743</v>
      </c>
      <c r="E10" s="204">
        <v>45107</v>
      </c>
      <c r="F10" s="87">
        <v>42</v>
      </c>
      <c r="G10" s="205">
        <v>43673</v>
      </c>
      <c r="H10" s="94">
        <v>24925</v>
      </c>
      <c r="I10" s="94">
        <v>17884</v>
      </c>
      <c r="J10" s="94">
        <v>864</v>
      </c>
      <c r="K10" s="87">
        <v>135</v>
      </c>
      <c r="L10" s="206">
        <v>2725660</v>
      </c>
      <c r="M10" s="206">
        <v>22720911.539799243</v>
      </c>
      <c r="N10" s="207">
        <v>1.1573588534049251</v>
      </c>
      <c r="O10" s="206">
        <v>26296248.128016781</v>
      </c>
      <c r="P10" s="206">
        <v>199851.48577292752</v>
      </c>
      <c r="Q10" s="206">
        <v>17952347.460200757</v>
      </c>
      <c r="R10" s="207">
        <v>1.1050978394114797</v>
      </c>
      <c r="S10" s="208">
        <v>1061</v>
      </c>
      <c r="T10" s="206">
        <v>1061</v>
      </c>
      <c r="U10" s="206">
        <v>19824046.701603916</v>
      </c>
      <c r="V10" s="206">
        <v>48845954.829620697</v>
      </c>
      <c r="W10" s="206">
        <v>4.5760878751843821</v>
      </c>
      <c r="X10" s="206" t="s">
        <v>264</v>
      </c>
      <c r="Y10" s="206">
        <v>1123.0235228950066</v>
      </c>
      <c r="Z10" s="209">
        <v>0.98021660980468484</v>
      </c>
      <c r="AA10" s="206">
        <v>1123.0235228950066</v>
      </c>
      <c r="AB10" s="206">
        <v>771.22</v>
      </c>
      <c r="AC10" s="206" t="s">
        <v>264</v>
      </c>
      <c r="AD10" s="206" t="s">
        <v>264</v>
      </c>
      <c r="AE10" s="206">
        <v>771.22</v>
      </c>
      <c r="AF10" s="206">
        <v>771.22</v>
      </c>
      <c r="AG10" s="206">
        <v>761.27</v>
      </c>
    </row>
    <row r="11" spans="1:33" x14ac:dyDescent="0.45">
      <c r="A11" s="87" t="s">
        <v>92</v>
      </c>
      <c r="B11" s="87">
        <v>1396176160</v>
      </c>
      <c r="C11" s="93" t="s">
        <v>182</v>
      </c>
      <c r="D11" s="204">
        <v>44743</v>
      </c>
      <c r="E11" s="204">
        <v>45107</v>
      </c>
      <c r="F11" s="87">
        <v>42</v>
      </c>
      <c r="G11" s="205">
        <v>42068</v>
      </c>
      <c r="H11" s="94">
        <v>26431</v>
      </c>
      <c r="I11" s="94">
        <v>13209</v>
      </c>
      <c r="J11" s="94">
        <v>2428</v>
      </c>
      <c r="K11" s="87">
        <v>120</v>
      </c>
      <c r="L11" s="206">
        <v>92809</v>
      </c>
      <c r="M11" s="206">
        <v>14080220.606786003</v>
      </c>
      <c r="N11" s="207">
        <v>1.1573588534049251</v>
      </c>
      <c r="O11" s="206">
        <v>16295867.977158247</v>
      </c>
      <c r="P11" s="206">
        <v>123848.59662640268</v>
      </c>
      <c r="Q11" s="206">
        <v>11125126.393213997</v>
      </c>
      <c r="R11" s="207">
        <v>1.1050978394114797</v>
      </c>
      <c r="S11" s="208">
        <v>1061</v>
      </c>
      <c r="T11" s="206">
        <v>1061</v>
      </c>
      <c r="U11" s="206">
        <v>12280972.083406545</v>
      </c>
      <c r="V11" s="206">
        <v>28669649.060564794</v>
      </c>
      <c r="W11" s="206">
        <v>2.9440096183893383</v>
      </c>
      <c r="X11" s="206" t="s">
        <v>264</v>
      </c>
      <c r="Y11" s="206">
        <v>684.45130876654935</v>
      </c>
      <c r="Z11" s="209">
        <v>0.94228392127032423</v>
      </c>
      <c r="AA11" s="206">
        <v>684.45130876654935</v>
      </c>
      <c r="AB11" s="206">
        <v>684.45130876654935</v>
      </c>
      <c r="AC11" s="206" t="s">
        <v>264</v>
      </c>
      <c r="AD11" s="206" t="s">
        <v>264</v>
      </c>
      <c r="AE11" s="206">
        <v>643.57539537493437</v>
      </c>
      <c r="AF11" s="206">
        <v>684.45130876654935</v>
      </c>
      <c r="AG11" s="206">
        <v>674.5013087665493</v>
      </c>
    </row>
    <row r="12" spans="1:33" x14ac:dyDescent="0.45">
      <c r="A12" s="87" t="s">
        <v>93</v>
      </c>
      <c r="B12" s="87">
        <v>1891759502</v>
      </c>
      <c r="C12" s="93" t="s">
        <v>64</v>
      </c>
      <c r="D12" s="204">
        <v>44927</v>
      </c>
      <c r="E12" s="204">
        <v>45291</v>
      </c>
      <c r="F12" s="87">
        <v>36</v>
      </c>
      <c r="G12" s="205">
        <v>15902</v>
      </c>
      <c r="H12" s="94">
        <v>2335</v>
      </c>
      <c r="I12" s="94">
        <v>12489</v>
      </c>
      <c r="J12" s="94">
        <v>1078</v>
      </c>
      <c r="K12" s="87">
        <v>48</v>
      </c>
      <c r="L12" s="206">
        <v>383591</v>
      </c>
      <c r="M12" s="206">
        <v>6164843.4969187854</v>
      </c>
      <c r="N12" s="207">
        <v>1.1256697181454438</v>
      </c>
      <c r="O12" s="206">
        <v>6939577.6415873412</v>
      </c>
      <c r="P12" s="206">
        <v>52740.790076063793</v>
      </c>
      <c r="Q12" s="206">
        <v>4870993.5030812146</v>
      </c>
      <c r="R12" s="207">
        <v>1.0808054428368077</v>
      </c>
      <c r="S12" s="208">
        <v>1061</v>
      </c>
      <c r="T12" s="206">
        <v>1061</v>
      </c>
      <c r="U12" s="206">
        <v>5260481.0305601126</v>
      </c>
      <c r="V12" s="206">
        <v>12583649.672147453</v>
      </c>
      <c r="W12" s="206">
        <v>3.3166136382885041</v>
      </c>
      <c r="X12" s="206" t="s">
        <v>264</v>
      </c>
      <c r="Y12" s="206">
        <v>794.64158358844895</v>
      </c>
      <c r="Z12" s="209">
        <v>0.93220978493271289</v>
      </c>
      <c r="AA12" s="206">
        <v>794.64158358844895</v>
      </c>
      <c r="AB12" s="206">
        <v>771.22</v>
      </c>
      <c r="AC12" s="206">
        <v>771.22</v>
      </c>
      <c r="AD12" s="206">
        <v>711.31121536869057</v>
      </c>
      <c r="AE12" s="206">
        <v>771.22</v>
      </c>
      <c r="AF12" s="206">
        <v>771.22</v>
      </c>
      <c r="AG12" s="206">
        <v>761.27</v>
      </c>
    </row>
    <row r="13" spans="1:33" x14ac:dyDescent="0.45">
      <c r="A13" s="87" t="s">
        <v>94</v>
      </c>
      <c r="B13" s="87">
        <v>1073553756</v>
      </c>
      <c r="C13" s="93" t="s">
        <v>64</v>
      </c>
      <c r="D13" s="204">
        <v>44743</v>
      </c>
      <c r="E13" s="204">
        <v>45107</v>
      </c>
      <c r="F13" s="87">
        <v>42</v>
      </c>
      <c r="G13" s="205">
        <v>5020</v>
      </c>
      <c r="H13" s="94">
        <v>4542</v>
      </c>
      <c r="I13" s="94">
        <v>0</v>
      </c>
      <c r="J13" s="94">
        <v>478</v>
      </c>
      <c r="K13" s="87">
        <v>21</v>
      </c>
      <c r="L13" s="206">
        <v>163467</v>
      </c>
      <c r="M13" s="206">
        <v>2324053.519292518</v>
      </c>
      <c r="N13" s="207">
        <v>1.1573588534049251</v>
      </c>
      <c r="O13" s="206">
        <v>2689763.9163400694</v>
      </c>
      <c r="P13" s="206">
        <v>20442.205764184528</v>
      </c>
      <c r="Q13" s="206">
        <v>1836291.480707482</v>
      </c>
      <c r="R13" s="207">
        <v>1.1050978394114797</v>
      </c>
      <c r="S13" s="208">
        <v>1061</v>
      </c>
      <c r="T13" s="206">
        <v>1061</v>
      </c>
      <c r="U13" s="206">
        <v>2026940.0628996179</v>
      </c>
      <c r="V13" s="206">
        <v>4880170.9792396873</v>
      </c>
      <c r="W13" s="206">
        <v>4.0721525426662408</v>
      </c>
      <c r="X13" s="206" t="s">
        <v>264</v>
      </c>
      <c r="Y13" s="206">
        <v>976.21776593702623</v>
      </c>
      <c r="Z13" s="209">
        <v>0.90478087649402394</v>
      </c>
      <c r="AA13" s="206">
        <v>976.21776593702623</v>
      </c>
      <c r="AB13" s="206">
        <v>771.22</v>
      </c>
      <c r="AC13" s="206">
        <v>771.22</v>
      </c>
      <c r="AD13" s="206">
        <v>711.31121536869057</v>
      </c>
      <c r="AE13" s="206">
        <v>771.22</v>
      </c>
      <c r="AF13" s="206">
        <v>771.22</v>
      </c>
      <c r="AG13" s="206">
        <v>761.27</v>
      </c>
    </row>
    <row r="14" spans="1:33" x14ac:dyDescent="0.45">
      <c r="A14" s="87" t="s">
        <v>95</v>
      </c>
      <c r="B14" s="87">
        <v>1467560599</v>
      </c>
      <c r="C14" s="93" t="s">
        <v>182</v>
      </c>
      <c r="D14" s="204">
        <v>44927</v>
      </c>
      <c r="E14" s="204">
        <v>45291</v>
      </c>
      <c r="F14" s="87">
        <v>36</v>
      </c>
      <c r="G14" s="205">
        <v>58467</v>
      </c>
      <c r="H14" s="94">
        <v>15491</v>
      </c>
      <c r="I14" s="94">
        <v>21516</v>
      </c>
      <c r="J14" s="94">
        <v>21460</v>
      </c>
      <c r="K14" s="87">
        <v>171</v>
      </c>
      <c r="L14" s="206">
        <v>720848</v>
      </c>
      <c r="M14" s="206">
        <v>21050885.179276608</v>
      </c>
      <c r="N14" s="207">
        <v>1.1256697181454438</v>
      </c>
      <c r="O14" s="206">
        <v>23696343.986468401</v>
      </c>
      <c r="P14" s="206">
        <v>180092.21429715984</v>
      </c>
      <c r="Q14" s="206">
        <v>16632818.820723392</v>
      </c>
      <c r="R14" s="207">
        <v>1.0808054428368077</v>
      </c>
      <c r="S14" s="208">
        <v>1061</v>
      </c>
      <c r="T14" s="206">
        <v>1061</v>
      </c>
      <c r="U14" s="206">
        <v>17962180.49885701</v>
      </c>
      <c r="V14" s="206">
        <v>42379372.485325411</v>
      </c>
      <c r="W14" s="206">
        <v>3.0802369592618031</v>
      </c>
      <c r="X14" s="206" t="s">
        <v>264</v>
      </c>
      <c r="Y14" s="206">
        <v>727.92284022820684</v>
      </c>
      <c r="Z14" s="209">
        <v>0.63295534232986128</v>
      </c>
      <c r="AA14" s="206">
        <v>727.92284022820684</v>
      </c>
      <c r="AB14" s="206">
        <v>727.92284022820684</v>
      </c>
      <c r="AC14" s="206" t="s">
        <v>264</v>
      </c>
      <c r="AD14" s="206" t="s">
        <v>264</v>
      </c>
      <c r="AE14" s="206">
        <v>771.22</v>
      </c>
      <c r="AF14" s="206">
        <v>771.22</v>
      </c>
      <c r="AG14" s="206">
        <v>761.27</v>
      </c>
    </row>
    <row r="15" spans="1:33" x14ac:dyDescent="0.45">
      <c r="A15" s="87" t="s">
        <v>96</v>
      </c>
      <c r="B15" s="87">
        <v>1215095419</v>
      </c>
      <c r="C15" s="93" t="s">
        <v>182</v>
      </c>
      <c r="D15" s="204">
        <v>44927</v>
      </c>
      <c r="E15" s="204">
        <v>45291</v>
      </c>
      <c r="F15" s="87">
        <v>36</v>
      </c>
      <c r="G15" s="205">
        <v>7019</v>
      </c>
      <c r="H15" s="94">
        <v>421</v>
      </c>
      <c r="I15" s="94">
        <v>2368</v>
      </c>
      <c r="J15" s="94">
        <v>4230</v>
      </c>
      <c r="K15" s="87">
        <v>29</v>
      </c>
      <c r="L15" s="206">
        <v>669964</v>
      </c>
      <c r="M15" s="206">
        <v>6072829.2232137676</v>
      </c>
      <c r="N15" s="207">
        <v>1.1256697181454438</v>
      </c>
      <c r="O15" s="206">
        <v>6835999.9600404566</v>
      </c>
      <c r="P15" s="206">
        <v>51953.599696307472</v>
      </c>
      <c r="Q15" s="206">
        <v>4798290.7767862324</v>
      </c>
      <c r="R15" s="207">
        <v>1.0808054428368077</v>
      </c>
      <c r="S15" s="208">
        <v>1061</v>
      </c>
      <c r="T15" s="206">
        <v>1061</v>
      </c>
      <c r="U15" s="206">
        <v>5183532.4851935683</v>
      </c>
      <c r="V15" s="206">
        <v>12689496.445234025</v>
      </c>
      <c r="W15" s="206">
        <v>7.4018520724187882</v>
      </c>
      <c r="X15" s="206" t="s">
        <v>264</v>
      </c>
      <c r="Y15" s="206">
        <v>1815.2799608107041</v>
      </c>
      <c r="Z15" s="209">
        <v>0.39735004986465311</v>
      </c>
      <c r="AA15" s="206">
        <v>1815.2799608107041</v>
      </c>
      <c r="AB15" s="206">
        <v>771.22</v>
      </c>
      <c r="AC15" s="206" t="s">
        <v>264</v>
      </c>
      <c r="AD15" s="206" t="s">
        <v>264</v>
      </c>
      <c r="AE15" s="206">
        <v>771.22</v>
      </c>
      <c r="AF15" s="206">
        <v>771.22</v>
      </c>
      <c r="AG15" s="206">
        <v>761.27</v>
      </c>
    </row>
    <row r="16" spans="1:33" x14ac:dyDescent="0.45">
      <c r="A16" s="87" t="s">
        <v>97</v>
      </c>
      <c r="B16" s="87">
        <v>1346250347</v>
      </c>
      <c r="C16" s="93" t="s">
        <v>64</v>
      </c>
      <c r="D16" s="204">
        <v>44743</v>
      </c>
      <c r="E16" s="204">
        <v>45107</v>
      </c>
      <c r="F16" s="87">
        <v>42</v>
      </c>
      <c r="G16" s="205">
        <v>1460</v>
      </c>
      <c r="H16" s="94">
        <v>1164</v>
      </c>
      <c r="I16" s="94">
        <v>0</v>
      </c>
      <c r="J16" s="94">
        <v>296</v>
      </c>
      <c r="K16" s="87">
        <v>4</v>
      </c>
      <c r="L16" s="206">
        <v>20650</v>
      </c>
      <c r="M16" s="206">
        <v>473546.40941530152</v>
      </c>
      <c r="N16" s="207">
        <v>1.1573588534049251</v>
      </c>
      <c r="O16" s="206">
        <v>548063.12943491258</v>
      </c>
      <c r="P16" s="206">
        <v>4165.2797837053358</v>
      </c>
      <c r="Q16" s="206">
        <v>374160.59058469848</v>
      </c>
      <c r="R16" s="207">
        <v>1.1050978394114797</v>
      </c>
      <c r="S16" s="208">
        <v>1342</v>
      </c>
      <c r="T16" s="206">
        <v>1342</v>
      </c>
      <c r="U16" s="206">
        <v>412919.89504611271</v>
      </c>
      <c r="V16" s="206">
        <v>981633.02448102529</v>
      </c>
      <c r="W16" s="206">
        <v>2.8529313587022846</v>
      </c>
      <c r="X16" s="206" t="s">
        <v>264</v>
      </c>
      <c r="Y16" s="206">
        <v>675.20431798954155</v>
      </c>
      <c r="Z16" s="209">
        <v>0.79726027397260268</v>
      </c>
      <c r="AA16" s="206">
        <v>675.20431798954155</v>
      </c>
      <c r="AB16" s="206">
        <v>675.20431798954155</v>
      </c>
      <c r="AC16" s="206">
        <v>675.20431798954155</v>
      </c>
      <c r="AD16" s="206">
        <v>711.31121536869057</v>
      </c>
      <c r="AE16" s="206">
        <v>704.86</v>
      </c>
      <c r="AF16" s="206">
        <v>704.86</v>
      </c>
      <c r="AG16" s="206">
        <v>694.91</v>
      </c>
    </row>
    <row r="17" spans="1:34" x14ac:dyDescent="0.45">
      <c r="A17" s="87" t="s">
        <v>98</v>
      </c>
      <c r="B17" s="87">
        <v>1477672665</v>
      </c>
      <c r="C17" s="93" t="s">
        <v>182</v>
      </c>
      <c r="D17" s="204">
        <v>44927</v>
      </c>
      <c r="E17" s="204">
        <v>45291</v>
      </c>
      <c r="F17" s="87">
        <v>36</v>
      </c>
      <c r="G17" s="205">
        <v>8606</v>
      </c>
      <c r="H17" s="94">
        <v>0</v>
      </c>
      <c r="I17" s="94">
        <v>0</v>
      </c>
      <c r="J17" s="94">
        <v>8606</v>
      </c>
      <c r="K17" s="87">
        <v>27</v>
      </c>
      <c r="L17" s="206">
        <v>400329</v>
      </c>
      <c r="M17" s="206">
        <v>7517828.7691422934</v>
      </c>
      <c r="N17" s="207">
        <v>1.1256697181454438</v>
      </c>
      <c r="O17" s="206">
        <v>8462592.1916261148</v>
      </c>
      <c r="P17" s="206">
        <v>64315.700656358473</v>
      </c>
      <c r="Q17" s="206">
        <v>5940020.2308577066</v>
      </c>
      <c r="R17" s="207">
        <v>1.0808054428368077</v>
      </c>
      <c r="S17" s="208">
        <v>1061</v>
      </c>
      <c r="T17" s="206">
        <v>1061</v>
      </c>
      <c r="U17" s="206">
        <v>6417691.3625508146</v>
      </c>
      <c r="V17" s="206">
        <v>15280612.55417693</v>
      </c>
      <c r="W17" s="206">
        <v>7.4733558745478126</v>
      </c>
      <c r="X17" s="206" t="s">
        <v>264</v>
      </c>
      <c r="Y17" s="206">
        <v>1783.0499947517185</v>
      </c>
      <c r="Z17" s="209">
        <v>0</v>
      </c>
      <c r="AA17" s="206" t="s">
        <v>264</v>
      </c>
      <c r="AB17" s="206">
        <v>771.22</v>
      </c>
      <c r="AC17" s="206" t="s">
        <v>264</v>
      </c>
      <c r="AD17" s="206" t="s">
        <v>264</v>
      </c>
      <c r="AE17" s="206">
        <v>771.22</v>
      </c>
      <c r="AF17" s="206">
        <v>771.22</v>
      </c>
      <c r="AG17" s="206">
        <v>761.27</v>
      </c>
    </row>
    <row r="18" spans="1:34" x14ac:dyDescent="0.45">
      <c r="A18" s="87" t="s">
        <v>99</v>
      </c>
      <c r="B18" s="87">
        <v>1215476734</v>
      </c>
      <c r="C18" s="93" t="s">
        <v>64</v>
      </c>
      <c r="D18" s="204">
        <v>44927</v>
      </c>
      <c r="E18" s="204">
        <v>45291</v>
      </c>
      <c r="F18" s="87">
        <v>36</v>
      </c>
      <c r="G18" s="205">
        <v>1475</v>
      </c>
      <c r="H18" s="94">
        <v>151</v>
      </c>
      <c r="I18" s="94">
        <v>11</v>
      </c>
      <c r="J18" s="94">
        <v>1313</v>
      </c>
      <c r="K18" s="87">
        <v>6</v>
      </c>
      <c r="L18" s="206">
        <v>2383</v>
      </c>
      <c r="M18" s="206">
        <v>146866.88501967888</v>
      </c>
      <c r="N18" s="207">
        <v>1.1256697181454438</v>
      </c>
      <c r="O18" s="206">
        <v>165323.60506500123</v>
      </c>
      <c r="P18" s="206">
        <v>1256.4593984940093</v>
      </c>
      <c r="Q18" s="206">
        <v>116043.11498032112</v>
      </c>
      <c r="R18" s="207">
        <v>1.0808054428368077</v>
      </c>
      <c r="S18" s="208">
        <v>1061</v>
      </c>
      <c r="T18" s="206">
        <v>1061</v>
      </c>
      <c r="U18" s="206">
        <v>124905.62282536944</v>
      </c>
      <c r="V18" s="206">
        <v>292612.22789037065</v>
      </c>
      <c r="W18" s="206">
        <v>0.85183688033492155</v>
      </c>
      <c r="X18" s="206" t="s">
        <v>264</v>
      </c>
      <c r="Y18" s="206">
        <v>199.23300833143367</v>
      </c>
      <c r="Z18" s="209">
        <v>0.10983050847457627</v>
      </c>
      <c r="AA18" s="206" t="s">
        <v>264</v>
      </c>
      <c r="AB18" s="206">
        <v>199.23300833143367</v>
      </c>
      <c r="AC18" s="206">
        <v>199.23300833143367</v>
      </c>
      <c r="AD18" s="206">
        <v>711.31121536869057</v>
      </c>
      <c r="AE18" s="206">
        <v>636.04</v>
      </c>
      <c r="AF18" s="206">
        <v>636.04</v>
      </c>
      <c r="AG18" s="206">
        <v>626.08999999999992</v>
      </c>
    </row>
    <row r="19" spans="1:34" x14ac:dyDescent="0.45">
      <c r="A19" s="87" t="s">
        <v>100</v>
      </c>
      <c r="B19" s="87">
        <v>1235290818</v>
      </c>
      <c r="C19" s="93" t="s">
        <v>182</v>
      </c>
      <c r="D19" s="204">
        <v>44927</v>
      </c>
      <c r="E19" s="204">
        <v>45291</v>
      </c>
      <c r="F19" s="87">
        <v>36</v>
      </c>
      <c r="G19" s="205">
        <v>31529</v>
      </c>
      <c r="H19" s="94">
        <v>0</v>
      </c>
      <c r="I19" s="94">
        <v>0</v>
      </c>
      <c r="J19" s="94">
        <v>31529</v>
      </c>
      <c r="K19" s="87">
        <v>88</v>
      </c>
      <c r="L19" s="206">
        <v>546348</v>
      </c>
      <c r="M19" s="206">
        <v>15899224.878757473</v>
      </c>
      <c r="N19" s="207">
        <v>1.1256697181454438</v>
      </c>
      <c r="O19" s="206">
        <v>17897275.988001954</v>
      </c>
      <c r="P19" s="206">
        <v>136019.29750881484</v>
      </c>
      <c r="Q19" s="206">
        <v>12562366.121242527</v>
      </c>
      <c r="R19" s="207">
        <v>1.0808054428368077</v>
      </c>
      <c r="S19" s="208">
        <v>1061</v>
      </c>
      <c r="T19" s="206">
        <v>1061</v>
      </c>
      <c r="U19" s="206">
        <v>13569929.036160853</v>
      </c>
      <c r="V19" s="206">
        <v>32013553.024162807</v>
      </c>
      <c r="W19" s="206">
        <v>4.3141012245492982</v>
      </c>
      <c r="X19" s="206" t="s">
        <v>264</v>
      </c>
      <c r="Y19" s="206">
        <v>1019.6825881465197</v>
      </c>
      <c r="Z19" s="209">
        <v>0</v>
      </c>
      <c r="AA19" s="206" t="s">
        <v>264</v>
      </c>
      <c r="AB19" s="206">
        <v>771.22</v>
      </c>
      <c r="AC19" s="206" t="s">
        <v>264</v>
      </c>
      <c r="AD19" s="206" t="s">
        <v>264</v>
      </c>
      <c r="AE19" s="206">
        <v>771.22</v>
      </c>
      <c r="AF19" s="206">
        <v>771.22</v>
      </c>
      <c r="AG19" s="206">
        <v>761.27</v>
      </c>
    </row>
    <row r="20" spans="1:34" x14ac:dyDescent="0.45">
      <c r="A20" s="87" t="s">
        <v>101</v>
      </c>
      <c r="B20" s="87">
        <v>1295816569</v>
      </c>
      <c r="C20" s="93" t="s">
        <v>182</v>
      </c>
      <c r="D20" s="204">
        <v>44805</v>
      </c>
      <c r="E20" s="204">
        <v>45169</v>
      </c>
      <c r="F20" s="87">
        <v>40</v>
      </c>
      <c r="G20" s="205">
        <v>19303</v>
      </c>
      <c r="H20" s="94">
        <v>11626</v>
      </c>
      <c r="I20" s="94">
        <v>6312</v>
      </c>
      <c r="J20" s="94">
        <v>1365</v>
      </c>
      <c r="K20" s="87">
        <v>58</v>
      </c>
      <c r="L20" s="206">
        <v>594946</v>
      </c>
      <c r="M20" s="206">
        <v>4100364.6698364508</v>
      </c>
      <c r="N20" s="207">
        <v>1.1586793165186977</v>
      </c>
      <c r="O20" s="206">
        <v>4751007.7331235148</v>
      </c>
      <c r="P20" s="206">
        <v>36107.658771738716</v>
      </c>
      <c r="Q20" s="206">
        <v>3239798.3301635492</v>
      </c>
      <c r="R20" s="207">
        <v>1.0953148963073511</v>
      </c>
      <c r="S20" s="208">
        <v>1061</v>
      </c>
      <c r="T20" s="206">
        <v>1061</v>
      </c>
      <c r="U20" s="206">
        <v>3542733.8839708553</v>
      </c>
      <c r="V20" s="206">
        <v>8888687.6170943696</v>
      </c>
      <c r="W20" s="206">
        <v>1.8705723862476669</v>
      </c>
      <c r="X20" s="206" t="s">
        <v>264</v>
      </c>
      <c r="Y20" s="206">
        <v>462.35275738828722</v>
      </c>
      <c r="Z20" s="209">
        <v>0.92928560327410248</v>
      </c>
      <c r="AA20" s="206">
        <v>462.35275738828722</v>
      </c>
      <c r="AB20" s="206">
        <v>462.35275738828722</v>
      </c>
      <c r="AC20" s="206" t="s">
        <v>264</v>
      </c>
      <c r="AD20" s="206" t="s">
        <v>264</v>
      </c>
      <c r="AE20" s="206">
        <v>485.20741463837794</v>
      </c>
      <c r="AF20" s="206">
        <v>485.20741463837794</v>
      </c>
      <c r="AG20" s="206">
        <v>475.25741463837795</v>
      </c>
    </row>
    <row r="21" spans="1:34" x14ac:dyDescent="0.45">
      <c r="A21" s="87" t="s">
        <v>102</v>
      </c>
      <c r="B21" s="87">
        <v>1033247622</v>
      </c>
      <c r="C21" s="93" t="s">
        <v>182</v>
      </c>
      <c r="D21" s="204">
        <v>44927</v>
      </c>
      <c r="E21" s="204">
        <v>45291</v>
      </c>
      <c r="F21" s="87">
        <v>36</v>
      </c>
      <c r="G21" s="205">
        <v>17044</v>
      </c>
      <c r="H21" s="94">
        <v>0</v>
      </c>
      <c r="I21" s="94">
        <v>0</v>
      </c>
      <c r="J21" s="94">
        <v>17044</v>
      </c>
      <c r="K21" s="87">
        <v>51</v>
      </c>
      <c r="L21" s="206">
        <v>328948</v>
      </c>
      <c r="M21" s="206">
        <v>8103286.3930812627</v>
      </c>
      <c r="N21" s="207">
        <v>1.1256697181454438</v>
      </c>
      <c r="O21" s="206">
        <v>9121624.1101515945</v>
      </c>
      <c r="P21" s="206">
        <v>69324.343237152119</v>
      </c>
      <c r="Q21" s="206">
        <v>6402604.6069187373</v>
      </c>
      <c r="R21" s="207">
        <v>1.0808054428368077</v>
      </c>
      <c r="S21" s="208">
        <v>1061</v>
      </c>
      <c r="T21" s="206">
        <v>1061</v>
      </c>
      <c r="U21" s="206">
        <v>6915597.4441724485</v>
      </c>
      <c r="V21" s="206">
        <v>16366169.554324042</v>
      </c>
      <c r="W21" s="206">
        <v>4.0673752192649681</v>
      </c>
      <c r="X21" s="206" t="s">
        <v>264</v>
      </c>
      <c r="Y21" s="206">
        <v>964.29792874684313</v>
      </c>
      <c r="Z21" s="209">
        <v>0</v>
      </c>
      <c r="AA21" s="206" t="s">
        <v>264</v>
      </c>
      <c r="AB21" s="206">
        <v>771.22</v>
      </c>
      <c r="AC21" s="206" t="s">
        <v>264</v>
      </c>
      <c r="AD21" s="206" t="s">
        <v>264</v>
      </c>
      <c r="AE21" s="206">
        <v>771.22</v>
      </c>
      <c r="AF21" s="206">
        <v>771.22</v>
      </c>
      <c r="AG21" s="206">
        <v>761.27</v>
      </c>
    </row>
    <row r="22" spans="1:34" x14ac:dyDescent="0.45">
      <c r="A22" s="87" t="s">
        <v>103</v>
      </c>
      <c r="B22" s="87">
        <v>1104856095</v>
      </c>
      <c r="C22" s="93" t="s">
        <v>182</v>
      </c>
      <c r="D22" s="204">
        <v>44713</v>
      </c>
      <c r="E22" s="204">
        <v>45077</v>
      </c>
      <c r="F22" s="87">
        <v>43</v>
      </c>
      <c r="G22" s="205">
        <v>4462</v>
      </c>
      <c r="H22" s="94">
        <v>0</v>
      </c>
      <c r="I22" s="94">
        <v>0</v>
      </c>
      <c r="J22" s="94">
        <v>4462</v>
      </c>
      <c r="K22" s="87">
        <v>0</v>
      </c>
      <c r="L22" s="206">
        <v>372009</v>
      </c>
      <c r="M22" s="206">
        <v>3553282.0317607499</v>
      </c>
      <c r="N22" s="207">
        <v>1.1488687949734988</v>
      </c>
      <c r="O22" s="206">
        <v>4082254.8460299582</v>
      </c>
      <c r="P22" s="206">
        <v>31025.136829827683</v>
      </c>
      <c r="Q22" s="206">
        <v>2807534.9682392501</v>
      </c>
      <c r="R22" s="207">
        <v>1.1109166777924957</v>
      </c>
      <c r="S22" s="208">
        <v>1061</v>
      </c>
      <c r="T22" s="206">
        <v>1061</v>
      </c>
      <c r="U22" s="206">
        <v>3118937.4197026077</v>
      </c>
      <c r="V22" s="206">
        <v>7573201.2657325659</v>
      </c>
      <c r="W22" s="206">
        <v>6.9531906835113588</v>
      </c>
      <c r="X22" s="206" t="s">
        <v>264</v>
      </c>
      <c r="Y22" s="206">
        <v>1704.2192744424908</v>
      </c>
      <c r="Z22" s="209">
        <v>0</v>
      </c>
      <c r="AA22" s="206" t="s">
        <v>264</v>
      </c>
      <c r="AB22" s="206">
        <v>771.22</v>
      </c>
      <c r="AC22" s="206" t="s">
        <v>264</v>
      </c>
      <c r="AD22" s="206" t="s">
        <v>264</v>
      </c>
      <c r="AE22" s="206">
        <v>771.22</v>
      </c>
      <c r="AF22" s="206">
        <v>771.22</v>
      </c>
      <c r="AG22" s="206">
        <v>761.27</v>
      </c>
    </row>
    <row r="23" spans="1:34" x14ac:dyDescent="0.45">
      <c r="A23" s="87" t="s">
        <v>104</v>
      </c>
      <c r="B23" s="87">
        <v>1609872415</v>
      </c>
      <c r="C23" s="93" t="s">
        <v>64</v>
      </c>
      <c r="D23" s="204">
        <v>44743</v>
      </c>
      <c r="E23" s="204">
        <v>45107</v>
      </c>
      <c r="F23" s="87">
        <v>42</v>
      </c>
      <c r="G23" s="205">
        <v>19253</v>
      </c>
      <c r="H23" s="94">
        <v>11589</v>
      </c>
      <c r="I23" s="94">
        <v>6302</v>
      </c>
      <c r="J23" s="94">
        <v>1362</v>
      </c>
      <c r="K23" s="87">
        <v>66</v>
      </c>
      <c r="L23" s="206">
        <v>153925</v>
      </c>
      <c r="M23" s="206">
        <v>5681638.5410731835</v>
      </c>
      <c r="N23" s="207">
        <v>1.1573588534049251</v>
      </c>
      <c r="O23" s="206">
        <v>6575694.6673576906</v>
      </c>
      <c r="P23" s="206">
        <v>49975.279471918446</v>
      </c>
      <c r="Q23" s="206">
        <v>4489201.4589268165</v>
      </c>
      <c r="R23" s="207">
        <v>1.1050978394114797</v>
      </c>
      <c r="S23" s="208">
        <v>1061</v>
      </c>
      <c r="T23" s="206">
        <v>1061</v>
      </c>
      <c r="U23" s="206">
        <v>4953647.2516402593</v>
      </c>
      <c r="V23" s="206">
        <v>11683266.918997951</v>
      </c>
      <c r="W23" s="206">
        <v>2.5957138872860566</v>
      </c>
      <c r="X23" s="206">
        <v>0.4</v>
      </c>
      <c r="Y23" s="206">
        <v>609.82410006076293</v>
      </c>
      <c r="Z23" s="209">
        <v>0.92925777800862208</v>
      </c>
      <c r="AA23" s="206">
        <v>609.82410006076293</v>
      </c>
      <c r="AB23" s="206">
        <v>609.82410006076293</v>
      </c>
      <c r="AC23" s="206">
        <v>609.82410006076293</v>
      </c>
      <c r="AD23" s="206">
        <v>711.31121536869057</v>
      </c>
      <c r="AE23" s="206">
        <v>603.56727880663504</v>
      </c>
      <c r="AF23" s="206">
        <v>609.82410006076293</v>
      </c>
      <c r="AG23" s="206">
        <v>599.87410006076288</v>
      </c>
    </row>
    <row r="24" spans="1:34" x14ac:dyDescent="0.45">
      <c r="A24" s="87" t="s">
        <v>105</v>
      </c>
      <c r="B24" s="87">
        <v>1962556290</v>
      </c>
      <c r="C24" s="93" t="s">
        <v>182</v>
      </c>
      <c r="D24" s="204">
        <v>44743</v>
      </c>
      <c r="E24" s="204">
        <v>45107</v>
      </c>
      <c r="F24" s="87">
        <v>42</v>
      </c>
      <c r="G24" s="205">
        <v>57526</v>
      </c>
      <c r="H24" s="94">
        <v>7713</v>
      </c>
      <c r="I24" s="94">
        <v>41607</v>
      </c>
      <c r="J24" s="94">
        <v>8206</v>
      </c>
      <c r="K24" s="87">
        <v>192</v>
      </c>
      <c r="L24" s="206">
        <v>0</v>
      </c>
      <c r="M24" s="206">
        <v>34192583.879775681</v>
      </c>
      <c r="N24" s="207">
        <v>1.1573588534049251</v>
      </c>
      <c r="O24" s="206">
        <v>39573089.674048908</v>
      </c>
      <c r="P24" s="206">
        <v>300755.4815227717</v>
      </c>
      <c r="Q24" s="206">
        <v>27016396.120224319</v>
      </c>
      <c r="R24" s="207">
        <v>1.1050978394114797</v>
      </c>
      <c r="S24" s="208">
        <v>1061</v>
      </c>
      <c r="T24" s="206">
        <v>1061</v>
      </c>
      <c r="U24" s="206">
        <v>29834351.290082384</v>
      </c>
      <c r="V24" s="206">
        <v>69407440.964131296</v>
      </c>
      <c r="W24" s="206">
        <v>5.2281660731281807</v>
      </c>
      <c r="X24" s="206" t="s">
        <v>264</v>
      </c>
      <c r="Y24" s="206">
        <v>1211.7685298065931</v>
      </c>
      <c r="Z24" s="209">
        <v>0</v>
      </c>
      <c r="AA24" s="206" t="s">
        <v>264</v>
      </c>
      <c r="AB24" s="206">
        <v>771.22</v>
      </c>
      <c r="AC24" s="206" t="s">
        <v>264</v>
      </c>
      <c r="AD24" s="206" t="s">
        <v>264</v>
      </c>
      <c r="AE24" s="206">
        <v>814.98</v>
      </c>
      <c r="AF24" s="206">
        <v>818.96</v>
      </c>
      <c r="AG24" s="206">
        <v>809.01</v>
      </c>
      <c r="AH24" s="102">
        <v>47.74</v>
      </c>
    </row>
    <row r="25" spans="1:34" x14ac:dyDescent="0.45">
      <c r="A25" s="87" t="s">
        <v>106</v>
      </c>
      <c r="B25" s="87">
        <v>1619141298</v>
      </c>
      <c r="C25" s="93" t="s">
        <v>182</v>
      </c>
      <c r="D25" s="204">
        <v>44927</v>
      </c>
      <c r="E25" s="204">
        <v>45291</v>
      </c>
      <c r="F25" s="87">
        <v>36</v>
      </c>
      <c r="G25" s="205">
        <v>9542</v>
      </c>
      <c r="H25" s="94">
        <v>0</v>
      </c>
      <c r="I25" s="94">
        <v>0</v>
      </c>
      <c r="J25" s="94">
        <v>9542</v>
      </c>
      <c r="K25" s="87">
        <v>28</v>
      </c>
      <c r="L25" s="206">
        <v>383223</v>
      </c>
      <c r="M25" s="206">
        <v>6622340.1840964379</v>
      </c>
      <c r="N25" s="207">
        <v>1.1256697181454438</v>
      </c>
      <c r="O25" s="206">
        <v>7454567.8084950838</v>
      </c>
      <c r="P25" s="206">
        <v>56654.715344562639</v>
      </c>
      <c r="Q25" s="206">
        <v>5232472.8159035621</v>
      </c>
      <c r="R25" s="207">
        <v>1.0808054428368077</v>
      </c>
      <c r="S25" s="208">
        <v>1342</v>
      </c>
      <c r="T25" s="206">
        <v>1342</v>
      </c>
      <c r="U25" s="206">
        <v>5652248.7536041718</v>
      </c>
      <c r="V25" s="206">
        <v>13490039.562099256</v>
      </c>
      <c r="W25" s="206">
        <v>5.9374046682626958</v>
      </c>
      <c r="X25" s="206" t="s">
        <v>264</v>
      </c>
      <c r="Y25" s="206">
        <v>1419.6912887700501</v>
      </c>
      <c r="Z25" s="209">
        <v>0</v>
      </c>
      <c r="AA25" s="206" t="s">
        <v>264</v>
      </c>
      <c r="AB25" s="206">
        <v>771.22</v>
      </c>
      <c r="AC25" s="206" t="s">
        <v>264</v>
      </c>
      <c r="AD25" s="206" t="s">
        <v>264</v>
      </c>
      <c r="AE25" s="206">
        <v>771.22</v>
      </c>
      <c r="AF25" s="206">
        <v>771.22</v>
      </c>
      <c r="AG25" s="206">
        <v>761.27</v>
      </c>
    </row>
    <row r="26" spans="1:34" x14ac:dyDescent="0.45">
      <c r="A26" s="87" t="s">
        <v>107</v>
      </c>
      <c r="B26" s="87">
        <v>1225228646</v>
      </c>
      <c r="C26" s="93" t="s">
        <v>64</v>
      </c>
      <c r="D26" s="204">
        <v>44835</v>
      </c>
      <c r="E26" s="204">
        <v>45199</v>
      </c>
      <c r="F26" s="87">
        <v>39</v>
      </c>
      <c r="G26" s="205">
        <v>11696</v>
      </c>
      <c r="H26" s="94">
        <v>250</v>
      </c>
      <c r="I26" s="94">
        <v>1079</v>
      </c>
      <c r="J26" s="94">
        <v>10367</v>
      </c>
      <c r="K26" s="87">
        <v>48</v>
      </c>
      <c r="L26" s="206">
        <v>113686</v>
      </c>
      <c r="M26" s="206">
        <v>4283521.7694482654</v>
      </c>
      <c r="N26" s="207">
        <v>1.1360567635778847</v>
      </c>
      <c r="O26" s="206">
        <v>4866323.8781148102</v>
      </c>
      <c r="P26" s="206">
        <v>36984.061473672555</v>
      </c>
      <c r="Q26" s="206">
        <v>3384515.2305517346</v>
      </c>
      <c r="R26" s="207">
        <v>1.0916059850114701</v>
      </c>
      <c r="S26" s="208">
        <v>1061</v>
      </c>
      <c r="T26" s="206">
        <v>1061</v>
      </c>
      <c r="U26" s="206">
        <v>3689891.7724280851</v>
      </c>
      <c r="V26" s="206">
        <v>8669901.6505428962</v>
      </c>
      <c r="W26" s="206">
        <v>3.1621119591033304</v>
      </c>
      <c r="X26" s="206" t="s">
        <v>264</v>
      </c>
      <c r="Y26" s="206">
        <v>744.43277291523327</v>
      </c>
      <c r="Z26" s="209">
        <v>0.11362859097127223</v>
      </c>
      <c r="AA26" s="206" t="s">
        <v>264</v>
      </c>
      <c r="AB26" s="206">
        <v>744.43277291523327</v>
      </c>
      <c r="AC26" s="206">
        <v>744.43277291523327</v>
      </c>
      <c r="AD26" s="206">
        <v>711.31121536869057</v>
      </c>
      <c r="AE26" s="206">
        <v>651.96457225474694</v>
      </c>
      <c r="AF26" s="206">
        <v>744.43277291523327</v>
      </c>
      <c r="AG26" s="206">
        <v>734.48277291523323</v>
      </c>
    </row>
    <row r="27" spans="1:34" x14ac:dyDescent="0.45">
      <c r="A27" s="87" t="s">
        <v>108</v>
      </c>
      <c r="B27" s="87">
        <v>1417930249</v>
      </c>
      <c r="C27" s="93" t="s">
        <v>182</v>
      </c>
      <c r="D27" s="204">
        <v>44835</v>
      </c>
      <c r="E27" s="204">
        <v>45199</v>
      </c>
      <c r="F27" s="87">
        <v>39</v>
      </c>
      <c r="G27" s="205">
        <v>5768</v>
      </c>
      <c r="H27" s="94">
        <v>550</v>
      </c>
      <c r="I27" s="94">
        <v>1164</v>
      </c>
      <c r="J27" s="94">
        <v>4054</v>
      </c>
      <c r="K27" s="87">
        <v>30</v>
      </c>
      <c r="L27" s="206">
        <v>550852</v>
      </c>
      <c r="M27" s="206">
        <v>3058147.1790056345</v>
      </c>
      <c r="N27" s="207">
        <v>1.1360567635778847</v>
      </c>
      <c r="O27" s="206">
        <v>3474228.7867259788</v>
      </c>
      <c r="P27" s="206">
        <v>26404.138779117438</v>
      </c>
      <c r="Q27" s="206">
        <v>2416316.8209943655</v>
      </c>
      <c r="R27" s="207">
        <v>1.0916059850114701</v>
      </c>
      <c r="S27" s="208">
        <v>1061</v>
      </c>
      <c r="T27" s="206">
        <v>1061</v>
      </c>
      <c r="U27" s="206">
        <v>2634750.0849784235</v>
      </c>
      <c r="V27" s="206">
        <v>6659830.8717044024</v>
      </c>
      <c r="W27" s="206">
        <v>4.5776939630924822</v>
      </c>
      <c r="X27" s="206" t="s">
        <v>264</v>
      </c>
      <c r="Y27" s="206">
        <v>1159.1946966857697</v>
      </c>
      <c r="Z27" s="209">
        <v>0.29715672676837723</v>
      </c>
      <c r="AA27" s="206">
        <v>1159.1946966857697</v>
      </c>
      <c r="AB27" s="206">
        <v>771.22</v>
      </c>
      <c r="AC27" s="206" t="s">
        <v>264</v>
      </c>
      <c r="AD27" s="206" t="s">
        <v>264</v>
      </c>
      <c r="AE27" s="206">
        <v>771.22</v>
      </c>
      <c r="AF27" s="206">
        <v>771.22</v>
      </c>
      <c r="AG27" s="206">
        <v>761.27</v>
      </c>
    </row>
    <row r="28" spans="1:34" x14ac:dyDescent="0.45">
      <c r="A28" s="87" t="s">
        <v>109</v>
      </c>
      <c r="B28" s="87">
        <v>1467585471</v>
      </c>
      <c r="C28" s="93" t="s">
        <v>64</v>
      </c>
      <c r="D28" s="204">
        <v>44743</v>
      </c>
      <c r="E28" s="204">
        <v>45107</v>
      </c>
      <c r="F28" s="87">
        <v>42</v>
      </c>
      <c r="G28" s="205">
        <v>33023</v>
      </c>
      <c r="H28" s="94">
        <v>26569</v>
      </c>
      <c r="I28" s="94">
        <v>0</v>
      </c>
      <c r="J28" s="94">
        <v>6454</v>
      </c>
      <c r="K28" s="87">
        <v>119</v>
      </c>
      <c r="L28" s="206">
        <v>136402</v>
      </c>
      <c r="M28" s="206">
        <v>13167283.514062274</v>
      </c>
      <c r="N28" s="207">
        <v>1.1573588534049251</v>
      </c>
      <c r="O28" s="206">
        <v>15239272.150292685</v>
      </c>
      <c r="P28" s="206">
        <v>115818.46834222441</v>
      </c>
      <c r="Q28" s="206">
        <v>10403792.485937726</v>
      </c>
      <c r="R28" s="207">
        <v>1.1050978394114797</v>
      </c>
      <c r="S28" s="208">
        <v>1061</v>
      </c>
      <c r="T28" s="206">
        <v>1061</v>
      </c>
      <c r="U28" s="206">
        <v>11483939.049788913</v>
      </c>
      <c r="V28" s="206">
        <v>26859613.200081598</v>
      </c>
      <c r="W28" s="206">
        <v>3.5072061394247771</v>
      </c>
      <c r="X28" s="206" t="s">
        <v>264</v>
      </c>
      <c r="Y28" s="206">
        <v>816.86799104938439</v>
      </c>
      <c r="Z28" s="209">
        <v>0.80456045786270181</v>
      </c>
      <c r="AA28" s="206">
        <v>816.86799104938439</v>
      </c>
      <c r="AB28" s="206">
        <v>771.22</v>
      </c>
      <c r="AC28" s="206">
        <v>771.22</v>
      </c>
      <c r="AD28" s="206">
        <v>711.31121536869057</v>
      </c>
      <c r="AE28" s="206">
        <v>771.22</v>
      </c>
      <c r="AF28" s="206">
        <v>771.22</v>
      </c>
      <c r="AG28" s="206">
        <v>761.27</v>
      </c>
    </row>
    <row r="29" spans="1:34" x14ac:dyDescent="0.45">
      <c r="A29" s="87" t="s">
        <v>110</v>
      </c>
      <c r="B29" s="87">
        <v>1639565088</v>
      </c>
      <c r="C29" s="93" t="s">
        <v>64</v>
      </c>
      <c r="D29" s="204">
        <v>44713</v>
      </c>
      <c r="E29" s="204">
        <v>45077</v>
      </c>
      <c r="F29" s="87">
        <v>43</v>
      </c>
      <c r="G29" s="205">
        <v>29034</v>
      </c>
      <c r="H29" s="94">
        <v>11988</v>
      </c>
      <c r="I29" s="94">
        <v>2252</v>
      </c>
      <c r="J29" s="94">
        <v>14794</v>
      </c>
      <c r="K29" s="87">
        <v>95</v>
      </c>
      <c r="L29" s="206">
        <v>257622</v>
      </c>
      <c r="M29" s="206">
        <v>6813148.7071007239</v>
      </c>
      <c r="N29" s="207">
        <v>1.1488687949734988</v>
      </c>
      <c r="O29" s="206">
        <v>7827413.9451020602</v>
      </c>
      <c r="P29" s="206">
        <v>59488.34598277566</v>
      </c>
      <c r="Q29" s="206">
        <v>5383235.2928992761</v>
      </c>
      <c r="R29" s="207">
        <v>1.1109166777924957</v>
      </c>
      <c r="S29" s="208">
        <v>1061</v>
      </c>
      <c r="T29" s="206">
        <v>1061</v>
      </c>
      <c r="U29" s="206">
        <v>5969146.0208248822</v>
      </c>
      <c r="V29" s="206">
        <v>14054181.965926941</v>
      </c>
      <c r="W29" s="206">
        <v>2.0489200930900204</v>
      </c>
      <c r="X29" s="206" t="s">
        <v>264</v>
      </c>
      <c r="Y29" s="206">
        <v>486.10836646379136</v>
      </c>
      <c r="Z29" s="209">
        <v>0.4904594613212096</v>
      </c>
      <c r="AA29" s="206">
        <v>486.10836646379136</v>
      </c>
      <c r="AB29" s="206">
        <v>486.10836646379136</v>
      </c>
      <c r="AC29" s="206">
        <v>486.10836646379136</v>
      </c>
      <c r="AD29" s="206">
        <v>711.31121536869057</v>
      </c>
      <c r="AE29" s="206">
        <v>497.2409374796004</v>
      </c>
      <c r="AF29" s="206">
        <v>497.2409374796004</v>
      </c>
      <c r="AG29" s="206">
        <v>487.29093747960042</v>
      </c>
    </row>
    <row r="30" spans="1:34" x14ac:dyDescent="0.45">
      <c r="A30" s="87" t="s">
        <v>111</v>
      </c>
      <c r="B30" s="87">
        <v>1336164151</v>
      </c>
      <c r="C30" s="93" t="s">
        <v>182</v>
      </c>
      <c r="D30" s="204">
        <v>44927</v>
      </c>
      <c r="E30" s="204">
        <v>45291</v>
      </c>
      <c r="F30" s="87">
        <v>36</v>
      </c>
      <c r="G30" s="205">
        <v>26535</v>
      </c>
      <c r="H30" s="94">
        <v>0</v>
      </c>
      <c r="I30" s="94">
        <v>0</v>
      </c>
      <c r="J30" s="94">
        <v>26535</v>
      </c>
      <c r="K30" s="87">
        <v>89</v>
      </c>
      <c r="L30" s="206">
        <v>306907</v>
      </c>
      <c r="M30" s="206">
        <v>13401204.123781705</v>
      </c>
      <c r="N30" s="207">
        <v>1.1256697181454438</v>
      </c>
      <c r="O30" s="206">
        <v>15085329.668826912</v>
      </c>
      <c r="P30" s="206">
        <v>114648.50548308453</v>
      </c>
      <c r="Q30" s="206">
        <v>10588618.876218295</v>
      </c>
      <c r="R30" s="207">
        <v>1.0808054428368077</v>
      </c>
      <c r="S30" s="208">
        <v>1342</v>
      </c>
      <c r="T30" s="206">
        <v>1342</v>
      </c>
      <c r="U30" s="206">
        <v>11434585.673059752</v>
      </c>
      <c r="V30" s="206">
        <v>26826822.341886662</v>
      </c>
      <c r="W30" s="206">
        <v>4.3206521757333531</v>
      </c>
      <c r="X30" s="206" t="s">
        <v>264</v>
      </c>
      <c r="Y30" s="206">
        <v>1015.318290837375</v>
      </c>
      <c r="Z30" s="209">
        <v>0</v>
      </c>
      <c r="AA30" s="206" t="s">
        <v>264</v>
      </c>
      <c r="AB30" s="206">
        <v>771.22</v>
      </c>
      <c r="AC30" s="206" t="s">
        <v>264</v>
      </c>
      <c r="AD30" s="206" t="s">
        <v>264</v>
      </c>
      <c r="AE30" s="206">
        <v>771.22</v>
      </c>
      <c r="AF30" s="206">
        <v>771.22</v>
      </c>
      <c r="AG30" s="206">
        <v>761.27</v>
      </c>
    </row>
    <row r="31" spans="1:34" x14ac:dyDescent="0.45">
      <c r="A31" s="87" t="s">
        <v>112</v>
      </c>
      <c r="B31" s="87">
        <v>1750309837</v>
      </c>
      <c r="C31" s="93" t="s">
        <v>182</v>
      </c>
      <c r="D31" s="204">
        <v>44927</v>
      </c>
      <c r="E31" s="204">
        <v>45291</v>
      </c>
      <c r="F31" s="87">
        <v>36</v>
      </c>
      <c r="G31" s="205">
        <v>15139</v>
      </c>
      <c r="H31" s="94">
        <v>0</v>
      </c>
      <c r="I31" s="94">
        <v>0</v>
      </c>
      <c r="J31" s="94">
        <v>15139</v>
      </c>
      <c r="K31" s="87">
        <v>48</v>
      </c>
      <c r="L31" s="206">
        <v>1154523</v>
      </c>
      <c r="M31" s="206">
        <v>10144007.095254363</v>
      </c>
      <c r="N31" s="207">
        <v>1.1256697181454438</v>
      </c>
      <c r="O31" s="206">
        <v>11418801.607780362</v>
      </c>
      <c r="P31" s="206">
        <v>86782.89221913075</v>
      </c>
      <c r="Q31" s="206">
        <v>8015027.9047456365</v>
      </c>
      <c r="R31" s="207">
        <v>1.0808054428368077</v>
      </c>
      <c r="S31" s="208">
        <v>1342</v>
      </c>
      <c r="T31" s="206">
        <v>1342</v>
      </c>
      <c r="U31" s="206">
        <v>8657480.6205322035</v>
      </c>
      <c r="V31" s="206">
        <v>21230805.228312567</v>
      </c>
      <c r="W31" s="206">
        <v>5.7324058536977835</v>
      </c>
      <c r="X31" s="206" t="s">
        <v>264</v>
      </c>
      <c r="Y31" s="206">
        <v>1408.123926318231</v>
      </c>
      <c r="Z31" s="209">
        <v>0</v>
      </c>
      <c r="AA31" s="206" t="s">
        <v>264</v>
      </c>
      <c r="AB31" s="206">
        <v>771.22</v>
      </c>
      <c r="AC31" s="206" t="s">
        <v>264</v>
      </c>
      <c r="AD31" s="206" t="s">
        <v>264</v>
      </c>
      <c r="AE31" s="206">
        <v>771.22</v>
      </c>
      <c r="AF31" s="206">
        <v>771.22</v>
      </c>
      <c r="AG31" s="206">
        <v>761.27</v>
      </c>
    </row>
    <row r="32" spans="1:34" x14ac:dyDescent="0.45">
      <c r="A32" s="87" t="s">
        <v>113</v>
      </c>
      <c r="B32" s="87">
        <v>1275525115</v>
      </c>
      <c r="C32" s="93" t="s">
        <v>182</v>
      </c>
      <c r="D32" s="204">
        <v>44743</v>
      </c>
      <c r="E32" s="204">
        <v>45107</v>
      </c>
      <c r="F32" s="87">
        <v>42</v>
      </c>
      <c r="G32" s="205">
        <v>121683</v>
      </c>
      <c r="H32" s="94">
        <v>52024</v>
      </c>
      <c r="I32" s="94">
        <v>35670</v>
      </c>
      <c r="J32" s="94">
        <v>33989</v>
      </c>
      <c r="K32" s="87">
        <v>362</v>
      </c>
      <c r="L32" s="206">
        <v>5004318</v>
      </c>
      <c r="M32" s="206">
        <v>42620299.115727544</v>
      </c>
      <c r="N32" s="207">
        <v>1.1573588534049251</v>
      </c>
      <c r="O32" s="206">
        <v>49326980.516353369</v>
      </c>
      <c r="P32" s="206">
        <v>374885.0519242856</v>
      </c>
      <c r="Q32" s="206">
        <v>33675339.884272456</v>
      </c>
      <c r="R32" s="207">
        <v>1.1050978394114797</v>
      </c>
      <c r="S32" s="208">
        <v>1061</v>
      </c>
      <c r="T32" s="206">
        <v>1061</v>
      </c>
      <c r="U32" s="206">
        <v>37174179.159199879</v>
      </c>
      <c r="V32" s="206">
        <v>91505477.675553247</v>
      </c>
      <c r="W32" s="206">
        <v>3.0808334107828177</v>
      </c>
      <c r="X32" s="206" t="s">
        <v>264</v>
      </c>
      <c r="Y32" s="206">
        <v>755.07969665012808</v>
      </c>
      <c r="Z32" s="209">
        <v>0.7206758544743308</v>
      </c>
      <c r="AA32" s="206">
        <v>755.07969665012808</v>
      </c>
      <c r="AB32" s="206">
        <v>755.07969665012808</v>
      </c>
      <c r="AC32" s="206" t="s">
        <v>264</v>
      </c>
      <c r="AD32" s="206" t="s">
        <v>264</v>
      </c>
      <c r="AE32" s="206">
        <v>681.66594362202932</v>
      </c>
      <c r="AF32" s="206">
        <v>755.07969665012808</v>
      </c>
      <c r="AG32" s="206">
        <v>745.12969665012804</v>
      </c>
    </row>
    <row r="33" spans="1:33" x14ac:dyDescent="0.45">
      <c r="A33" s="87" t="s">
        <v>114</v>
      </c>
      <c r="B33" s="87">
        <v>1841342334</v>
      </c>
      <c r="C33" s="93" t="s">
        <v>64</v>
      </c>
      <c r="D33" s="204">
        <v>44743</v>
      </c>
      <c r="E33" s="204">
        <v>45107</v>
      </c>
      <c r="F33" s="87">
        <v>42</v>
      </c>
      <c r="G33" s="205">
        <v>5484</v>
      </c>
      <c r="H33" s="94">
        <v>5164</v>
      </c>
      <c r="I33" s="94">
        <v>0</v>
      </c>
      <c r="J33" s="94">
        <v>320</v>
      </c>
      <c r="K33" s="87">
        <v>16</v>
      </c>
      <c r="L33" s="206">
        <v>92502</v>
      </c>
      <c r="M33" s="206">
        <v>1647119.0144574346</v>
      </c>
      <c r="N33" s="207">
        <v>1.1573588534049251</v>
      </c>
      <c r="O33" s="206">
        <v>1906307.7739939068</v>
      </c>
      <c r="P33" s="206">
        <v>14487.939082353692</v>
      </c>
      <c r="Q33" s="206">
        <v>1301428.9855425654</v>
      </c>
      <c r="R33" s="207">
        <v>1.1050978394114797</v>
      </c>
      <c r="S33" s="208">
        <v>1061</v>
      </c>
      <c r="T33" s="206">
        <v>1061</v>
      </c>
      <c r="U33" s="206">
        <v>1436422.2191487134</v>
      </c>
      <c r="V33" s="206">
        <v>3435231.9931426202</v>
      </c>
      <c r="W33" s="206">
        <v>2.6418561419317457</v>
      </c>
      <c r="X33" s="206">
        <v>0.43</v>
      </c>
      <c r="Y33" s="206">
        <v>629.48177465809147</v>
      </c>
      <c r="Z33" s="209">
        <v>0.94164843180160462</v>
      </c>
      <c r="AA33" s="206">
        <v>629.48177465809147</v>
      </c>
      <c r="AB33" s="206">
        <v>629.48177465809147</v>
      </c>
      <c r="AC33" s="206">
        <v>629.48177465809147</v>
      </c>
      <c r="AD33" s="206">
        <v>711.31121536869057</v>
      </c>
      <c r="AE33" s="206">
        <v>705.62139420257563</v>
      </c>
      <c r="AF33" s="206">
        <v>705.62139420257563</v>
      </c>
      <c r="AG33" s="206">
        <v>695.67139420257558</v>
      </c>
    </row>
    <row r="34" spans="1:33" x14ac:dyDescent="0.45">
      <c r="A34" s="87" t="s">
        <v>115</v>
      </c>
      <c r="B34" s="87">
        <v>1487681631</v>
      </c>
      <c r="C34" s="93" t="s">
        <v>182</v>
      </c>
      <c r="D34" s="204">
        <v>44805</v>
      </c>
      <c r="E34" s="204">
        <v>45169</v>
      </c>
      <c r="F34" s="87">
        <v>40</v>
      </c>
      <c r="G34" s="205">
        <v>82571</v>
      </c>
      <c r="H34" s="94">
        <v>7777</v>
      </c>
      <c r="I34" s="94">
        <v>62276</v>
      </c>
      <c r="J34" s="94">
        <v>12518</v>
      </c>
      <c r="K34" s="87">
        <v>239</v>
      </c>
      <c r="L34" s="206">
        <v>2987545</v>
      </c>
      <c r="M34" s="206">
        <v>21650427.29894416</v>
      </c>
      <c r="N34" s="207">
        <v>1.1586793165186977</v>
      </c>
      <c r="O34" s="206">
        <v>25085902.305078376</v>
      </c>
      <c r="P34" s="206">
        <v>190652.85751859564</v>
      </c>
      <c r="Q34" s="206">
        <v>17106531.70105584</v>
      </c>
      <c r="R34" s="207">
        <v>1.0953148963073511</v>
      </c>
      <c r="S34" s="208">
        <v>1342</v>
      </c>
      <c r="T34" s="206">
        <v>1342</v>
      </c>
      <c r="U34" s="206">
        <v>18706467.887108564</v>
      </c>
      <c r="V34" s="206">
        <v>46779915.192186937</v>
      </c>
      <c r="W34" s="206">
        <v>2.308956625432605</v>
      </c>
      <c r="X34" s="206" t="s">
        <v>264</v>
      </c>
      <c r="Y34" s="206">
        <v>568.8506624566196</v>
      </c>
      <c r="Z34" s="209">
        <v>0.84839713700936159</v>
      </c>
      <c r="AA34" s="206">
        <v>568.8506624566196</v>
      </c>
      <c r="AB34" s="206">
        <v>568.8506624566196</v>
      </c>
      <c r="AC34" s="206" t="s">
        <v>264</v>
      </c>
      <c r="AD34" s="206" t="s">
        <v>264</v>
      </c>
      <c r="AE34" s="206">
        <v>563.06552878797879</v>
      </c>
      <c r="AF34" s="206">
        <v>568.8506624566196</v>
      </c>
      <c r="AG34" s="206">
        <v>558.90066245661956</v>
      </c>
    </row>
    <row r="35" spans="1:33" x14ac:dyDescent="0.45">
      <c r="A35" s="87" t="s">
        <v>116</v>
      </c>
      <c r="B35" s="87">
        <v>1093776338</v>
      </c>
      <c r="C35" s="93" t="s">
        <v>182</v>
      </c>
      <c r="D35" s="204">
        <v>44743</v>
      </c>
      <c r="E35" s="204">
        <v>45107</v>
      </c>
      <c r="F35" s="87">
        <v>42</v>
      </c>
      <c r="G35" s="205">
        <v>6842</v>
      </c>
      <c r="H35" s="94">
        <v>1304</v>
      </c>
      <c r="I35" s="94">
        <v>903</v>
      </c>
      <c r="J35" s="94">
        <v>4635</v>
      </c>
      <c r="K35" s="87">
        <v>70</v>
      </c>
      <c r="L35" s="206">
        <v>258834</v>
      </c>
      <c r="M35" s="206">
        <v>2539921.7526995377</v>
      </c>
      <c r="N35" s="207">
        <v>1.1573588534049251</v>
      </c>
      <c r="O35" s="206">
        <v>2939600.9274425646</v>
      </c>
      <c r="P35" s="206">
        <v>22340.967048563492</v>
      </c>
      <c r="Q35" s="206">
        <v>2006854.2473004623</v>
      </c>
      <c r="R35" s="207">
        <v>1.1050978394114797</v>
      </c>
      <c r="S35" s="208">
        <v>1061</v>
      </c>
      <c r="T35" s="206">
        <v>1061</v>
      </c>
      <c r="U35" s="206">
        <v>2209964.6761724018</v>
      </c>
      <c r="V35" s="206">
        <v>5408399.6036149664</v>
      </c>
      <c r="W35" s="206">
        <v>3.2652684958438312</v>
      </c>
      <c r="X35" s="206" t="s">
        <v>264</v>
      </c>
      <c r="Y35" s="206">
        <v>793.73583318671888</v>
      </c>
      <c r="Z35" s="209">
        <v>0.32256650102309264</v>
      </c>
      <c r="AA35" s="206">
        <v>793.73583318671888</v>
      </c>
      <c r="AB35" s="206">
        <v>771.22</v>
      </c>
      <c r="AC35" s="206" t="s">
        <v>264</v>
      </c>
      <c r="AD35" s="206" t="s">
        <v>264</v>
      </c>
      <c r="AE35" s="206">
        <v>771.22</v>
      </c>
      <c r="AF35" s="206">
        <v>771.22</v>
      </c>
      <c r="AG35" s="206">
        <v>761.27</v>
      </c>
    </row>
    <row r="36" spans="1:33" x14ac:dyDescent="0.45">
      <c r="A36" s="87" t="s">
        <v>117</v>
      </c>
      <c r="B36" s="87">
        <v>1427049964</v>
      </c>
      <c r="C36" s="93" t="s">
        <v>64</v>
      </c>
      <c r="D36" s="204">
        <v>44743</v>
      </c>
      <c r="E36" s="204">
        <v>45107</v>
      </c>
      <c r="F36" s="87">
        <v>42</v>
      </c>
      <c r="G36" s="205">
        <v>16151</v>
      </c>
      <c r="H36" s="94">
        <v>8347</v>
      </c>
      <c r="I36" s="94">
        <v>4907</v>
      </c>
      <c r="J36" s="94">
        <v>2897</v>
      </c>
      <c r="K36" s="87">
        <v>74</v>
      </c>
      <c r="L36" s="206">
        <v>185846</v>
      </c>
      <c r="M36" s="206">
        <v>3893131.0316968197</v>
      </c>
      <c r="N36" s="207">
        <v>1.1573588534049251</v>
      </c>
      <c r="O36" s="206">
        <v>4505749.6669997638</v>
      </c>
      <c r="P36" s="206">
        <v>34243.697469198203</v>
      </c>
      <c r="Q36" s="206">
        <v>3076057.9683031803</v>
      </c>
      <c r="R36" s="207">
        <v>1.1050978394114797</v>
      </c>
      <c r="S36" s="208">
        <v>1061</v>
      </c>
      <c r="T36" s="206">
        <v>1061</v>
      </c>
      <c r="U36" s="206">
        <v>3391093.3629127573</v>
      </c>
      <c r="V36" s="206">
        <v>8082689.0299125211</v>
      </c>
      <c r="W36" s="206">
        <v>2.1202215014053745</v>
      </c>
      <c r="X36" s="206">
        <v>0.8</v>
      </c>
      <c r="Y36" s="206">
        <v>503.36533511124509</v>
      </c>
      <c r="Z36" s="209">
        <v>0.82063030152931704</v>
      </c>
      <c r="AA36" s="206">
        <v>503.36533511124509</v>
      </c>
      <c r="AB36" s="206">
        <v>503.36533511124509</v>
      </c>
      <c r="AC36" s="206">
        <v>503.36533511124509</v>
      </c>
      <c r="AD36" s="206">
        <v>711.31121536869057</v>
      </c>
      <c r="AE36" s="206">
        <v>500.06001447595969</v>
      </c>
      <c r="AF36" s="206">
        <v>503.36533511124509</v>
      </c>
      <c r="AG36" s="206">
        <v>493.4153351112451</v>
      </c>
    </row>
    <row r="37" spans="1:33" x14ac:dyDescent="0.45">
      <c r="A37" s="87" t="s">
        <v>118</v>
      </c>
      <c r="B37" s="87">
        <v>1629240577</v>
      </c>
      <c r="C37" s="93" t="s">
        <v>182</v>
      </c>
      <c r="D37" s="204">
        <v>44805</v>
      </c>
      <c r="E37" s="204">
        <v>45169</v>
      </c>
      <c r="F37" s="87">
        <v>40</v>
      </c>
      <c r="G37" s="205">
        <v>5458</v>
      </c>
      <c r="H37" s="94">
        <v>286</v>
      </c>
      <c r="I37" s="94">
        <v>2347</v>
      </c>
      <c r="J37" s="94">
        <v>2825</v>
      </c>
      <c r="K37" s="87">
        <v>24</v>
      </c>
      <c r="L37" s="206">
        <v>52224</v>
      </c>
      <c r="M37" s="206">
        <v>1747336.6284937984</v>
      </c>
      <c r="N37" s="207">
        <v>1.1586793165186977</v>
      </c>
      <c r="O37" s="206">
        <v>2024602.8104312799</v>
      </c>
      <c r="P37" s="206">
        <v>15386.981359277728</v>
      </c>
      <c r="Q37" s="206">
        <v>1380613.3715062016</v>
      </c>
      <c r="R37" s="207">
        <v>1.0953148963073511</v>
      </c>
      <c r="S37" s="208">
        <v>1061</v>
      </c>
      <c r="T37" s="206">
        <v>1061</v>
      </c>
      <c r="U37" s="206">
        <v>1509779.2933322871</v>
      </c>
      <c r="V37" s="206">
        <v>3586606.1037635673</v>
      </c>
      <c r="W37" s="206">
        <v>2.8191611138288253</v>
      </c>
      <c r="X37" s="206" t="s">
        <v>264</v>
      </c>
      <c r="Y37" s="206">
        <v>659.94743223210799</v>
      </c>
      <c r="Z37" s="209">
        <v>0.48241113961157933</v>
      </c>
      <c r="AA37" s="206">
        <v>659.94743223210799</v>
      </c>
      <c r="AB37" s="206">
        <v>659.94743223210799</v>
      </c>
      <c r="AC37" s="206" t="s">
        <v>264</v>
      </c>
      <c r="AD37" s="206" t="s">
        <v>264</v>
      </c>
      <c r="AE37" s="206">
        <v>771.22</v>
      </c>
      <c r="AF37" s="206">
        <v>771.22</v>
      </c>
      <c r="AG37" s="206">
        <v>761.27</v>
      </c>
    </row>
    <row r="38" spans="1:33" x14ac:dyDescent="0.45">
      <c r="A38" s="87" t="s">
        <v>119</v>
      </c>
      <c r="B38" s="87">
        <v>1417997370</v>
      </c>
      <c r="C38" s="93" t="s">
        <v>182</v>
      </c>
      <c r="D38" s="204">
        <v>44743</v>
      </c>
      <c r="E38" s="204">
        <v>45107</v>
      </c>
      <c r="F38" s="87">
        <v>42</v>
      </c>
      <c r="G38" s="205">
        <v>204320</v>
      </c>
      <c r="H38" s="94">
        <v>131487</v>
      </c>
      <c r="I38" s="94">
        <v>60798</v>
      </c>
      <c r="J38" s="94">
        <v>12035</v>
      </c>
      <c r="K38" s="87">
        <v>769</v>
      </c>
      <c r="L38" s="206">
        <v>21108341</v>
      </c>
      <c r="M38" s="206">
        <v>174308445.48244098</v>
      </c>
      <c r="N38" s="207">
        <v>1.1573588534049251</v>
      </c>
      <c r="O38" s="206">
        <v>201737422.60235277</v>
      </c>
      <c r="P38" s="206">
        <v>1533204.411777881</v>
      </c>
      <c r="Q38" s="206">
        <v>137725362.51755902</v>
      </c>
      <c r="R38" s="207">
        <v>1.1050978394114797</v>
      </c>
      <c r="S38" s="208">
        <v>1061</v>
      </c>
      <c r="T38" s="206">
        <v>1061</v>
      </c>
      <c r="U38" s="206">
        <v>152114250.27726087</v>
      </c>
      <c r="V38" s="206">
        <v>374960013.87961364</v>
      </c>
      <c r="W38" s="206">
        <v>7.5039370192731054</v>
      </c>
      <c r="X38" s="206" t="s">
        <v>264</v>
      </c>
      <c r="Y38" s="206">
        <v>1842.664537448079</v>
      </c>
      <c r="Z38" s="209">
        <v>0.94109729835552081</v>
      </c>
      <c r="AA38" s="206">
        <v>1842.664537448079</v>
      </c>
      <c r="AB38" s="206">
        <v>771.22</v>
      </c>
      <c r="AC38" s="206" t="s">
        <v>264</v>
      </c>
      <c r="AD38" s="206" t="s">
        <v>264</v>
      </c>
      <c r="AE38" s="206">
        <v>771.22</v>
      </c>
      <c r="AF38" s="206">
        <v>771.22</v>
      </c>
      <c r="AG38" s="206">
        <v>761.27</v>
      </c>
    </row>
    <row r="39" spans="1:33" x14ac:dyDescent="0.45">
      <c r="A39" s="87" t="s">
        <v>120</v>
      </c>
      <c r="B39" s="87">
        <v>1376539130</v>
      </c>
      <c r="C39" s="93" t="s">
        <v>64</v>
      </c>
      <c r="D39" s="204">
        <v>44743</v>
      </c>
      <c r="E39" s="204">
        <v>45107</v>
      </c>
      <c r="F39" s="87">
        <v>42</v>
      </c>
      <c r="G39" s="205">
        <v>32490</v>
      </c>
      <c r="H39" s="94">
        <v>1832</v>
      </c>
      <c r="I39" s="94">
        <v>25219</v>
      </c>
      <c r="J39" s="94">
        <v>5439</v>
      </c>
      <c r="K39" s="87">
        <v>110</v>
      </c>
      <c r="L39" s="206">
        <v>265928</v>
      </c>
      <c r="M39" s="206">
        <v>9529755.9422695059</v>
      </c>
      <c r="N39" s="207">
        <v>1.1573588534049251</v>
      </c>
      <c r="O39" s="206">
        <v>11029347.410573807</v>
      </c>
      <c r="P39" s="206">
        <v>83823.040320360931</v>
      </c>
      <c r="Q39" s="206">
        <v>7529693.0577304941</v>
      </c>
      <c r="R39" s="207">
        <v>1.1050978394114797</v>
      </c>
      <c r="S39" s="208">
        <v>1061</v>
      </c>
      <c r="T39" s="206">
        <v>1061</v>
      </c>
      <c r="U39" s="206">
        <v>8308781.5606918726</v>
      </c>
      <c r="V39" s="206">
        <v>19604056.971265681</v>
      </c>
      <c r="W39" s="206">
        <v>2.5799643065669722</v>
      </c>
      <c r="X39" s="206" t="s">
        <v>264</v>
      </c>
      <c r="Y39" s="206">
        <v>605.96737493339617</v>
      </c>
      <c r="Z39" s="209">
        <v>0.83259464450600185</v>
      </c>
      <c r="AA39" s="206">
        <v>605.96737493339617</v>
      </c>
      <c r="AB39" s="206">
        <v>605.96737493339617</v>
      </c>
      <c r="AC39" s="206">
        <v>605.96737493339617</v>
      </c>
      <c r="AD39" s="206">
        <v>711.31121536869057</v>
      </c>
      <c r="AE39" s="206">
        <v>600.99611663360974</v>
      </c>
      <c r="AF39" s="206">
        <v>605.96737493339617</v>
      </c>
      <c r="AG39" s="206">
        <v>596.01737493339613</v>
      </c>
    </row>
    <row r="40" spans="1:33" x14ac:dyDescent="0.45">
      <c r="A40" s="87" t="s">
        <v>121</v>
      </c>
      <c r="B40" s="87">
        <v>1144358953</v>
      </c>
      <c r="C40" s="93" t="s">
        <v>182</v>
      </c>
      <c r="D40" s="204">
        <v>44743</v>
      </c>
      <c r="E40" s="204">
        <v>45107</v>
      </c>
      <c r="F40" s="87">
        <v>42</v>
      </c>
      <c r="G40" s="205">
        <v>28873</v>
      </c>
      <c r="H40" s="94">
        <v>2246</v>
      </c>
      <c r="I40" s="94">
        <v>14548</v>
      </c>
      <c r="J40" s="94">
        <v>12079</v>
      </c>
      <c r="K40" s="87">
        <v>95</v>
      </c>
      <c r="L40" s="206">
        <v>592733</v>
      </c>
      <c r="M40" s="206">
        <v>8501692.7747152057</v>
      </c>
      <c r="N40" s="207">
        <v>1.1573588534049251</v>
      </c>
      <c r="O40" s="206">
        <v>9839509.4017453268</v>
      </c>
      <c r="P40" s="206">
        <v>74780.27145326449</v>
      </c>
      <c r="Q40" s="206">
        <v>6717395.2252847943</v>
      </c>
      <c r="R40" s="207">
        <v>1.1050978394114797</v>
      </c>
      <c r="S40" s="208">
        <v>1061</v>
      </c>
      <c r="T40" s="206">
        <v>1061</v>
      </c>
      <c r="U40" s="206">
        <v>7412785.6132117361</v>
      </c>
      <c r="V40" s="206">
        <v>17845028.014957063</v>
      </c>
      <c r="W40" s="206">
        <v>2.5899723427861492</v>
      </c>
      <c r="X40" s="206" t="s">
        <v>264</v>
      </c>
      <c r="Y40" s="206">
        <v>620.6424093932161</v>
      </c>
      <c r="Z40" s="209">
        <v>0.58165067710317597</v>
      </c>
      <c r="AA40" s="206">
        <v>620.6424093932161</v>
      </c>
      <c r="AB40" s="206">
        <v>620.6424093932161</v>
      </c>
      <c r="AC40" s="206" t="s">
        <v>264</v>
      </c>
      <c r="AD40" s="206" t="s">
        <v>264</v>
      </c>
      <c r="AE40" s="206">
        <v>641.84326042750024</v>
      </c>
      <c r="AF40" s="206">
        <v>641.84326042750024</v>
      </c>
      <c r="AG40" s="206">
        <v>631.89326042750019</v>
      </c>
    </row>
    <row r="41" spans="1:33" x14ac:dyDescent="0.45">
      <c r="A41" s="87" t="s">
        <v>122</v>
      </c>
      <c r="B41" s="87">
        <v>1386763456</v>
      </c>
      <c r="C41" s="93" t="s">
        <v>64</v>
      </c>
      <c r="D41" s="204">
        <v>44743</v>
      </c>
      <c r="E41" s="204">
        <v>45107</v>
      </c>
      <c r="F41" s="87">
        <v>42</v>
      </c>
      <c r="G41" s="205">
        <v>28591</v>
      </c>
      <c r="H41" s="94">
        <v>1993</v>
      </c>
      <c r="I41" s="94">
        <v>27029</v>
      </c>
      <c r="J41" s="94">
        <v>-431</v>
      </c>
      <c r="K41" s="87">
        <v>99</v>
      </c>
      <c r="L41" s="206">
        <v>878760</v>
      </c>
      <c r="M41" s="206">
        <v>8423228.3970317803</v>
      </c>
      <c r="N41" s="207">
        <v>1.1573588534049251</v>
      </c>
      <c r="O41" s="206">
        <v>9748697.9595565069</v>
      </c>
      <c r="P41" s="206">
        <v>74090.104492629456</v>
      </c>
      <c r="Q41" s="206">
        <v>6655398.6029682197</v>
      </c>
      <c r="R41" s="207">
        <v>1.1050978394114797</v>
      </c>
      <c r="S41" s="208">
        <v>1061</v>
      </c>
      <c r="T41" s="206">
        <v>1061</v>
      </c>
      <c r="U41" s="206">
        <v>7343827.2446084172</v>
      </c>
      <c r="V41" s="206">
        <v>17971285.204164922</v>
      </c>
      <c r="W41" s="206">
        <v>2.5913785629264265</v>
      </c>
      <c r="X41" s="206">
        <v>0.21</v>
      </c>
      <c r="Y41" s="206">
        <v>631.36579408406681</v>
      </c>
      <c r="Z41" s="209">
        <v>1.0150746738484138</v>
      </c>
      <c r="AA41" s="206">
        <v>631.36579408406681</v>
      </c>
      <c r="AB41" s="206">
        <v>631.36579408406681</v>
      </c>
      <c r="AC41" s="206">
        <v>631.36579408406681</v>
      </c>
      <c r="AD41" s="206">
        <v>711.31121536869057</v>
      </c>
      <c r="AE41" s="206">
        <v>609.16702777146395</v>
      </c>
      <c r="AF41" s="206">
        <v>631.36579408406681</v>
      </c>
      <c r="AG41" s="206">
        <v>621.41579408406676</v>
      </c>
    </row>
    <row r="42" spans="1:33" x14ac:dyDescent="0.45">
      <c r="A42" s="87" t="s">
        <v>123</v>
      </c>
      <c r="B42" s="87">
        <v>1811107410</v>
      </c>
      <c r="C42" s="93" t="s">
        <v>182</v>
      </c>
      <c r="D42" s="204">
        <v>44927</v>
      </c>
      <c r="E42" s="204">
        <v>45291</v>
      </c>
      <c r="F42" s="87">
        <v>36</v>
      </c>
      <c r="G42" s="205">
        <v>19777</v>
      </c>
      <c r="H42" s="94">
        <v>0</v>
      </c>
      <c r="I42" s="94">
        <v>0</v>
      </c>
      <c r="J42" s="94">
        <v>19777</v>
      </c>
      <c r="K42" s="87">
        <v>69</v>
      </c>
      <c r="L42" s="206">
        <v>1624256</v>
      </c>
      <c r="M42" s="206">
        <v>8548500.1352670435</v>
      </c>
      <c r="N42" s="207">
        <v>1.1256697181454438</v>
      </c>
      <c r="O42" s="206">
        <v>9622787.7378323413</v>
      </c>
      <c r="P42" s="206">
        <v>73133.186807525795</v>
      </c>
      <c r="Q42" s="206">
        <v>6754378.8647329565</v>
      </c>
      <c r="R42" s="207">
        <v>1.0808054428368077</v>
      </c>
      <c r="S42" s="208">
        <v>1342</v>
      </c>
      <c r="T42" s="206">
        <v>1342</v>
      </c>
      <c r="U42" s="206">
        <v>7292687.017589475</v>
      </c>
      <c r="V42" s="206">
        <v>18539730.755421817</v>
      </c>
      <c r="W42" s="206">
        <v>3.6978908230533345</v>
      </c>
      <c r="X42" s="206" t="s">
        <v>264</v>
      </c>
      <c r="Y42" s="206">
        <v>941.13687324818432</v>
      </c>
      <c r="Z42" s="209">
        <v>0</v>
      </c>
      <c r="AA42" s="206" t="s">
        <v>264</v>
      </c>
      <c r="AB42" s="206">
        <v>771.22</v>
      </c>
      <c r="AC42" s="206" t="s">
        <v>264</v>
      </c>
      <c r="AD42" s="206" t="s">
        <v>264</v>
      </c>
      <c r="AE42" s="206">
        <v>771.22</v>
      </c>
      <c r="AF42" s="206">
        <v>771.22</v>
      </c>
      <c r="AG42" s="206">
        <v>761.27</v>
      </c>
    </row>
    <row r="43" spans="1:33" x14ac:dyDescent="0.45">
      <c r="A43" s="87" t="s">
        <v>124</v>
      </c>
      <c r="B43" s="87">
        <v>1326146333</v>
      </c>
      <c r="C43" s="93" t="s">
        <v>64</v>
      </c>
      <c r="D43" s="204">
        <v>44743</v>
      </c>
      <c r="E43" s="204">
        <v>45107</v>
      </c>
      <c r="F43" s="87">
        <v>42</v>
      </c>
      <c r="G43" s="205">
        <v>16442</v>
      </c>
      <c r="H43" s="94">
        <v>500</v>
      </c>
      <c r="I43" s="94">
        <v>14097</v>
      </c>
      <c r="J43" s="94">
        <v>1845</v>
      </c>
      <c r="K43" s="87">
        <v>50</v>
      </c>
      <c r="L43" s="206">
        <v>199768</v>
      </c>
      <c r="M43" s="206">
        <v>4782820.0199214276</v>
      </c>
      <c r="N43" s="207">
        <v>1.1573588534049251</v>
      </c>
      <c r="O43" s="206">
        <v>5535439.0942983842</v>
      </c>
      <c r="P43" s="206">
        <v>42069.337116667717</v>
      </c>
      <c r="Q43" s="206">
        <v>3779022.9800785724</v>
      </c>
      <c r="R43" s="207">
        <v>1.1050978394114797</v>
      </c>
      <c r="S43" s="208">
        <v>1061</v>
      </c>
      <c r="T43" s="206">
        <v>1061</v>
      </c>
      <c r="U43" s="206">
        <v>4170614.6899903826</v>
      </c>
      <c r="V43" s="206">
        <v>9905821.7842887677</v>
      </c>
      <c r="W43" s="206">
        <v>2.55865084032768</v>
      </c>
      <c r="X43" s="206">
        <v>0.31</v>
      </c>
      <c r="Y43" s="206">
        <v>605.33926173247994</v>
      </c>
      <c r="Z43" s="209">
        <v>0.8877873737988079</v>
      </c>
      <c r="AA43" s="206">
        <v>605.33926173247994</v>
      </c>
      <c r="AB43" s="206">
        <v>605.33926173247994</v>
      </c>
      <c r="AC43" s="206">
        <v>605.33926173247994</v>
      </c>
      <c r="AD43" s="206">
        <v>711.31121536869057</v>
      </c>
      <c r="AE43" s="206">
        <v>602.68294803935896</v>
      </c>
      <c r="AF43" s="206">
        <v>605.33926173247994</v>
      </c>
      <c r="AG43" s="206">
        <v>595.38926173247989</v>
      </c>
    </row>
    <row r="44" spans="1:33" x14ac:dyDescent="0.45">
      <c r="A44" s="87" t="s">
        <v>125</v>
      </c>
      <c r="B44" s="87">
        <v>1336289966</v>
      </c>
      <c r="C44" s="93" t="s">
        <v>182</v>
      </c>
      <c r="D44" s="204">
        <v>44927</v>
      </c>
      <c r="E44" s="204">
        <v>45291</v>
      </c>
      <c r="F44" s="87">
        <v>36</v>
      </c>
      <c r="G44" s="205">
        <v>29330</v>
      </c>
      <c r="H44" s="94">
        <v>3901</v>
      </c>
      <c r="I44" s="94">
        <v>22983</v>
      </c>
      <c r="J44" s="94">
        <v>2446</v>
      </c>
      <c r="K44" s="87">
        <v>110</v>
      </c>
      <c r="L44" s="206">
        <v>747050</v>
      </c>
      <c r="M44" s="206">
        <v>11709167.561529731</v>
      </c>
      <c r="N44" s="207">
        <v>1.1256697181454438</v>
      </c>
      <c r="O44" s="206">
        <v>13180655.348704947</v>
      </c>
      <c r="P44" s="206">
        <v>100172.98065015759</v>
      </c>
      <c r="Q44" s="206">
        <v>9251699.4384702686</v>
      </c>
      <c r="R44" s="207">
        <v>1.0808054428368077</v>
      </c>
      <c r="S44" s="208">
        <v>1342</v>
      </c>
      <c r="T44" s="206">
        <v>1342</v>
      </c>
      <c r="U44" s="206">
        <v>9987358.6091173347</v>
      </c>
      <c r="V44" s="206">
        <v>23915063.957822282</v>
      </c>
      <c r="W44" s="206">
        <v>3.4153760876289669</v>
      </c>
      <c r="X44" s="206" t="s">
        <v>264</v>
      </c>
      <c r="Y44" s="206">
        <v>818.79430407338691</v>
      </c>
      <c r="Z44" s="209">
        <v>0.91660415956358676</v>
      </c>
      <c r="AA44" s="206">
        <v>818.79430407338691</v>
      </c>
      <c r="AB44" s="206">
        <v>771.22</v>
      </c>
      <c r="AC44" s="206" t="s">
        <v>264</v>
      </c>
      <c r="AD44" s="206" t="s">
        <v>264</v>
      </c>
      <c r="AE44" s="206">
        <v>704.86</v>
      </c>
      <c r="AF44" s="206">
        <v>771.22</v>
      </c>
      <c r="AG44" s="206">
        <v>761.27</v>
      </c>
    </row>
    <row r="45" spans="1:33" x14ac:dyDescent="0.45">
      <c r="A45" s="87" t="s">
        <v>126</v>
      </c>
      <c r="B45" s="87">
        <v>1174674246</v>
      </c>
      <c r="C45" s="93" t="s">
        <v>64</v>
      </c>
      <c r="D45" s="204">
        <v>44743</v>
      </c>
      <c r="E45" s="204">
        <v>45107</v>
      </c>
      <c r="F45" s="87">
        <v>42</v>
      </c>
      <c r="G45" s="205">
        <v>6790</v>
      </c>
      <c r="H45" s="94">
        <v>0</v>
      </c>
      <c r="I45" s="94">
        <v>6199</v>
      </c>
      <c r="J45" s="94">
        <v>591</v>
      </c>
      <c r="K45" s="87">
        <v>20</v>
      </c>
      <c r="L45" s="206">
        <v>309306</v>
      </c>
      <c r="M45" s="206">
        <v>2564917.7803785554</v>
      </c>
      <c r="N45" s="207">
        <v>1.1573588534049251</v>
      </c>
      <c r="O45" s="206">
        <v>2968530.3013768303</v>
      </c>
      <c r="P45" s="206">
        <v>22560.830290463909</v>
      </c>
      <c r="Q45" s="206">
        <v>2026604.2196214446</v>
      </c>
      <c r="R45" s="207">
        <v>1.1050978394114797</v>
      </c>
      <c r="S45" s="208">
        <v>1061</v>
      </c>
      <c r="T45" s="206">
        <v>1061</v>
      </c>
      <c r="U45" s="206">
        <v>2237365.7682935344</v>
      </c>
      <c r="V45" s="206">
        <v>5515202.0696703643</v>
      </c>
      <c r="W45" s="206">
        <v>3.3226554183304726</v>
      </c>
      <c r="X45" s="206" t="s">
        <v>264</v>
      </c>
      <c r="Y45" s="206">
        <v>815.57627392648419</v>
      </c>
      <c r="Z45" s="209">
        <v>0.91296023564064799</v>
      </c>
      <c r="AA45" s="206">
        <v>815.57627392648419</v>
      </c>
      <c r="AB45" s="206">
        <v>771.22</v>
      </c>
      <c r="AC45" s="206">
        <v>771.22</v>
      </c>
      <c r="AD45" s="206">
        <v>711.31121536869057</v>
      </c>
      <c r="AE45" s="206">
        <v>709.00579418760265</v>
      </c>
      <c r="AF45" s="206">
        <v>771.22</v>
      </c>
      <c r="AG45" s="206">
        <v>761.27</v>
      </c>
    </row>
    <row r="46" spans="1:33" x14ac:dyDescent="0.45">
      <c r="A46" s="87" t="s">
        <v>127</v>
      </c>
      <c r="B46" s="87">
        <v>1770524928</v>
      </c>
      <c r="C46" s="93" t="s">
        <v>182</v>
      </c>
      <c r="D46" s="204">
        <v>44927</v>
      </c>
      <c r="E46" s="204">
        <v>45291</v>
      </c>
      <c r="F46" s="87">
        <v>36</v>
      </c>
      <c r="G46" s="205">
        <v>10794</v>
      </c>
      <c r="H46" s="94">
        <v>0</v>
      </c>
      <c r="I46" s="94">
        <v>1727</v>
      </c>
      <c r="J46" s="94">
        <v>9067</v>
      </c>
      <c r="K46" s="87">
        <v>32</v>
      </c>
      <c r="L46" s="206">
        <v>1661933</v>
      </c>
      <c r="M46" s="206">
        <v>4045274.0862384294</v>
      </c>
      <c r="N46" s="207">
        <v>1.1256697181454438</v>
      </c>
      <c r="O46" s="206">
        <v>4553642.5404770803</v>
      </c>
      <c r="P46" s="206">
        <v>34607.683307625812</v>
      </c>
      <c r="Q46" s="206">
        <v>3196269.9137615706</v>
      </c>
      <c r="R46" s="207">
        <v>1.0808054428368077</v>
      </c>
      <c r="S46" s="208">
        <v>1061</v>
      </c>
      <c r="T46" s="206">
        <v>1061</v>
      </c>
      <c r="U46" s="206">
        <v>3451802.4131738441</v>
      </c>
      <c r="V46" s="206">
        <v>9667377.9536509253</v>
      </c>
      <c r="W46" s="206">
        <v>3.2061963412660561</v>
      </c>
      <c r="X46" s="206" t="s">
        <v>264</v>
      </c>
      <c r="Y46" s="206">
        <v>898.83135417440712</v>
      </c>
      <c r="Z46" s="209">
        <v>0.15999629423753936</v>
      </c>
      <c r="AA46" s="206" t="s">
        <v>264</v>
      </c>
      <c r="AB46" s="206">
        <v>771.22</v>
      </c>
      <c r="AC46" s="206" t="s">
        <v>264</v>
      </c>
      <c r="AD46" s="206" t="s">
        <v>264</v>
      </c>
      <c r="AE46" s="206">
        <v>771.21824834643292</v>
      </c>
      <c r="AF46" s="206">
        <v>771.22</v>
      </c>
      <c r="AG46" s="206">
        <v>761.27</v>
      </c>
    </row>
    <row r="47" spans="1:33" x14ac:dyDescent="0.45">
      <c r="A47" s="87" t="s">
        <v>128</v>
      </c>
      <c r="B47" s="87">
        <v>1861533648</v>
      </c>
      <c r="C47" s="93" t="s">
        <v>182</v>
      </c>
      <c r="D47" s="204">
        <v>44743</v>
      </c>
      <c r="E47" s="204">
        <v>45107</v>
      </c>
      <c r="F47" s="87">
        <v>42</v>
      </c>
      <c r="G47" s="205">
        <v>25654</v>
      </c>
      <c r="H47" s="94">
        <v>15002</v>
      </c>
      <c r="I47" s="94">
        <v>8621</v>
      </c>
      <c r="J47" s="94">
        <v>2031</v>
      </c>
      <c r="K47" s="87">
        <v>115</v>
      </c>
      <c r="L47" s="206">
        <v>1432105</v>
      </c>
      <c r="M47" s="206">
        <v>7578679.2875143364</v>
      </c>
      <c r="N47" s="207">
        <v>1.1573588534049251</v>
      </c>
      <c r="O47" s="206">
        <v>8771251.5705212466</v>
      </c>
      <c r="P47" s="206">
        <v>66661.511935961476</v>
      </c>
      <c r="Q47" s="206">
        <v>5988099.7124856636</v>
      </c>
      <c r="R47" s="207">
        <v>1.1050978394114797</v>
      </c>
      <c r="S47" s="208">
        <v>1061</v>
      </c>
      <c r="T47" s="206">
        <v>1061</v>
      </c>
      <c r="U47" s="206">
        <v>6604612.5415726174</v>
      </c>
      <c r="V47" s="206">
        <v>16807969.112093866</v>
      </c>
      <c r="W47" s="206">
        <v>2.5984841325314365</v>
      </c>
      <c r="X47" s="206">
        <v>1.67</v>
      </c>
      <c r="Y47" s="206">
        <v>659.44775879121482</v>
      </c>
      <c r="Z47" s="209">
        <v>0.92083105948390109</v>
      </c>
      <c r="AA47" s="206">
        <v>659.44775879121482</v>
      </c>
      <c r="AB47" s="206">
        <v>659.44775879121482</v>
      </c>
      <c r="AC47" s="206" t="s">
        <v>264</v>
      </c>
      <c r="AD47" s="206" t="s">
        <v>264</v>
      </c>
      <c r="AE47" s="206">
        <v>637.77538587689526</v>
      </c>
      <c r="AF47" s="206">
        <v>659.44775879121482</v>
      </c>
      <c r="AG47" s="206">
        <v>649.49775879121478</v>
      </c>
    </row>
    <row r="48" spans="1:33" x14ac:dyDescent="0.45">
      <c r="A48" s="87" t="s">
        <v>129</v>
      </c>
      <c r="B48" s="87">
        <v>1770659153</v>
      </c>
      <c r="C48" s="93" t="s">
        <v>64</v>
      </c>
      <c r="D48" s="204">
        <v>44927</v>
      </c>
      <c r="E48" s="204">
        <v>45291</v>
      </c>
      <c r="F48" s="87">
        <v>36</v>
      </c>
      <c r="G48" s="205">
        <v>25201</v>
      </c>
      <c r="H48" s="94">
        <v>2226</v>
      </c>
      <c r="I48" s="94">
        <v>16036</v>
      </c>
      <c r="J48" s="94">
        <v>6939</v>
      </c>
      <c r="K48" s="87">
        <v>75</v>
      </c>
      <c r="L48" s="206">
        <v>380995</v>
      </c>
      <c r="M48" s="206">
        <v>10045068.163275776</v>
      </c>
      <c r="N48" s="207">
        <v>1.1256697181454438</v>
      </c>
      <c r="O48" s="206">
        <v>11307429.048106413</v>
      </c>
      <c r="P48" s="206">
        <v>85936.460765608746</v>
      </c>
      <c r="Q48" s="206">
        <v>7936853.8367242236</v>
      </c>
      <c r="R48" s="207">
        <v>1.0808054428368077</v>
      </c>
      <c r="S48" s="208">
        <v>1061</v>
      </c>
      <c r="T48" s="206">
        <v>1061</v>
      </c>
      <c r="U48" s="206">
        <v>8571764.7326180022</v>
      </c>
      <c r="V48" s="206">
        <v>20260188.780724414</v>
      </c>
      <c r="W48" s="206">
        <v>3.410041695393387</v>
      </c>
      <c r="X48" s="206" t="s">
        <v>264</v>
      </c>
      <c r="Y48" s="206">
        <v>807.35388442879344</v>
      </c>
      <c r="Z48" s="209">
        <v>0.72465378358001664</v>
      </c>
      <c r="AA48" s="206">
        <v>807.35388442879344</v>
      </c>
      <c r="AB48" s="206">
        <v>771.22</v>
      </c>
      <c r="AC48" s="206">
        <v>771.22</v>
      </c>
      <c r="AD48" s="206">
        <v>711.31121536869057</v>
      </c>
      <c r="AE48" s="206">
        <v>771.22</v>
      </c>
      <c r="AF48" s="206">
        <v>771.22</v>
      </c>
      <c r="AG48" s="206">
        <v>761.27</v>
      </c>
    </row>
    <row r="49" spans="1:33" x14ac:dyDescent="0.45">
      <c r="A49" s="87" t="s">
        <v>130</v>
      </c>
      <c r="B49" s="87">
        <v>1427006485</v>
      </c>
      <c r="C49" s="93" t="s">
        <v>182</v>
      </c>
      <c r="D49" s="204">
        <v>44896</v>
      </c>
      <c r="E49" s="204">
        <v>45260</v>
      </c>
      <c r="F49" s="87">
        <v>37</v>
      </c>
      <c r="G49" s="205">
        <v>41066</v>
      </c>
      <c r="H49" s="94">
        <v>7936</v>
      </c>
      <c r="I49" s="94">
        <v>20453</v>
      </c>
      <c r="J49" s="94">
        <v>12677</v>
      </c>
      <c r="K49" s="87">
        <v>126</v>
      </c>
      <c r="L49" s="206">
        <v>41136</v>
      </c>
      <c r="M49" s="206">
        <v>10963551.239166655</v>
      </c>
      <c r="N49" s="207">
        <v>1.1109490464839697</v>
      </c>
      <c r="O49" s="206">
        <v>12179946.79523034</v>
      </c>
      <c r="P49" s="206">
        <v>92567.595643750581</v>
      </c>
      <c r="Q49" s="206">
        <v>8662569.7608333454</v>
      </c>
      <c r="R49" s="207">
        <v>1.0845225062426858</v>
      </c>
      <c r="S49" s="208">
        <v>1061</v>
      </c>
      <c r="T49" s="206">
        <v>1061</v>
      </c>
      <c r="U49" s="206">
        <v>9383452.3917515222</v>
      </c>
      <c r="V49" s="206">
        <v>21604535.186981864</v>
      </c>
      <c r="W49" s="206">
        <v>2.2541176555727507</v>
      </c>
      <c r="X49" s="206" t="s">
        <v>264</v>
      </c>
      <c r="Y49" s="206">
        <v>528.34711884833223</v>
      </c>
      <c r="Z49" s="209">
        <v>0.69130180684751374</v>
      </c>
      <c r="AA49" s="206">
        <v>528.34711884833223</v>
      </c>
      <c r="AB49" s="206">
        <v>528.34711884833223</v>
      </c>
      <c r="AC49" s="206" t="s">
        <v>264</v>
      </c>
      <c r="AD49" s="206" t="s">
        <v>264</v>
      </c>
      <c r="AE49" s="206">
        <v>582.74249299206542</v>
      </c>
      <c r="AF49" s="206">
        <v>582.74249299206542</v>
      </c>
      <c r="AG49" s="206">
        <v>572.79249299206538</v>
      </c>
    </row>
    <row r="50" spans="1:33" x14ac:dyDescent="0.45">
      <c r="A50" s="87" t="s">
        <v>131</v>
      </c>
      <c r="B50" s="87">
        <v>1891872883</v>
      </c>
      <c r="C50" s="93" t="s">
        <v>182</v>
      </c>
      <c r="D50" s="204">
        <v>44927</v>
      </c>
      <c r="E50" s="204">
        <v>45291</v>
      </c>
      <c r="F50" s="87">
        <v>36</v>
      </c>
      <c r="G50" s="205">
        <v>21427</v>
      </c>
      <c r="H50" s="94">
        <v>0</v>
      </c>
      <c r="I50" s="94">
        <v>0</v>
      </c>
      <c r="J50" s="94">
        <v>21427</v>
      </c>
      <c r="K50" s="87">
        <v>89</v>
      </c>
      <c r="L50" s="206">
        <v>1491124</v>
      </c>
      <c r="M50" s="206">
        <v>13736668.51232787</v>
      </c>
      <c r="N50" s="207">
        <v>1.1256697181454438</v>
      </c>
      <c r="O50" s="206">
        <v>15462951.772529507</v>
      </c>
      <c r="P50" s="206">
        <v>117518.43347122426</v>
      </c>
      <c r="Q50" s="206">
        <v>10853677.48767213</v>
      </c>
      <c r="R50" s="207">
        <v>1.0808054428368077</v>
      </c>
      <c r="S50" s="208">
        <v>1342</v>
      </c>
      <c r="T50" s="206">
        <v>1342</v>
      </c>
      <c r="U50" s="206">
        <v>11721062.462989824</v>
      </c>
      <c r="V50" s="206">
        <v>28675138.235519327</v>
      </c>
      <c r="W50" s="206">
        <v>5.4845957656799484</v>
      </c>
      <c r="X50" s="206" t="s">
        <v>264</v>
      </c>
      <c r="Y50" s="206">
        <v>1343.7558533154688</v>
      </c>
      <c r="Z50" s="209">
        <v>0</v>
      </c>
      <c r="AA50" s="206" t="s">
        <v>264</v>
      </c>
      <c r="AB50" s="206">
        <v>771.22</v>
      </c>
      <c r="AC50" s="206" t="s">
        <v>264</v>
      </c>
      <c r="AD50" s="206" t="s">
        <v>264</v>
      </c>
      <c r="AE50" s="206">
        <v>771.22</v>
      </c>
      <c r="AF50" s="206">
        <v>771.22</v>
      </c>
      <c r="AG50" s="206">
        <v>761.27</v>
      </c>
    </row>
    <row r="51" spans="1:33" x14ac:dyDescent="0.45">
      <c r="A51" s="87" t="s">
        <v>132</v>
      </c>
      <c r="B51" s="87">
        <v>1619947090</v>
      </c>
      <c r="C51" s="93" t="s">
        <v>182</v>
      </c>
      <c r="D51" s="204">
        <v>44743</v>
      </c>
      <c r="E51" s="204">
        <v>45107</v>
      </c>
      <c r="F51" s="87">
        <v>42</v>
      </c>
      <c r="G51" s="205">
        <v>37592</v>
      </c>
      <c r="H51" s="94">
        <v>3637</v>
      </c>
      <c r="I51" s="94">
        <v>11712</v>
      </c>
      <c r="J51" s="94">
        <v>22243</v>
      </c>
      <c r="K51" s="87">
        <v>93</v>
      </c>
      <c r="L51" s="206">
        <v>1583088</v>
      </c>
      <c r="M51" s="206">
        <v>8612806.8379516527</v>
      </c>
      <c r="N51" s="207">
        <v>1.1573588534049251</v>
      </c>
      <c r="O51" s="206">
        <v>9968108.2465698235</v>
      </c>
      <c r="P51" s="206">
        <v>75757.622673930658</v>
      </c>
      <c r="Q51" s="206">
        <v>6805189.1620483473</v>
      </c>
      <c r="R51" s="207">
        <v>1.1050978394114797</v>
      </c>
      <c r="S51" s="208">
        <v>1061</v>
      </c>
      <c r="T51" s="206">
        <v>1061</v>
      </c>
      <c r="U51" s="206">
        <v>7510029.5206577973</v>
      </c>
      <c r="V51" s="206">
        <v>19061225.76722762</v>
      </c>
      <c r="W51" s="206">
        <v>2.0152591688106689</v>
      </c>
      <c r="X51" s="206">
        <v>0.68</v>
      </c>
      <c r="Y51" s="206">
        <v>509.75063710102017</v>
      </c>
      <c r="Z51" s="209">
        <v>0.40830495850180887</v>
      </c>
      <c r="AA51" s="206">
        <v>509.75063710102017</v>
      </c>
      <c r="AB51" s="206">
        <v>509.75063710102017</v>
      </c>
      <c r="AC51" s="206" t="s">
        <v>264</v>
      </c>
      <c r="AD51" s="206" t="s">
        <v>264</v>
      </c>
      <c r="AE51" s="206">
        <v>704.86</v>
      </c>
      <c r="AF51" s="206">
        <v>704.86</v>
      </c>
      <c r="AG51" s="206">
        <v>694.91</v>
      </c>
    </row>
    <row r="52" spans="1:33" x14ac:dyDescent="0.45">
      <c r="A52" s="87" t="s">
        <v>133</v>
      </c>
      <c r="B52" s="87">
        <v>1952348518</v>
      </c>
      <c r="C52" s="93" t="s">
        <v>182</v>
      </c>
      <c r="D52" s="204">
        <v>44927</v>
      </c>
      <c r="E52" s="204">
        <v>45291</v>
      </c>
      <c r="F52" s="87">
        <v>36</v>
      </c>
      <c r="G52" s="205">
        <v>21017</v>
      </c>
      <c r="H52" s="94">
        <v>0</v>
      </c>
      <c r="I52" s="94">
        <v>268</v>
      </c>
      <c r="J52" s="94">
        <v>20749</v>
      </c>
      <c r="K52" s="87">
        <v>115</v>
      </c>
      <c r="L52" s="206">
        <v>1398893</v>
      </c>
      <c r="M52" s="206">
        <v>14188286.837210204</v>
      </c>
      <c r="N52" s="207">
        <v>1.1256697181454438</v>
      </c>
      <c r="O52" s="206">
        <v>15971324.845009122</v>
      </c>
      <c r="P52" s="206">
        <v>121382.06882206933</v>
      </c>
      <c r="Q52" s="206">
        <v>11210512.162789796</v>
      </c>
      <c r="R52" s="207">
        <v>1.0808054428368077</v>
      </c>
      <c r="S52" s="208">
        <v>1342</v>
      </c>
      <c r="T52" s="206">
        <v>1342</v>
      </c>
      <c r="U52" s="206">
        <v>12103911.858538439</v>
      </c>
      <c r="V52" s="206">
        <v>29474129.70354756</v>
      </c>
      <c r="W52" s="206">
        <v>5.7754231727682033</v>
      </c>
      <c r="X52" s="206" t="s">
        <v>264</v>
      </c>
      <c r="Y52" s="206">
        <v>1408.1701371446748</v>
      </c>
      <c r="Z52" s="209">
        <v>1.2751582052624066E-2</v>
      </c>
      <c r="AA52" s="206" t="s">
        <v>264</v>
      </c>
      <c r="AB52" s="206">
        <v>771.22</v>
      </c>
      <c r="AC52" s="206" t="s">
        <v>264</v>
      </c>
      <c r="AD52" s="206" t="s">
        <v>264</v>
      </c>
      <c r="AE52" s="206">
        <v>771.22</v>
      </c>
      <c r="AF52" s="206">
        <v>771.22</v>
      </c>
      <c r="AG52" s="206">
        <v>761.27</v>
      </c>
    </row>
    <row r="53" spans="1:33" x14ac:dyDescent="0.45">
      <c r="A53" s="87" t="s">
        <v>134</v>
      </c>
      <c r="B53" s="87">
        <v>1770639809</v>
      </c>
      <c r="C53" s="93" t="s">
        <v>182</v>
      </c>
      <c r="D53" s="204">
        <v>44927</v>
      </c>
      <c r="E53" s="204">
        <v>45291</v>
      </c>
      <c r="F53" s="87">
        <v>36</v>
      </c>
      <c r="G53" s="205">
        <v>37605</v>
      </c>
      <c r="H53" s="94">
        <v>0</v>
      </c>
      <c r="I53" s="94">
        <v>0</v>
      </c>
      <c r="J53" s="94">
        <v>37605</v>
      </c>
      <c r="K53" s="87">
        <v>125</v>
      </c>
      <c r="L53" s="206">
        <v>1436589</v>
      </c>
      <c r="M53" s="206">
        <v>24792316.701016299</v>
      </c>
      <c r="N53" s="207">
        <v>1.1256697181454438</v>
      </c>
      <c r="O53" s="206">
        <v>27907960.153005596</v>
      </c>
      <c r="P53" s="206">
        <v>212100.49716284254</v>
      </c>
      <c r="Q53" s="206">
        <v>19589015.298983701</v>
      </c>
      <c r="R53" s="207">
        <v>1.0808054428368077</v>
      </c>
      <c r="S53" s="208">
        <v>1342</v>
      </c>
      <c r="T53" s="206">
        <v>1342</v>
      </c>
      <c r="U53" s="206">
        <v>21158359.241919205</v>
      </c>
      <c r="V53" s="206">
        <v>50502908.394924805</v>
      </c>
      <c r="W53" s="206">
        <v>5.6402206398841255</v>
      </c>
      <c r="X53" s="206" t="s">
        <v>264</v>
      </c>
      <c r="Y53" s="206">
        <v>1348.6240896712577</v>
      </c>
      <c r="Z53" s="209">
        <v>0</v>
      </c>
      <c r="AA53" s="206" t="s">
        <v>264</v>
      </c>
      <c r="AB53" s="206">
        <v>771.22</v>
      </c>
      <c r="AC53" s="206" t="s">
        <v>264</v>
      </c>
      <c r="AD53" s="206" t="s">
        <v>264</v>
      </c>
      <c r="AE53" s="206">
        <v>771.22</v>
      </c>
      <c r="AF53" s="206">
        <v>771.22</v>
      </c>
      <c r="AG53" s="206">
        <v>761.27</v>
      </c>
    </row>
    <row r="54" spans="1:33" x14ac:dyDescent="0.45">
      <c r="A54" s="87" t="s">
        <v>135</v>
      </c>
      <c r="B54" s="87">
        <v>1114091055</v>
      </c>
      <c r="C54" s="93" t="s">
        <v>182</v>
      </c>
      <c r="D54" s="204">
        <v>44743</v>
      </c>
      <c r="E54" s="204">
        <v>45107</v>
      </c>
      <c r="F54" s="87">
        <v>42</v>
      </c>
      <c r="G54" s="205">
        <v>6133</v>
      </c>
      <c r="H54" s="94">
        <v>3999</v>
      </c>
      <c r="I54" s="94">
        <v>1008</v>
      </c>
      <c r="J54" s="94">
        <v>1126</v>
      </c>
      <c r="K54" s="87">
        <v>20</v>
      </c>
      <c r="L54" s="206">
        <v>557425</v>
      </c>
      <c r="M54" s="206">
        <v>4169855.9283000999</v>
      </c>
      <c r="N54" s="207">
        <v>1.1573588534049251</v>
      </c>
      <c r="O54" s="206">
        <v>4826019.6760411328</v>
      </c>
      <c r="P54" s="206">
        <v>36677.749537912612</v>
      </c>
      <c r="Q54" s="206">
        <v>3294705.0716999001</v>
      </c>
      <c r="R54" s="207">
        <v>1.1050978394114797</v>
      </c>
      <c r="S54" s="208">
        <v>1061</v>
      </c>
      <c r="T54" s="206">
        <v>1061</v>
      </c>
      <c r="U54" s="206">
        <v>3638741.2800812921</v>
      </c>
      <c r="V54" s="206">
        <v>9022185.9561224245</v>
      </c>
      <c r="W54" s="206">
        <v>5.9803928807944908</v>
      </c>
      <c r="X54" s="206" t="s">
        <v>264</v>
      </c>
      <c r="Y54" s="206">
        <v>1477.0689231469651</v>
      </c>
      <c r="Z54" s="209">
        <v>0.81640306538398821</v>
      </c>
      <c r="AA54" s="206">
        <v>1477.0689231469651</v>
      </c>
      <c r="AB54" s="206">
        <v>771.22</v>
      </c>
      <c r="AC54" s="206" t="s">
        <v>264</v>
      </c>
      <c r="AD54" s="206" t="s">
        <v>264</v>
      </c>
      <c r="AE54" s="206">
        <v>771.22</v>
      </c>
      <c r="AF54" s="206">
        <v>771.22</v>
      </c>
      <c r="AG54" s="206">
        <v>761.27</v>
      </c>
    </row>
    <row r="55" spans="1:33" x14ac:dyDescent="0.45">
      <c r="A55" s="87" t="s">
        <v>136</v>
      </c>
      <c r="B55" s="87">
        <v>1669734653</v>
      </c>
      <c r="C55" s="93" t="s">
        <v>64</v>
      </c>
      <c r="D55" s="204">
        <v>44927</v>
      </c>
      <c r="E55" s="204">
        <v>45291</v>
      </c>
      <c r="F55" s="87">
        <v>36</v>
      </c>
      <c r="G55" s="205">
        <v>19748</v>
      </c>
      <c r="H55" s="94">
        <v>2764</v>
      </c>
      <c r="I55" s="94">
        <v>11974</v>
      </c>
      <c r="J55" s="94">
        <v>5010</v>
      </c>
      <c r="K55" s="87">
        <v>125</v>
      </c>
      <c r="L55" s="206">
        <v>598940</v>
      </c>
      <c r="M55" s="206">
        <v>7219418.7878728583</v>
      </c>
      <c r="N55" s="207">
        <v>1.1256697181454438</v>
      </c>
      <c r="O55" s="206">
        <v>8126681.112118762</v>
      </c>
      <c r="P55" s="206">
        <v>61762.776452102589</v>
      </c>
      <c r="Q55" s="206">
        <v>5704239.2121271417</v>
      </c>
      <c r="R55" s="207">
        <v>1.0808054428368077</v>
      </c>
      <c r="S55" s="208">
        <v>1061</v>
      </c>
      <c r="T55" s="206">
        <v>1061</v>
      </c>
      <c r="U55" s="206">
        <v>6154455.9658539267</v>
      </c>
      <c r="V55" s="206">
        <v>14880077.077972688</v>
      </c>
      <c r="W55" s="206">
        <v>3.1275459009571902</v>
      </c>
      <c r="X55" s="206" t="s">
        <v>264</v>
      </c>
      <c r="Y55" s="206">
        <v>756.62547368973014</v>
      </c>
      <c r="Z55" s="209">
        <v>0.74630342313145637</v>
      </c>
      <c r="AA55" s="206">
        <v>756.62547368973014</v>
      </c>
      <c r="AB55" s="206">
        <v>756.62547368973014</v>
      </c>
      <c r="AC55" s="206">
        <v>756.62547368973014</v>
      </c>
      <c r="AD55" s="206">
        <v>711.31121536869057</v>
      </c>
      <c r="AE55" s="206">
        <v>771.22</v>
      </c>
      <c r="AF55" s="206">
        <v>771.22</v>
      </c>
      <c r="AG55" s="206">
        <v>761.27</v>
      </c>
    </row>
    <row r="56" spans="1:33" x14ac:dyDescent="0.45">
      <c r="A56" s="87" t="s">
        <v>137</v>
      </c>
      <c r="B56" s="87">
        <v>1285677518</v>
      </c>
      <c r="C56" s="93" t="s">
        <v>182</v>
      </c>
      <c r="D56" s="204">
        <v>44743</v>
      </c>
      <c r="E56" s="204">
        <v>45107</v>
      </c>
      <c r="F56" s="87">
        <v>42</v>
      </c>
      <c r="G56" s="205">
        <v>10353</v>
      </c>
      <c r="H56" s="94">
        <v>1401</v>
      </c>
      <c r="I56" s="94">
        <v>3790</v>
      </c>
      <c r="J56" s="94">
        <v>5162</v>
      </c>
      <c r="K56" s="87">
        <v>30</v>
      </c>
      <c r="L56" s="206">
        <v>593148</v>
      </c>
      <c r="M56" s="206">
        <v>7113446.2666459242</v>
      </c>
      <c r="N56" s="207">
        <v>1.1573588534049251</v>
      </c>
      <c r="O56" s="206">
        <v>8232810.0149228713</v>
      </c>
      <c r="P56" s="206">
        <v>62569.356113413822</v>
      </c>
      <c r="Q56" s="206">
        <v>5620507.7333540758</v>
      </c>
      <c r="R56" s="207">
        <v>1.1050978394114797</v>
      </c>
      <c r="S56" s="208">
        <v>1061</v>
      </c>
      <c r="T56" s="206">
        <v>1061</v>
      </c>
      <c r="U56" s="206">
        <v>6207865.6882966347</v>
      </c>
      <c r="V56" s="206">
        <v>15033823.703219507</v>
      </c>
      <c r="W56" s="206">
        <v>6.0435966496101443</v>
      </c>
      <c r="X56" s="206" t="s">
        <v>264</v>
      </c>
      <c r="Y56" s="206">
        <v>1458.1660445603131</v>
      </c>
      <c r="Z56" s="209">
        <v>0.50140056022408963</v>
      </c>
      <c r="AA56" s="206">
        <v>1458.1660445603131</v>
      </c>
      <c r="AB56" s="206">
        <v>771.22</v>
      </c>
      <c r="AC56" s="206" t="s">
        <v>264</v>
      </c>
      <c r="AD56" s="206" t="s">
        <v>264</v>
      </c>
      <c r="AE56" s="206">
        <v>771.22</v>
      </c>
      <c r="AF56" s="206">
        <v>771.22</v>
      </c>
      <c r="AG56" s="206">
        <v>761.27</v>
      </c>
    </row>
    <row r="57" spans="1:33" x14ac:dyDescent="0.45">
      <c r="A57" s="87" t="s">
        <v>138</v>
      </c>
      <c r="B57" s="87">
        <v>1710174818</v>
      </c>
      <c r="C57" s="93" t="s">
        <v>182</v>
      </c>
      <c r="D57" s="204">
        <v>44743</v>
      </c>
      <c r="E57" s="204">
        <v>45107</v>
      </c>
      <c r="F57" s="87">
        <v>42</v>
      </c>
      <c r="G57" s="205">
        <v>16060</v>
      </c>
      <c r="H57" s="94">
        <v>0</v>
      </c>
      <c r="I57" s="94">
        <v>0</v>
      </c>
      <c r="J57" s="94">
        <v>16060</v>
      </c>
      <c r="K57" s="87">
        <v>44</v>
      </c>
      <c r="L57" s="206">
        <v>240097</v>
      </c>
      <c r="M57" s="206">
        <v>7663713.0409074388</v>
      </c>
      <c r="N57" s="207">
        <v>1.1573588534049251</v>
      </c>
      <c r="O57" s="206">
        <v>8869666.1378490049</v>
      </c>
      <c r="P57" s="206">
        <v>67409.462647652443</v>
      </c>
      <c r="Q57" s="206">
        <v>6055286.9590925612</v>
      </c>
      <c r="R57" s="207">
        <v>1.1050978394114797</v>
      </c>
      <c r="S57" s="208">
        <v>1342</v>
      </c>
      <c r="T57" s="206">
        <v>1342</v>
      </c>
      <c r="U57" s="206">
        <v>6685478.7182881292</v>
      </c>
      <c r="V57" s="206">
        <v>15795241.856137134</v>
      </c>
      <c r="W57" s="206">
        <v>4.197351347923564</v>
      </c>
      <c r="X57" s="206" t="s">
        <v>264</v>
      </c>
      <c r="Y57" s="206">
        <v>987.71178821823082</v>
      </c>
      <c r="Z57" s="209">
        <v>0</v>
      </c>
      <c r="AA57" s="206" t="s">
        <v>264</v>
      </c>
      <c r="AB57" s="206">
        <v>771.22</v>
      </c>
      <c r="AC57" s="206" t="s">
        <v>264</v>
      </c>
      <c r="AD57" s="206" t="s">
        <v>264</v>
      </c>
      <c r="AE57" s="206">
        <v>771.22</v>
      </c>
      <c r="AF57" s="206">
        <v>771.22</v>
      </c>
      <c r="AG57" s="206">
        <v>761.27</v>
      </c>
    </row>
    <row r="58" spans="1:33" x14ac:dyDescent="0.45">
      <c r="A58" s="87" t="s">
        <v>139</v>
      </c>
      <c r="B58" s="87">
        <v>1710066634</v>
      </c>
      <c r="C58" s="93" t="s">
        <v>182</v>
      </c>
      <c r="D58" s="204">
        <v>44743</v>
      </c>
      <c r="E58" s="204">
        <v>45107</v>
      </c>
      <c r="F58" s="87">
        <v>42</v>
      </c>
      <c r="G58" s="205">
        <v>87960</v>
      </c>
      <c r="H58" s="94">
        <v>9810</v>
      </c>
      <c r="I58" s="94">
        <v>68806</v>
      </c>
      <c r="J58" s="94">
        <v>9344</v>
      </c>
      <c r="K58" s="87">
        <v>345</v>
      </c>
      <c r="L58" s="206">
        <v>319595</v>
      </c>
      <c r="M58" s="206">
        <v>31295613.205532849</v>
      </c>
      <c r="N58" s="207">
        <v>1.1573588534049251</v>
      </c>
      <c r="O58" s="206">
        <v>36220255.016159527</v>
      </c>
      <c r="P58" s="206">
        <v>275273.93812281243</v>
      </c>
      <c r="Q58" s="206">
        <v>24727428.794467151</v>
      </c>
      <c r="R58" s="207">
        <v>1.1050978394114797</v>
      </c>
      <c r="S58" s="208">
        <v>1061</v>
      </c>
      <c r="T58" s="206">
        <v>1061</v>
      </c>
      <c r="U58" s="206">
        <v>27287757.596339483</v>
      </c>
      <c r="V58" s="206">
        <v>63827607.612499014</v>
      </c>
      <c r="W58" s="206">
        <v>3.1295354493271081</v>
      </c>
      <c r="X58" s="206">
        <v>1.1200000000000001</v>
      </c>
      <c r="Y58" s="206">
        <v>729.89309630083937</v>
      </c>
      <c r="Z58" s="209">
        <v>0.89376989540700313</v>
      </c>
      <c r="AA58" s="206">
        <v>729.89309630083937</v>
      </c>
      <c r="AB58" s="206">
        <v>729.89309630083937</v>
      </c>
      <c r="AC58" s="206" t="s">
        <v>264</v>
      </c>
      <c r="AD58" s="206" t="s">
        <v>264</v>
      </c>
      <c r="AE58" s="206">
        <v>771.22</v>
      </c>
      <c r="AF58" s="206">
        <v>771.22</v>
      </c>
      <c r="AG58" s="206">
        <v>761.27</v>
      </c>
    </row>
    <row r="59" spans="1:33" x14ac:dyDescent="0.45">
      <c r="A59" s="87" t="s">
        <v>140</v>
      </c>
      <c r="B59" s="87">
        <v>1447724646</v>
      </c>
      <c r="C59" s="93" t="s">
        <v>182</v>
      </c>
      <c r="D59" s="204">
        <v>44743</v>
      </c>
      <c r="E59" s="204">
        <v>45107</v>
      </c>
      <c r="F59" s="87">
        <v>42</v>
      </c>
      <c r="G59" s="205">
        <v>8526</v>
      </c>
      <c r="H59" s="94">
        <v>0</v>
      </c>
      <c r="I59" s="94">
        <v>0</v>
      </c>
      <c r="J59" s="94">
        <v>8526</v>
      </c>
      <c r="K59" s="87">
        <v>24</v>
      </c>
      <c r="L59" s="206">
        <v>355905</v>
      </c>
      <c r="M59" s="206">
        <v>8962913.2253691088</v>
      </c>
      <c r="N59" s="207">
        <v>1.1573588534049251</v>
      </c>
      <c r="O59" s="206">
        <v>10373306.973681031</v>
      </c>
      <c r="P59" s="206">
        <v>78837.132999975831</v>
      </c>
      <c r="Q59" s="206">
        <v>7081816.7746308912</v>
      </c>
      <c r="R59" s="207">
        <v>1.1050978394114797</v>
      </c>
      <c r="S59" s="208">
        <v>1061</v>
      </c>
      <c r="T59" s="206">
        <v>1061</v>
      </c>
      <c r="U59" s="206">
        <v>7823424.2053697975</v>
      </c>
      <c r="V59" s="206">
        <v>18552636.179050829</v>
      </c>
      <c r="W59" s="206">
        <v>9.2466728829434466</v>
      </c>
      <c r="X59" s="206" t="s">
        <v>264</v>
      </c>
      <c r="Y59" s="206">
        <v>2185.2537311811875</v>
      </c>
      <c r="Z59" s="209">
        <v>0</v>
      </c>
      <c r="AA59" s="206" t="s">
        <v>264</v>
      </c>
      <c r="AB59" s="206">
        <v>771.22</v>
      </c>
      <c r="AC59" s="206" t="s">
        <v>264</v>
      </c>
      <c r="AD59" s="206" t="s">
        <v>264</v>
      </c>
      <c r="AE59" s="206">
        <v>771.22</v>
      </c>
      <c r="AF59" s="206">
        <v>771.22</v>
      </c>
      <c r="AG59" s="206">
        <v>761.27</v>
      </c>
    </row>
    <row r="60" spans="1:33" x14ac:dyDescent="0.45">
      <c r="A60" s="87" t="s">
        <v>141</v>
      </c>
      <c r="B60" s="87">
        <v>1326234022</v>
      </c>
      <c r="C60" s="93" t="s">
        <v>64</v>
      </c>
      <c r="D60" s="204">
        <v>44743</v>
      </c>
      <c r="E60" s="204">
        <v>45107</v>
      </c>
      <c r="F60" s="87">
        <v>42</v>
      </c>
      <c r="G60" s="205">
        <v>4852</v>
      </c>
      <c r="H60" s="94">
        <v>2001</v>
      </c>
      <c r="I60" s="94">
        <v>1918</v>
      </c>
      <c r="J60" s="94">
        <v>933</v>
      </c>
      <c r="K60" s="87">
        <v>16</v>
      </c>
      <c r="L60" s="206">
        <v>81944</v>
      </c>
      <c r="M60" s="206">
        <v>2406188.5915157637</v>
      </c>
      <c r="N60" s="207">
        <v>1.1573588534049251</v>
      </c>
      <c r="O60" s="206">
        <v>2784823.6693526958</v>
      </c>
      <c r="P60" s="206">
        <v>21164.659887080488</v>
      </c>
      <c r="Q60" s="206">
        <v>1901188.4084842363</v>
      </c>
      <c r="R60" s="207">
        <v>1.1050978394114797</v>
      </c>
      <c r="S60" s="208">
        <v>1061</v>
      </c>
      <c r="T60" s="206">
        <v>1061</v>
      </c>
      <c r="U60" s="206">
        <v>2099215.0616082298</v>
      </c>
      <c r="V60" s="206">
        <v>4965982.730960926</v>
      </c>
      <c r="W60" s="206">
        <v>4.3620486164634151</v>
      </c>
      <c r="X60" s="206" t="s">
        <v>264</v>
      </c>
      <c r="Y60" s="206">
        <v>1027.8539552448487</v>
      </c>
      <c r="Z60" s="209">
        <v>0.80770816158285241</v>
      </c>
      <c r="AA60" s="206">
        <v>1027.8539552448487</v>
      </c>
      <c r="AB60" s="206">
        <v>771.22</v>
      </c>
      <c r="AC60" s="206">
        <v>771.22</v>
      </c>
      <c r="AD60" s="206">
        <v>711.31121536869057</v>
      </c>
      <c r="AE60" s="206">
        <v>771.22</v>
      </c>
      <c r="AF60" s="206">
        <v>771.22</v>
      </c>
      <c r="AG60" s="206">
        <v>761.27</v>
      </c>
    </row>
    <row r="61" spans="1:33" x14ac:dyDescent="0.45">
      <c r="A61" s="87" t="s">
        <v>142</v>
      </c>
      <c r="B61" s="87">
        <v>1386252112</v>
      </c>
      <c r="C61" s="93" t="s">
        <v>182</v>
      </c>
      <c r="D61" s="204">
        <v>44743</v>
      </c>
      <c r="E61" s="204">
        <v>45107</v>
      </c>
      <c r="F61" s="87">
        <v>42</v>
      </c>
      <c r="G61" s="205">
        <v>34620</v>
      </c>
      <c r="H61" s="94">
        <v>3757</v>
      </c>
      <c r="I61" s="94">
        <v>11121</v>
      </c>
      <c r="J61" s="94">
        <v>19742</v>
      </c>
      <c r="K61" s="87">
        <v>142</v>
      </c>
      <c r="L61" s="206">
        <v>316538</v>
      </c>
      <c r="M61" s="206">
        <v>7853347.9024860412</v>
      </c>
      <c r="N61" s="207">
        <v>1.1573588534049251</v>
      </c>
      <c r="O61" s="206">
        <v>9089141.7238112185</v>
      </c>
      <c r="P61" s="206">
        <v>69077.477100965261</v>
      </c>
      <c r="Q61" s="206">
        <v>6205122.0975139588</v>
      </c>
      <c r="R61" s="207">
        <v>1.1050978394114797</v>
      </c>
      <c r="S61" s="208">
        <v>1061</v>
      </c>
      <c r="T61" s="206">
        <v>1061</v>
      </c>
      <c r="U61" s="206">
        <v>6841432.7725656927</v>
      </c>
      <c r="V61" s="206">
        <v>16247112.496376911</v>
      </c>
      <c r="W61" s="206">
        <v>1.9953055199585574</v>
      </c>
      <c r="X61" s="206" t="s">
        <v>264</v>
      </c>
      <c r="Y61" s="206">
        <v>471.29376006579656</v>
      </c>
      <c r="Z61" s="209">
        <v>0.42975158867706525</v>
      </c>
      <c r="AA61" s="206">
        <v>471.29376006579656</v>
      </c>
      <c r="AB61" s="206">
        <v>471.29376006579656</v>
      </c>
      <c r="AC61" s="206" t="s">
        <v>264</v>
      </c>
      <c r="AD61" s="206" t="s">
        <v>264</v>
      </c>
      <c r="AE61" s="206">
        <v>636.04</v>
      </c>
      <c r="AF61" s="206">
        <v>636.04</v>
      </c>
      <c r="AG61" s="206">
        <v>626.08999999999992</v>
      </c>
    </row>
    <row r="62" spans="1:33" x14ac:dyDescent="0.45">
      <c r="A62" s="87" t="s">
        <v>143</v>
      </c>
      <c r="B62" s="87">
        <v>1538142369</v>
      </c>
      <c r="C62" s="93" t="s">
        <v>182</v>
      </c>
      <c r="D62" s="204">
        <v>44835</v>
      </c>
      <c r="E62" s="204">
        <v>45199</v>
      </c>
      <c r="F62" s="87">
        <v>39</v>
      </c>
      <c r="G62" s="205">
        <v>29037</v>
      </c>
      <c r="H62" s="94">
        <v>2518</v>
      </c>
      <c r="I62" s="94">
        <v>14632</v>
      </c>
      <c r="J62" s="94">
        <v>11887</v>
      </c>
      <c r="K62" s="87">
        <v>100</v>
      </c>
      <c r="L62" s="206">
        <v>1701471</v>
      </c>
      <c r="M62" s="206">
        <v>13011754.102756033</v>
      </c>
      <c r="N62" s="207">
        <v>1.1360567635778847</v>
      </c>
      <c r="O62" s="206">
        <v>14782091.254448282</v>
      </c>
      <c r="P62" s="206">
        <v>112343.89353380694</v>
      </c>
      <c r="Q62" s="206">
        <v>10280904.897243967</v>
      </c>
      <c r="R62" s="207">
        <v>1.0916059850114701</v>
      </c>
      <c r="S62" s="208">
        <v>1061</v>
      </c>
      <c r="T62" s="206">
        <v>1061</v>
      </c>
      <c r="U62" s="206">
        <v>11212977.922155531</v>
      </c>
      <c r="V62" s="206">
        <v>27696540.176603813</v>
      </c>
      <c r="W62" s="206">
        <v>3.8689910642906273</v>
      </c>
      <c r="X62" s="206" t="s">
        <v>264</v>
      </c>
      <c r="Y62" s="206">
        <v>957.70513724343493</v>
      </c>
      <c r="Z62" s="209">
        <v>0.59062575334917522</v>
      </c>
      <c r="AA62" s="206">
        <v>957.70513724343493</v>
      </c>
      <c r="AB62" s="206">
        <v>771.22</v>
      </c>
      <c r="AC62" s="206" t="s">
        <v>264</v>
      </c>
      <c r="AD62" s="206" t="s">
        <v>264</v>
      </c>
      <c r="AE62" s="206">
        <v>771.22</v>
      </c>
      <c r="AF62" s="206">
        <v>771.22</v>
      </c>
      <c r="AG62" s="206">
        <v>761.27</v>
      </c>
    </row>
    <row r="63" spans="1:33" x14ac:dyDescent="0.45">
      <c r="A63" s="87" t="s">
        <v>144</v>
      </c>
      <c r="B63" s="87">
        <v>1184607418</v>
      </c>
      <c r="C63" s="93" t="s">
        <v>182</v>
      </c>
      <c r="D63" s="204">
        <v>44835</v>
      </c>
      <c r="E63" s="204">
        <v>45199</v>
      </c>
      <c r="F63" s="87">
        <v>39</v>
      </c>
      <c r="G63" s="205">
        <v>14333</v>
      </c>
      <c r="H63" s="94">
        <v>1373</v>
      </c>
      <c r="I63" s="94">
        <v>9768</v>
      </c>
      <c r="J63" s="94">
        <v>3192</v>
      </c>
      <c r="K63" s="87">
        <v>51</v>
      </c>
      <c r="L63" s="206">
        <v>764265</v>
      </c>
      <c r="M63" s="206">
        <v>5983856.637496775</v>
      </c>
      <c r="N63" s="207">
        <v>1.1360567635778847</v>
      </c>
      <c r="O63" s="206">
        <v>6798000.8053086298</v>
      </c>
      <c r="P63" s="206">
        <v>51664.806120345587</v>
      </c>
      <c r="Q63" s="206">
        <v>4727991.362503225</v>
      </c>
      <c r="R63" s="207">
        <v>1.0916059850114701</v>
      </c>
      <c r="S63" s="208">
        <v>1061</v>
      </c>
      <c r="T63" s="206">
        <v>1061</v>
      </c>
      <c r="U63" s="206">
        <v>5156146.7769360999</v>
      </c>
      <c r="V63" s="206">
        <v>12718412.58224473</v>
      </c>
      <c r="W63" s="206">
        <v>3.6046051852609771</v>
      </c>
      <c r="X63" s="206" t="s">
        <v>264</v>
      </c>
      <c r="Y63" s="206">
        <v>890.95635166155557</v>
      </c>
      <c r="Z63" s="209">
        <v>0.77729714644526615</v>
      </c>
      <c r="AA63" s="206">
        <v>890.95635166155557</v>
      </c>
      <c r="AB63" s="206">
        <v>771.22</v>
      </c>
      <c r="AC63" s="206" t="s">
        <v>264</v>
      </c>
      <c r="AD63" s="206" t="s">
        <v>264</v>
      </c>
      <c r="AE63" s="206">
        <v>771.22</v>
      </c>
      <c r="AF63" s="206">
        <v>771.22</v>
      </c>
      <c r="AG63" s="206">
        <v>761.27</v>
      </c>
    </row>
    <row r="64" spans="1:33" x14ac:dyDescent="0.45">
      <c r="A64" s="87" t="s">
        <v>145</v>
      </c>
      <c r="B64" s="87">
        <v>1396031639</v>
      </c>
      <c r="C64" s="93" t="s">
        <v>182</v>
      </c>
      <c r="D64" s="204">
        <v>44927</v>
      </c>
      <c r="E64" s="204">
        <v>45291</v>
      </c>
      <c r="F64" s="87">
        <v>36</v>
      </c>
      <c r="G64" s="205">
        <v>6325</v>
      </c>
      <c r="H64" s="94">
        <v>0</v>
      </c>
      <c r="I64" s="94">
        <v>0</v>
      </c>
      <c r="J64" s="94">
        <v>6325</v>
      </c>
      <c r="K64" s="87">
        <v>22</v>
      </c>
      <c r="L64" s="206">
        <v>444646</v>
      </c>
      <c r="M64" s="206">
        <v>3262988.2460428374</v>
      </c>
      <c r="N64" s="207">
        <v>1.1256697181454438</v>
      </c>
      <c r="O64" s="206">
        <v>3673047.0592349367</v>
      </c>
      <c r="P64" s="206">
        <v>27915.15765018552</v>
      </c>
      <c r="Q64" s="206">
        <v>2578166.7539571626</v>
      </c>
      <c r="R64" s="207">
        <v>1.0808054428368077</v>
      </c>
      <c r="S64" s="208">
        <v>1342</v>
      </c>
      <c r="T64" s="206">
        <v>1342</v>
      </c>
      <c r="U64" s="206">
        <v>2784110.9603234921</v>
      </c>
      <c r="V64" s="206">
        <v>6901804.0195584288</v>
      </c>
      <c r="W64" s="206">
        <v>4.4134636601083823</v>
      </c>
      <c r="X64" s="206" t="s">
        <v>264</v>
      </c>
      <c r="Y64" s="206">
        <v>1095.6077750527454</v>
      </c>
      <c r="Z64" s="209">
        <v>0</v>
      </c>
      <c r="AA64" s="206" t="s">
        <v>264</v>
      </c>
      <c r="AB64" s="206">
        <v>771.22</v>
      </c>
      <c r="AC64" s="206" t="s">
        <v>264</v>
      </c>
      <c r="AD64" s="206" t="s">
        <v>264</v>
      </c>
      <c r="AE64" s="206">
        <v>771.22</v>
      </c>
      <c r="AF64" s="206">
        <v>771.22</v>
      </c>
      <c r="AG64" s="206">
        <v>761.27</v>
      </c>
    </row>
    <row r="65" spans="1:33" x14ac:dyDescent="0.45">
      <c r="A65" s="87" t="s">
        <v>146</v>
      </c>
      <c r="B65" s="87">
        <v>1235352618</v>
      </c>
      <c r="C65" s="93" t="s">
        <v>182</v>
      </c>
      <c r="D65" s="204">
        <v>44743</v>
      </c>
      <c r="E65" s="204">
        <v>45107</v>
      </c>
      <c r="F65" s="87">
        <v>42</v>
      </c>
      <c r="G65" s="205">
        <v>11752</v>
      </c>
      <c r="H65" s="94">
        <v>0</v>
      </c>
      <c r="I65" s="94">
        <v>0</v>
      </c>
      <c r="J65" s="94">
        <v>11752</v>
      </c>
      <c r="K65" s="87">
        <v>35</v>
      </c>
      <c r="L65" s="206">
        <v>450718</v>
      </c>
      <c r="M65" s="206">
        <v>5123708.0537707629</v>
      </c>
      <c r="N65" s="207">
        <v>1.1573588534049251</v>
      </c>
      <c r="O65" s="206">
        <v>5929968.8782937098</v>
      </c>
      <c r="P65" s="206">
        <v>45067.763475032196</v>
      </c>
      <c r="Q65" s="206">
        <v>4048366.9462292371</v>
      </c>
      <c r="R65" s="207">
        <v>1.1050978394114797</v>
      </c>
      <c r="S65" s="208">
        <v>1061</v>
      </c>
      <c r="T65" s="206">
        <v>1061</v>
      </c>
      <c r="U65" s="206">
        <v>4469938.7571562342</v>
      </c>
      <c r="V65" s="206">
        <v>10850625.635449944</v>
      </c>
      <c r="W65" s="206">
        <v>3.834901589093958</v>
      </c>
      <c r="X65" s="206">
        <v>2.0499999999999998</v>
      </c>
      <c r="Y65" s="206">
        <v>929.18524497319402</v>
      </c>
      <c r="Z65" s="209">
        <v>0</v>
      </c>
      <c r="AA65" s="206" t="s">
        <v>264</v>
      </c>
      <c r="AB65" s="206">
        <v>771.22</v>
      </c>
      <c r="AC65" s="206" t="s">
        <v>264</v>
      </c>
      <c r="AD65" s="206" t="s">
        <v>264</v>
      </c>
      <c r="AE65" s="206">
        <v>771.22</v>
      </c>
      <c r="AF65" s="206">
        <v>771.22</v>
      </c>
      <c r="AG65" s="206">
        <v>761.27</v>
      </c>
    </row>
    <row r="66" spans="1:33" x14ac:dyDescent="0.45">
      <c r="A66" s="87" t="s">
        <v>147</v>
      </c>
      <c r="B66" s="87">
        <v>1407938574</v>
      </c>
      <c r="C66" s="93" t="s">
        <v>182</v>
      </c>
      <c r="D66" s="204">
        <v>44743</v>
      </c>
      <c r="E66" s="204">
        <v>45107</v>
      </c>
      <c r="F66" s="87">
        <v>42</v>
      </c>
      <c r="G66" s="205">
        <v>9133</v>
      </c>
      <c r="H66" s="94">
        <v>320</v>
      </c>
      <c r="I66" s="94">
        <v>4906</v>
      </c>
      <c r="J66" s="94">
        <v>3907</v>
      </c>
      <c r="K66" s="87">
        <v>27</v>
      </c>
      <c r="L66" s="206">
        <v>564264</v>
      </c>
      <c r="M66" s="206">
        <v>3822333.1601562202</v>
      </c>
      <c r="N66" s="207">
        <v>1.1573588534049251</v>
      </c>
      <c r="O66" s="206">
        <v>4423811.1235700268</v>
      </c>
      <c r="P66" s="206">
        <v>33620.964539132205</v>
      </c>
      <c r="Q66" s="206">
        <v>3020118.8398437798</v>
      </c>
      <c r="R66" s="207">
        <v>1.1050978394114797</v>
      </c>
      <c r="S66" s="208">
        <v>1061</v>
      </c>
      <c r="T66" s="206">
        <v>1061</v>
      </c>
      <c r="U66" s="206">
        <v>3334516.0668716449</v>
      </c>
      <c r="V66" s="206">
        <v>8322591.1904416718</v>
      </c>
      <c r="W66" s="206">
        <v>3.6812618569070628</v>
      </c>
      <c r="X66" s="206" t="s">
        <v>264</v>
      </c>
      <c r="Y66" s="206">
        <v>914.94713182752707</v>
      </c>
      <c r="Z66" s="209">
        <v>0.57221066462279646</v>
      </c>
      <c r="AA66" s="206">
        <v>914.94713182752707</v>
      </c>
      <c r="AB66" s="206">
        <v>771.22</v>
      </c>
      <c r="AC66" s="206" t="s">
        <v>264</v>
      </c>
      <c r="AD66" s="206" t="s">
        <v>264</v>
      </c>
      <c r="AE66" s="206">
        <v>771.22</v>
      </c>
      <c r="AF66" s="206">
        <v>771.22</v>
      </c>
      <c r="AG66" s="206">
        <v>761.27</v>
      </c>
    </row>
    <row r="67" spans="1:33" x14ac:dyDescent="0.45">
      <c r="A67" s="87" t="s">
        <v>148</v>
      </c>
      <c r="B67" s="87">
        <v>1801887401</v>
      </c>
      <c r="C67" s="93" t="s">
        <v>64</v>
      </c>
      <c r="D67" s="204">
        <v>44927</v>
      </c>
      <c r="E67" s="204">
        <v>45291</v>
      </c>
      <c r="F67" s="87">
        <v>36</v>
      </c>
      <c r="G67" s="205">
        <v>18571</v>
      </c>
      <c r="H67" s="94">
        <v>4459</v>
      </c>
      <c r="I67" s="94">
        <v>865</v>
      </c>
      <c r="J67" s="94">
        <v>13247</v>
      </c>
      <c r="K67" s="87">
        <v>68</v>
      </c>
      <c r="L67" s="206">
        <v>346434</v>
      </c>
      <c r="M67" s="206">
        <v>8579824.2146500777</v>
      </c>
      <c r="N67" s="207">
        <v>1.1256697181454438</v>
      </c>
      <c r="O67" s="206">
        <v>9658048.305442607</v>
      </c>
      <c r="P67" s="206">
        <v>73401.167121363818</v>
      </c>
      <c r="Q67" s="206">
        <v>6779128.7853499223</v>
      </c>
      <c r="R67" s="207">
        <v>1.0808054428368077</v>
      </c>
      <c r="S67" s="208">
        <v>1061</v>
      </c>
      <c r="T67" s="206">
        <v>1061</v>
      </c>
      <c r="U67" s="206">
        <v>7321089.3378080828</v>
      </c>
      <c r="V67" s="206">
        <v>17325571.643250689</v>
      </c>
      <c r="W67" s="206">
        <v>3.9524617479599278</v>
      </c>
      <c r="X67" s="206" t="s">
        <v>264</v>
      </c>
      <c r="Y67" s="206">
        <v>936.88938723666206</v>
      </c>
      <c r="Z67" s="209">
        <v>0.28668353885089654</v>
      </c>
      <c r="AA67" s="206">
        <v>936.88938723666206</v>
      </c>
      <c r="AB67" s="206">
        <v>771.22</v>
      </c>
      <c r="AC67" s="206">
        <v>771.22</v>
      </c>
      <c r="AD67" s="206">
        <v>711.31121536869057</v>
      </c>
      <c r="AE67" s="206">
        <v>771.22</v>
      </c>
      <c r="AF67" s="206">
        <v>771.22</v>
      </c>
      <c r="AG67" s="206">
        <v>761.27</v>
      </c>
    </row>
    <row r="68" spans="1:33" x14ac:dyDescent="0.45">
      <c r="A68" s="87" t="s">
        <v>149</v>
      </c>
      <c r="B68" s="87">
        <v>1831128602</v>
      </c>
      <c r="C68" s="93" t="s">
        <v>64</v>
      </c>
      <c r="D68" s="204">
        <v>44743</v>
      </c>
      <c r="E68" s="204">
        <v>45107</v>
      </c>
      <c r="F68" s="87">
        <v>42</v>
      </c>
      <c r="G68" s="205">
        <v>10252</v>
      </c>
      <c r="H68" s="94">
        <v>5604</v>
      </c>
      <c r="I68" s="94">
        <v>3603</v>
      </c>
      <c r="J68" s="94">
        <v>1045</v>
      </c>
      <c r="K68" s="87">
        <v>33</v>
      </c>
      <c r="L68" s="206">
        <v>47782</v>
      </c>
      <c r="M68" s="206">
        <v>3088138.9487740784</v>
      </c>
      <c r="N68" s="207">
        <v>1.1573588534049251</v>
      </c>
      <c r="O68" s="206">
        <v>3574084.952908258</v>
      </c>
      <c r="P68" s="206">
        <v>27163.045642102759</v>
      </c>
      <c r="Q68" s="206">
        <v>2440014.0512259216</v>
      </c>
      <c r="R68" s="207">
        <v>1.1050978394114797</v>
      </c>
      <c r="S68" s="208">
        <v>1061</v>
      </c>
      <c r="T68" s="206">
        <v>1061</v>
      </c>
      <c r="U68" s="206">
        <v>2692774.4654921032</v>
      </c>
      <c r="V68" s="206">
        <v>6314641.4184003612</v>
      </c>
      <c r="W68" s="206">
        <v>2.6495362506928171</v>
      </c>
      <c r="X68" s="206" t="s">
        <v>264</v>
      </c>
      <c r="Y68" s="206">
        <v>618.59192977394298</v>
      </c>
      <c r="Z68" s="209">
        <v>0.89806866952789699</v>
      </c>
      <c r="AA68" s="206">
        <v>618.59192977394298</v>
      </c>
      <c r="AB68" s="206">
        <v>618.59192977394298</v>
      </c>
      <c r="AC68" s="206">
        <v>618.59192977394298</v>
      </c>
      <c r="AD68" s="206">
        <v>711.31121536869057</v>
      </c>
      <c r="AE68" s="206">
        <v>478.21</v>
      </c>
      <c r="AF68" s="206">
        <v>618.59192977394298</v>
      </c>
      <c r="AG68" s="206">
        <v>608.64192977394293</v>
      </c>
    </row>
    <row r="69" spans="1:33" x14ac:dyDescent="0.45">
      <c r="A69" s="87" t="s">
        <v>150</v>
      </c>
      <c r="B69" s="87">
        <v>1700963956</v>
      </c>
      <c r="C69" s="93" t="s">
        <v>64</v>
      </c>
      <c r="D69" s="204">
        <v>44743</v>
      </c>
      <c r="E69" s="204">
        <v>45107</v>
      </c>
      <c r="F69" s="87">
        <v>42</v>
      </c>
      <c r="G69" s="205">
        <v>7709</v>
      </c>
      <c r="H69" s="94">
        <v>136</v>
      </c>
      <c r="I69" s="94">
        <v>6802</v>
      </c>
      <c r="J69" s="94">
        <v>771</v>
      </c>
      <c r="K69" s="87">
        <v>22</v>
      </c>
      <c r="L69" s="206">
        <v>129317</v>
      </c>
      <c r="M69" s="206">
        <v>2625316.3748603659</v>
      </c>
      <c r="N69" s="207">
        <v>1.1573588534049251</v>
      </c>
      <c r="O69" s="206">
        <v>3038433.1494335677</v>
      </c>
      <c r="P69" s="206">
        <v>23092.091935695113</v>
      </c>
      <c r="Q69" s="206">
        <v>2074326.6251396341</v>
      </c>
      <c r="R69" s="207">
        <v>1.1050978394114797</v>
      </c>
      <c r="S69" s="208">
        <v>1061</v>
      </c>
      <c r="T69" s="206">
        <v>1061</v>
      </c>
      <c r="U69" s="206">
        <v>2289880.6779079731</v>
      </c>
      <c r="V69" s="206">
        <v>5457630.8273415407</v>
      </c>
      <c r="W69" s="206">
        <v>2.9954717778823601</v>
      </c>
      <c r="X69" s="206">
        <v>0.36</v>
      </c>
      <c r="Y69" s="206">
        <v>711.31121536869057</v>
      </c>
      <c r="Z69" s="209">
        <v>0.89998702814891685</v>
      </c>
      <c r="AA69" s="206">
        <v>711.31121536869057</v>
      </c>
      <c r="AB69" s="206">
        <v>711.31121536869057</v>
      </c>
      <c r="AC69" s="206">
        <v>711.31121536869057</v>
      </c>
      <c r="AD69" s="206">
        <v>711.31121536869057</v>
      </c>
      <c r="AE69" s="206">
        <v>452.34999999999997</v>
      </c>
      <c r="AF69" s="206">
        <v>711.31121536869057</v>
      </c>
      <c r="AG69" s="206">
        <v>701.36121536869052</v>
      </c>
    </row>
    <row r="70" spans="1:33" x14ac:dyDescent="0.45">
      <c r="A70" s="87" t="s">
        <v>151</v>
      </c>
      <c r="B70" s="87">
        <v>1295897395</v>
      </c>
      <c r="C70" s="93" t="s">
        <v>64</v>
      </c>
      <c r="D70" s="204">
        <v>44743</v>
      </c>
      <c r="E70" s="204">
        <v>45107</v>
      </c>
      <c r="F70" s="87">
        <v>42</v>
      </c>
      <c r="G70" s="205">
        <v>9422</v>
      </c>
      <c r="H70" s="94">
        <v>5353</v>
      </c>
      <c r="I70" s="94">
        <v>918</v>
      </c>
      <c r="J70" s="94">
        <v>3151</v>
      </c>
      <c r="K70" s="87">
        <v>0</v>
      </c>
      <c r="L70" s="206">
        <v>890682</v>
      </c>
      <c r="M70" s="206">
        <v>4826526.4787245905</v>
      </c>
      <c r="N70" s="207">
        <v>1.1573588534049251</v>
      </c>
      <c r="O70" s="206">
        <v>5586023.1513452027</v>
      </c>
      <c r="P70" s="206">
        <v>42453.775950223542</v>
      </c>
      <c r="Q70" s="206">
        <v>3813556.5212754095</v>
      </c>
      <c r="R70" s="207">
        <v>1.1050978394114797</v>
      </c>
      <c r="S70" s="208">
        <v>1061</v>
      </c>
      <c r="T70" s="206">
        <v>1061</v>
      </c>
      <c r="U70" s="206">
        <v>4214353.0721350135</v>
      </c>
      <c r="V70" s="206">
        <v>10691058.223480217</v>
      </c>
      <c r="W70" s="206">
        <v>4.5058136223968948</v>
      </c>
      <c r="X70" s="206" t="s">
        <v>264</v>
      </c>
      <c r="Y70" s="206">
        <v>1139.1967734483594</v>
      </c>
      <c r="Z70" s="209">
        <v>0</v>
      </c>
      <c r="AA70" s="206" t="s">
        <v>264</v>
      </c>
      <c r="AB70" s="206">
        <v>771.22</v>
      </c>
      <c r="AC70" s="206" t="s">
        <v>264</v>
      </c>
      <c r="AD70" s="206">
        <v>711.31121536869057</v>
      </c>
      <c r="AE70" s="206">
        <v>771.22</v>
      </c>
      <c r="AF70" s="206">
        <v>771.22</v>
      </c>
      <c r="AG70" s="206">
        <v>761.27</v>
      </c>
    </row>
    <row r="71" spans="1:33" x14ac:dyDescent="0.45">
      <c r="A71" s="87" t="s">
        <v>152</v>
      </c>
      <c r="B71" s="87">
        <v>1740268713</v>
      </c>
      <c r="C71" s="93" t="s">
        <v>182</v>
      </c>
      <c r="D71" s="204">
        <v>44743</v>
      </c>
      <c r="E71" s="204">
        <v>45107</v>
      </c>
      <c r="F71" s="87">
        <v>42</v>
      </c>
      <c r="G71" s="205">
        <v>8932</v>
      </c>
      <c r="H71" s="94">
        <v>63</v>
      </c>
      <c r="I71" s="94">
        <v>0</v>
      </c>
      <c r="J71" s="94">
        <v>8869</v>
      </c>
      <c r="K71" s="87">
        <v>40</v>
      </c>
      <c r="L71" s="206">
        <v>866775</v>
      </c>
      <c r="M71" s="206">
        <v>6617607.5522076292</v>
      </c>
      <c r="N71" s="207">
        <v>1.1573588534049251</v>
      </c>
      <c r="O71" s="206">
        <v>7658946.6889067944</v>
      </c>
      <c r="P71" s="206">
        <v>58207.994835691636</v>
      </c>
      <c r="Q71" s="206">
        <v>5228733.4477923708</v>
      </c>
      <c r="R71" s="207">
        <v>1.1050978394114797</v>
      </c>
      <c r="S71" s="208">
        <v>1342</v>
      </c>
      <c r="T71" s="206">
        <v>1342</v>
      </c>
      <c r="U71" s="206">
        <v>5772620.3839942776</v>
      </c>
      <c r="V71" s="206">
        <v>14298342.072901072</v>
      </c>
      <c r="W71" s="206">
        <v>6.5167929730957947</v>
      </c>
      <c r="X71" s="206" t="s">
        <v>264</v>
      </c>
      <c r="Y71" s="206">
        <v>1607.3163980896511</v>
      </c>
      <c r="Z71" s="209">
        <v>7.0532915360501571E-3</v>
      </c>
      <c r="AA71" s="206" t="s">
        <v>264</v>
      </c>
      <c r="AB71" s="206">
        <v>771.22</v>
      </c>
      <c r="AC71" s="206" t="s">
        <v>264</v>
      </c>
      <c r="AD71" s="206" t="s">
        <v>264</v>
      </c>
      <c r="AE71" s="206">
        <v>771.22</v>
      </c>
      <c r="AF71" s="206">
        <v>771.22</v>
      </c>
      <c r="AG71" s="206">
        <v>761.27</v>
      </c>
    </row>
    <row r="72" spans="1:33" x14ac:dyDescent="0.45">
      <c r="A72" s="87" t="s">
        <v>153</v>
      </c>
      <c r="B72" s="87">
        <v>1154404010</v>
      </c>
      <c r="C72" s="93" t="s">
        <v>64</v>
      </c>
      <c r="D72" s="204">
        <v>44927</v>
      </c>
      <c r="E72" s="204">
        <v>45291</v>
      </c>
      <c r="F72" s="87">
        <v>36</v>
      </c>
      <c r="G72" s="205">
        <v>4078</v>
      </c>
      <c r="H72" s="94">
        <v>421</v>
      </c>
      <c r="I72" s="94">
        <v>3401</v>
      </c>
      <c r="J72" s="94">
        <v>256</v>
      </c>
      <c r="K72" s="87">
        <v>13</v>
      </c>
      <c r="L72" s="206">
        <v>5607</v>
      </c>
      <c r="M72" s="206">
        <v>1854321.9284759744</v>
      </c>
      <c r="N72" s="207">
        <v>1.1256697181454438</v>
      </c>
      <c r="O72" s="206">
        <v>2087354.0425784658</v>
      </c>
      <c r="P72" s="206">
        <v>15863.89072359634</v>
      </c>
      <c r="Q72" s="206">
        <v>1465145.0715240256</v>
      </c>
      <c r="R72" s="207">
        <v>1.0808054428368077</v>
      </c>
      <c r="S72" s="208">
        <v>1061</v>
      </c>
      <c r="T72" s="206">
        <v>1061</v>
      </c>
      <c r="U72" s="206">
        <v>1582422.2183756428</v>
      </c>
      <c r="V72" s="206">
        <v>3675383.2609541086</v>
      </c>
      <c r="W72" s="206">
        <v>3.8901154300138154</v>
      </c>
      <c r="X72" s="206" t="s">
        <v>264</v>
      </c>
      <c r="Y72" s="206">
        <v>905.1611455806044</v>
      </c>
      <c r="Z72" s="209">
        <v>0.93722412947523293</v>
      </c>
      <c r="AA72" s="206">
        <v>905.1611455806044</v>
      </c>
      <c r="AB72" s="206">
        <v>771.22</v>
      </c>
      <c r="AC72" s="206">
        <v>771.22</v>
      </c>
      <c r="AD72" s="206">
        <v>711.31121536869057</v>
      </c>
      <c r="AE72" s="206">
        <v>771.22</v>
      </c>
      <c r="AF72" s="206">
        <v>771.22</v>
      </c>
      <c r="AG72" s="206">
        <v>761.27</v>
      </c>
    </row>
    <row r="73" spans="1:33" x14ac:dyDescent="0.45">
      <c r="A73" s="87" t="s">
        <v>154</v>
      </c>
      <c r="B73" s="87">
        <v>1942281936</v>
      </c>
      <c r="C73" s="93" t="s">
        <v>182</v>
      </c>
      <c r="D73" s="204">
        <v>44927</v>
      </c>
      <c r="E73" s="204">
        <v>45291</v>
      </c>
      <c r="F73" s="87">
        <v>36</v>
      </c>
      <c r="G73" s="205">
        <v>3241</v>
      </c>
      <c r="H73" s="94">
        <v>0</v>
      </c>
      <c r="I73" s="94">
        <v>695</v>
      </c>
      <c r="J73" s="94">
        <v>2546</v>
      </c>
      <c r="K73" s="87">
        <v>27</v>
      </c>
      <c r="L73" s="206">
        <v>237273</v>
      </c>
      <c r="M73" s="206">
        <v>3260845.9368722071</v>
      </c>
      <c r="N73" s="207">
        <v>1.1256697181454438</v>
      </c>
      <c r="O73" s="206">
        <v>3670635.5266746529</v>
      </c>
      <c r="P73" s="206">
        <v>27896.830002727362</v>
      </c>
      <c r="Q73" s="206">
        <v>2576474.0631277929</v>
      </c>
      <c r="R73" s="207">
        <v>1.0808054428368077</v>
      </c>
      <c r="S73" s="208">
        <v>1342</v>
      </c>
      <c r="T73" s="206">
        <v>1342</v>
      </c>
      <c r="U73" s="206">
        <v>2781739.2863406343</v>
      </c>
      <c r="V73" s="206">
        <v>6689647.8130152877</v>
      </c>
      <c r="W73" s="206">
        <v>8.6074760884687933</v>
      </c>
      <c r="X73" s="206" t="s">
        <v>264</v>
      </c>
      <c r="Y73" s="206">
        <v>2072.6765328657871</v>
      </c>
      <c r="Z73" s="209">
        <v>0.21443998765813022</v>
      </c>
      <c r="AA73" s="206">
        <v>2072.6765328657871</v>
      </c>
      <c r="AB73" s="206">
        <v>771.22</v>
      </c>
      <c r="AC73" s="206" t="s">
        <v>264</v>
      </c>
      <c r="AD73" s="206" t="s">
        <v>264</v>
      </c>
      <c r="AE73" s="206">
        <v>771.22</v>
      </c>
      <c r="AF73" s="206">
        <v>771.22</v>
      </c>
      <c r="AG73" s="206">
        <v>761.27</v>
      </c>
    </row>
    <row r="74" spans="1:33" hidden="1" x14ac:dyDescent="0.45">
      <c r="C74" s="195"/>
      <c r="D74" s="210"/>
      <c r="E74" s="210"/>
      <c r="G74" s="211"/>
      <c r="H74" s="212"/>
      <c r="I74" s="212"/>
      <c r="J74" s="212"/>
      <c r="N74" s="213"/>
      <c r="R74" s="213"/>
      <c r="S74" s="214"/>
      <c r="Z74" s="215"/>
      <c r="AG74" s="198"/>
    </row>
  </sheetData>
  <sheetProtection sheet="1" objects="1" scenarios="1" selectLockedCells="1"/>
  <mergeCells count="4">
    <mergeCell ref="D7:E7"/>
    <mergeCell ref="Q7:U7"/>
    <mergeCell ref="Z7:AD7"/>
    <mergeCell ref="M7:P7"/>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B2891-734C-46AE-A89C-BF3BABC19A8B}">
  <sheetPr codeName="Sheet4"/>
  <dimension ref="A1:XFC72"/>
  <sheetViews>
    <sheetView zoomScale="73" zoomScaleNormal="73" workbookViewId="0">
      <pane ySplit="3" topLeftCell="A4" activePane="bottomLeft" state="frozen"/>
      <selection activeCell="D1" sqref="D1"/>
      <selection pane="bottomLeft" activeCell="A3" sqref="A3"/>
    </sheetView>
  </sheetViews>
  <sheetFormatPr defaultColWidth="0" defaultRowHeight="16" zeroHeight="1" x14ac:dyDescent="0.45"/>
  <cols>
    <col min="1" max="1" width="49" style="102" customWidth="1"/>
    <col min="2" max="2" width="16.7265625" style="102" bestFit="1" customWidth="1"/>
    <col min="3" max="3" width="9.54296875" style="195" customWidth="1"/>
    <col min="4" max="4" width="13" style="102" customWidth="1"/>
    <col min="5" max="5" width="12.54296875" style="102" customWidth="1"/>
    <col min="6" max="6" width="13" style="102" customWidth="1"/>
    <col min="7" max="7" width="18.54296875" style="102" customWidth="1"/>
    <col min="8" max="8" width="20" style="102" customWidth="1"/>
    <col min="9" max="9" width="16.26953125" style="102" customWidth="1"/>
    <col min="10" max="10" width="20.26953125" style="102" customWidth="1"/>
    <col min="11" max="11" width="16.26953125" style="102" customWidth="1"/>
    <col min="12" max="12" width="14.26953125" style="102" customWidth="1"/>
    <col min="13" max="15" width="8.7265625" style="195" customWidth="1"/>
    <col min="16" max="16" width="21.26953125" style="195" customWidth="1"/>
    <col min="17" max="17" width="22.453125" style="195" customWidth="1"/>
    <col min="18" max="18" width="14.7265625" style="102" bestFit="1" customWidth="1"/>
    <col min="19" max="19" width="10.7265625" style="102" bestFit="1" customWidth="1"/>
    <col min="20" max="20" width="11.453125" style="195" bestFit="1" customWidth="1"/>
    <col min="21" max="21" width="9.26953125" style="102" hidden="1"/>
    <col min="22" max="16383" width="8.7265625" style="102" hidden="1"/>
    <col min="16384" max="16384" width="1.26953125" style="102" hidden="1"/>
  </cols>
  <sheetData>
    <row r="1" spans="1:21" x14ac:dyDescent="0.45">
      <c r="A1" s="88" t="s">
        <v>0</v>
      </c>
    </row>
    <row r="2" spans="1:21" ht="16.5" x14ac:dyDescent="0.45">
      <c r="A2" s="196" t="s">
        <v>3</v>
      </c>
    </row>
    <row r="3" spans="1:21" s="137" customFormat="1" ht="87.65" customHeight="1" x14ac:dyDescent="0.35">
      <c r="A3" s="95" t="s">
        <v>86</v>
      </c>
      <c r="B3" s="95" t="s">
        <v>171</v>
      </c>
      <c r="C3" s="95" t="s">
        <v>172</v>
      </c>
      <c r="D3" s="95" t="s">
        <v>87</v>
      </c>
      <c r="E3" s="95" t="s">
        <v>174</v>
      </c>
      <c r="F3" s="95" t="s">
        <v>175</v>
      </c>
      <c r="G3" s="95" t="s">
        <v>265</v>
      </c>
      <c r="H3" s="95" t="s">
        <v>266</v>
      </c>
      <c r="I3" s="95" t="s">
        <v>267</v>
      </c>
      <c r="J3" s="95" t="s">
        <v>268</v>
      </c>
      <c r="K3" s="95" t="s">
        <v>269</v>
      </c>
      <c r="L3" s="95" t="s">
        <v>270</v>
      </c>
      <c r="M3" s="95" t="s">
        <v>271</v>
      </c>
      <c r="N3" s="95" t="s">
        <v>272</v>
      </c>
      <c r="O3" s="95" t="s">
        <v>273</v>
      </c>
      <c r="P3" s="136" t="s">
        <v>274</v>
      </c>
      <c r="Q3" s="136" t="s">
        <v>275</v>
      </c>
      <c r="R3" s="95" t="s">
        <v>276</v>
      </c>
      <c r="S3" s="95" t="s">
        <v>277</v>
      </c>
      <c r="T3" s="95" t="s">
        <v>176</v>
      </c>
      <c r="U3" s="137" t="s">
        <v>278</v>
      </c>
    </row>
    <row r="4" spans="1:21" x14ac:dyDescent="0.45">
      <c r="A4" s="87" t="s">
        <v>91</v>
      </c>
      <c r="B4" s="87" t="s">
        <v>279</v>
      </c>
      <c r="C4" s="93">
        <v>1</v>
      </c>
      <c r="D4" s="87">
        <v>1235261652</v>
      </c>
      <c r="E4" s="204">
        <v>44743</v>
      </c>
      <c r="F4" s="204">
        <v>45107</v>
      </c>
      <c r="G4" s="205">
        <v>43673</v>
      </c>
      <c r="H4" s="94">
        <v>42809</v>
      </c>
      <c r="I4" s="87">
        <v>135</v>
      </c>
      <c r="J4" s="238">
        <v>2725660</v>
      </c>
      <c r="K4" s="238">
        <v>43398919</v>
      </c>
      <c r="L4" s="238">
        <v>20462703</v>
      </c>
      <c r="M4" s="93">
        <v>1</v>
      </c>
      <c r="N4" s="239">
        <v>1</v>
      </c>
      <c r="O4" s="222"/>
      <c r="P4" s="90">
        <v>24925</v>
      </c>
      <c r="Q4" s="90">
        <v>17884</v>
      </c>
      <c r="R4" s="101" t="s">
        <v>280</v>
      </c>
      <c r="S4" s="206">
        <v>771.22</v>
      </c>
      <c r="T4" s="222"/>
      <c r="U4" s="102">
        <v>0</v>
      </c>
    </row>
    <row r="5" spans="1:21" x14ac:dyDescent="0.45">
      <c r="A5" s="87" t="s">
        <v>92</v>
      </c>
      <c r="B5" s="87" t="s">
        <v>281</v>
      </c>
      <c r="C5" s="93">
        <v>1</v>
      </c>
      <c r="D5" s="87">
        <v>1396176160</v>
      </c>
      <c r="E5" s="204">
        <v>44743</v>
      </c>
      <c r="F5" s="204">
        <v>45107</v>
      </c>
      <c r="G5" s="205">
        <v>42068</v>
      </c>
      <c r="H5" s="94">
        <v>39640</v>
      </c>
      <c r="I5" s="87">
        <v>120</v>
      </c>
      <c r="J5" s="238">
        <v>92809</v>
      </c>
      <c r="K5" s="238">
        <v>25298156</v>
      </c>
      <c r="L5" s="238">
        <v>11161753</v>
      </c>
      <c r="M5" s="93">
        <v>1</v>
      </c>
      <c r="N5" s="239">
        <v>1</v>
      </c>
      <c r="O5" s="222"/>
      <c r="P5" s="90">
        <v>26431</v>
      </c>
      <c r="Q5" s="90">
        <v>13209</v>
      </c>
      <c r="R5" s="101">
        <v>41122</v>
      </c>
      <c r="S5" s="206">
        <v>643.57539537493437</v>
      </c>
      <c r="T5" s="222"/>
      <c r="U5" s="102">
        <v>0</v>
      </c>
    </row>
    <row r="6" spans="1:21" x14ac:dyDescent="0.45">
      <c r="A6" s="87" t="s">
        <v>93</v>
      </c>
      <c r="B6" s="87" t="s">
        <v>282</v>
      </c>
      <c r="C6" s="93">
        <v>9</v>
      </c>
      <c r="D6" s="87">
        <v>1891759502</v>
      </c>
      <c r="E6" s="204">
        <v>44927</v>
      </c>
      <c r="F6" s="204">
        <v>45291</v>
      </c>
      <c r="G6" s="205">
        <v>15902</v>
      </c>
      <c r="H6" s="94">
        <v>14824</v>
      </c>
      <c r="I6" s="87">
        <v>48</v>
      </c>
      <c r="J6" s="238">
        <v>383591</v>
      </c>
      <c r="K6" s="238">
        <v>11419428</v>
      </c>
      <c r="L6" s="238">
        <v>5528712</v>
      </c>
      <c r="M6" s="93">
        <v>1</v>
      </c>
      <c r="N6" s="239">
        <v>1</v>
      </c>
      <c r="O6" s="222"/>
      <c r="P6" s="90">
        <v>2335</v>
      </c>
      <c r="Q6" s="90">
        <v>12489</v>
      </c>
      <c r="R6" s="101">
        <v>35524</v>
      </c>
      <c r="S6" s="206">
        <v>771.22</v>
      </c>
      <c r="T6" s="93" t="s">
        <v>64</v>
      </c>
      <c r="U6" s="102">
        <v>15902</v>
      </c>
    </row>
    <row r="7" spans="1:21" x14ac:dyDescent="0.45">
      <c r="A7" s="87" t="s">
        <v>94</v>
      </c>
      <c r="B7" s="87" t="s">
        <v>283</v>
      </c>
      <c r="C7" s="93">
        <v>36</v>
      </c>
      <c r="D7" s="87">
        <v>1073553756</v>
      </c>
      <c r="E7" s="204">
        <v>44743</v>
      </c>
      <c r="F7" s="204">
        <v>45107</v>
      </c>
      <c r="G7" s="205">
        <v>5020</v>
      </c>
      <c r="H7" s="94">
        <v>4542</v>
      </c>
      <c r="I7" s="87">
        <v>21</v>
      </c>
      <c r="J7" s="238">
        <v>163467</v>
      </c>
      <c r="K7" s="238">
        <v>4323812</v>
      </c>
      <c r="L7" s="238">
        <v>2347907</v>
      </c>
      <c r="M7" s="93">
        <v>1</v>
      </c>
      <c r="N7" s="239">
        <v>1</v>
      </c>
      <c r="O7" s="222"/>
      <c r="P7" s="90">
        <v>4542</v>
      </c>
      <c r="Q7" s="90">
        <v>0</v>
      </c>
      <c r="R7" s="101" t="s">
        <v>284</v>
      </c>
      <c r="S7" s="206">
        <v>771.22</v>
      </c>
      <c r="T7" s="93" t="s">
        <v>64</v>
      </c>
      <c r="U7" s="102">
        <v>5020</v>
      </c>
    </row>
    <row r="8" spans="1:21" x14ac:dyDescent="0.45">
      <c r="A8" s="87" t="s">
        <v>95</v>
      </c>
      <c r="B8" s="87" t="s">
        <v>285</v>
      </c>
      <c r="C8" s="93">
        <v>34</v>
      </c>
      <c r="D8" s="87">
        <v>1467560599</v>
      </c>
      <c r="E8" s="204">
        <v>44927</v>
      </c>
      <c r="F8" s="204">
        <v>45291</v>
      </c>
      <c r="G8" s="205">
        <v>58467</v>
      </c>
      <c r="H8" s="94">
        <v>37007</v>
      </c>
      <c r="I8" s="87">
        <v>171</v>
      </c>
      <c r="J8" s="238">
        <v>720848</v>
      </c>
      <c r="K8" s="238">
        <v>38404552</v>
      </c>
      <c r="L8" s="238">
        <v>26857246</v>
      </c>
      <c r="M8" s="93">
        <v>1</v>
      </c>
      <c r="N8" s="239">
        <v>1</v>
      </c>
      <c r="O8" s="222"/>
      <c r="P8" s="90">
        <v>15491</v>
      </c>
      <c r="Q8" s="90">
        <v>21516</v>
      </c>
      <c r="R8" s="101" t="s">
        <v>286</v>
      </c>
      <c r="S8" s="206">
        <v>771.22</v>
      </c>
      <c r="T8" s="222"/>
      <c r="U8" s="102">
        <v>0</v>
      </c>
    </row>
    <row r="9" spans="1:21" x14ac:dyDescent="0.45">
      <c r="A9" s="87" t="s">
        <v>96</v>
      </c>
      <c r="B9" s="87" t="s">
        <v>287</v>
      </c>
      <c r="C9" s="93">
        <v>38</v>
      </c>
      <c r="D9" s="87">
        <v>1215095419</v>
      </c>
      <c r="E9" s="204">
        <v>44927</v>
      </c>
      <c r="F9" s="204">
        <v>45291</v>
      </c>
      <c r="G9" s="205">
        <v>7019</v>
      </c>
      <c r="H9" s="94">
        <v>2789</v>
      </c>
      <c r="I9" s="87">
        <v>29</v>
      </c>
      <c r="J9" s="238">
        <v>669964</v>
      </c>
      <c r="K9" s="238">
        <v>11541084</v>
      </c>
      <c r="L9" s="238">
        <v>7644873</v>
      </c>
      <c r="M9" s="93">
        <v>1</v>
      </c>
      <c r="N9" s="239">
        <v>1</v>
      </c>
      <c r="O9" s="222"/>
      <c r="P9" s="90">
        <v>421</v>
      </c>
      <c r="Q9" s="90">
        <v>2368</v>
      </c>
      <c r="R9" s="101" t="s">
        <v>288</v>
      </c>
      <c r="S9" s="206">
        <v>771.22</v>
      </c>
      <c r="T9" s="222"/>
      <c r="U9" s="102">
        <v>0</v>
      </c>
    </row>
    <row r="10" spans="1:21" x14ac:dyDescent="0.45">
      <c r="A10" s="87" t="s">
        <v>97</v>
      </c>
      <c r="B10" s="87" t="s">
        <v>289</v>
      </c>
      <c r="C10" s="93">
        <v>19</v>
      </c>
      <c r="D10" s="100">
        <v>1346250347</v>
      </c>
      <c r="E10" s="204">
        <v>44743</v>
      </c>
      <c r="F10" s="204">
        <v>45107</v>
      </c>
      <c r="G10" s="205">
        <v>1460</v>
      </c>
      <c r="H10" s="94">
        <v>1164</v>
      </c>
      <c r="I10" s="87">
        <v>4</v>
      </c>
      <c r="J10" s="238">
        <v>20650</v>
      </c>
      <c r="K10" s="238">
        <v>868357</v>
      </c>
      <c r="L10" s="238">
        <v>516852</v>
      </c>
      <c r="M10" s="93">
        <v>1</v>
      </c>
      <c r="N10" s="239">
        <v>1</v>
      </c>
      <c r="O10" s="222"/>
      <c r="P10" s="90">
        <v>1164</v>
      </c>
      <c r="Q10" s="90">
        <v>0</v>
      </c>
      <c r="R10" s="101"/>
      <c r="S10" s="206">
        <v>704.86</v>
      </c>
      <c r="T10" s="93" t="s">
        <v>64</v>
      </c>
      <c r="U10" s="102">
        <v>1460</v>
      </c>
    </row>
    <row r="11" spans="1:21" x14ac:dyDescent="0.45">
      <c r="A11" s="87" t="s">
        <v>98</v>
      </c>
      <c r="B11" s="87" t="s">
        <v>290</v>
      </c>
      <c r="C11" s="93">
        <v>30</v>
      </c>
      <c r="D11" s="87">
        <v>1477672665</v>
      </c>
      <c r="E11" s="204">
        <v>44927</v>
      </c>
      <c r="F11" s="204">
        <v>45291</v>
      </c>
      <c r="G11" s="205">
        <v>8606</v>
      </c>
      <c r="H11" s="94">
        <v>0</v>
      </c>
      <c r="I11" s="87">
        <v>27</v>
      </c>
      <c r="J11" s="238">
        <v>400329</v>
      </c>
      <c r="K11" s="238">
        <v>13858178</v>
      </c>
      <c r="L11" s="238">
        <v>3720021</v>
      </c>
      <c r="M11" s="93">
        <v>1</v>
      </c>
      <c r="N11" s="239">
        <v>5</v>
      </c>
      <c r="O11" s="93">
        <v>5</v>
      </c>
      <c r="P11" s="94">
        <v>0</v>
      </c>
      <c r="Q11" s="94">
        <v>0</v>
      </c>
      <c r="R11" s="101" t="s">
        <v>291</v>
      </c>
      <c r="S11" s="206">
        <v>771.22</v>
      </c>
      <c r="T11" s="222"/>
      <c r="U11" s="102">
        <v>0</v>
      </c>
    </row>
    <row r="12" spans="1:21" x14ac:dyDescent="0.45">
      <c r="A12" s="87" t="s">
        <v>99</v>
      </c>
      <c r="B12" s="94" t="s">
        <v>292</v>
      </c>
      <c r="C12" s="240">
        <v>6</v>
      </c>
      <c r="D12" s="241">
        <v>1215476734</v>
      </c>
      <c r="E12" s="204">
        <v>44927</v>
      </c>
      <c r="F12" s="204">
        <v>45291</v>
      </c>
      <c r="G12" s="205">
        <v>1475</v>
      </c>
      <c r="H12" s="87">
        <v>162</v>
      </c>
      <c r="I12" s="87">
        <v>6</v>
      </c>
      <c r="J12" s="94">
        <v>2383</v>
      </c>
      <c r="K12" s="94">
        <v>265293</v>
      </c>
      <c r="L12" s="94">
        <v>179161</v>
      </c>
      <c r="M12" s="93">
        <v>1</v>
      </c>
      <c r="N12" s="239">
        <v>1</v>
      </c>
      <c r="O12" s="222"/>
      <c r="P12" s="87">
        <v>151</v>
      </c>
      <c r="Q12" s="87">
        <v>11</v>
      </c>
      <c r="R12" s="87"/>
      <c r="S12" s="206">
        <v>636.04</v>
      </c>
      <c r="T12" s="93" t="s">
        <v>64</v>
      </c>
      <c r="U12" s="102">
        <v>1475</v>
      </c>
    </row>
    <row r="13" spans="1:21" x14ac:dyDescent="0.45">
      <c r="A13" s="87" t="s">
        <v>100</v>
      </c>
      <c r="B13" s="87" t="s">
        <v>293</v>
      </c>
      <c r="C13" s="93">
        <v>36</v>
      </c>
      <c r="D13" s="87">
        <v>1235290818</v>
      </c>
      <c r="E13" s="204">
        <v>44927</v>
      </c>
      <c r="F13" s="204">
        <v>45291</v>
      </c>
      <c r="G13" s="205">
        <v>31529</v>
      </c>
      <c r="H13" s="94">
        <v>0</v>
      </c>
      <c r="I13" s="87">
        <v>88</v>
      </c>
      <c r="J13" s="238">
        <v>546348</v>
      </c>
      <c r="K13" s="238">
        <v>29007939</v>
      </c>
      <c r="L13" s="238">
        <v>18213774</v>
      </c>
      <c r="M13" s="93">
        <v>1</v>
      </c>
      <c r="N13" s="239">
        <v>5</v>
      </c>
      <c r="O13" s="93">
        <v>5</v>
      </c>
      <c r="P13" s="242">
        <v>0</v>
      </c>
      <c r="Q13" s="242">
        <v>0</v>
      </c>
      <c r="R13" s="101">
        <v>34918</v>
      </c>
      <c r="S13" s="206">
        <v>771.22</v>
      </c>
      <c r="T13" s="222"/>
      <c r="U13" s="102">
        <v>0</v>
      </c>
    </row>
    <row r="14" spans="1:21" x14ac:dyDescent="0.45">
      <c r="A14" s="87" t="s">
        <v>101</v>
      </c>
      <c r="B14" s="87" t="s">
        <v>294</v>
      </c>
      <c r="C14" s="93">
        <v>10</v>
      </c>
      <c r="D14" s="87">
        <v>1295816569</v>
      </c>
      <c r="E14" s="204">
        <v>44805</v>
      </c>
      <c r="F14" s="204">
        <v>45169</v>
      </c>
      <c r="G14" s="205">
        <v>19303</v>
      </c>
      <c r="H14" s="94">
        <v>17938</v>
      </c>
      <c r="I14" s="87">
        <v>58</v>
      </c>
      <c r="J14" s="238">
        <v>594946</v>
      </c>
      <c r="K14" s="238">
        <v>7935109</v>
      </c>
      <c r="L14" s="238">
        <v>4010893</v>
      </c>
      <c r="M14" s="93">
        <v>1</v>
      </c>
      <c r="N14" s="239">
        <v>1</v>
      </c>
      <c r="O14" s="93"/>
      <c r="P14" s="90">
        <v>11626</v>
      </c>
      <c r="Q14" s="90">
        <v>6312</v>
      </c>
      <c r="R14" s="101" t="s">
        <v>295</v>
      </c>
      <c r="S14" s="206">
        <v>485.20741463837794</v>
      </c>
      <c r="T14" s="222"/>
      <c r="U14" s="102">
        <v>0</v>
      </c>
    </row>
    <row r="15" spans="1:21" x14ac:dyDescent="0.45">
      <c r="A15" s="87" t="s">
        <v>102</v>
      </c>
      <c r="B15" s="87" t="s">
        <v>296</v>
      </c>
      <c r="C15" s="93">
        <v>15</v>
      </c>
      <c r="D15" s="87">
        <v>1033247622</v>
      </c>
      <c r="E15" s="204">
        <v>44927</v>
      </c>
      <c r="F15" s="204">
        <v>45291</v>
      </c>
      <c r="G15" s="205">
        <v>17044</v>
      </c>
      <c r="H15" s="94">
        <v>0</v>
      </c>
      <c r="I15" s="87">
        <v>51</v>
      </c>
      <c r="J15" s="238">
        <v>328948</v>
      </c>
      <c r="K15" s="238">
        <v>14834839</v>
      </c>
      <c r="L15" s="238">
        <v>7531532</v>
      </c>
      <c r="M15" s="93">
        <v>1</v>
      </c>
      <c r="N15" s="239">
        <v>5</v>
      </c>
      <c r="O15" s="93">
        <v>5</v>
      </c>
      <c r="P15" s="90">
        <v>0</v>
      </c>
      <c r="Q15" s="90">
        <v>0</v>
      </c>
      <c r="R15" s="101" t="s">
        <v>297</v>
      </c>
      <c r="S15" s="206">
        <v>771.22</v>
      </c>
      <c r="T15" s="222"/>
      <c r="U15" s="102">
        <v>0</v>
      </c>
    </row>
    <row r="16" spans="1:21" x14ac:dyDescent="0.45">
      <c r="A16" s="87" t="s">
        <v>103</v>
      </c>
      <c r="B16" s="87" t="s">
        <v>298</v>
      </c>
      <c r="C16" s="93">
        <v>33</v>
      </c>
      <c r="D16" s="87">
        <v>1104856095</v>
      </c>
      <c r="E16" s="204">
        <v>44713</v>
      </c>
      <c r="F16" s="204">
        <v>45077</v>
      </c>
      <c r="G16" s="205">
        <v>4462</v>
      </c>
      <c r="H16" s="94">
        <v>0</v>
      </c>
      <c r="I16" s="87">
        <v>0</v>
      </c>
      <c r="J16" s="238">
        <v>372009</v>
      </c>
      <c r="K16" s="238">
        <v>6732826</v>
      </c>
      <c r="L16" s="238">
        <v>3973461</v>
      </c>
      <c r="M16" s="93">
        <v>1</v>
      </c>
      <c r="N16" s="239">
        <v>0</v>
      </c>
      <c r="O16" s="93"/>
      <c r="P16" s="90">
        <v>0</v>
      </c>
      <c r="Q16" s="90">
        <v>0</v>
      </c>
      <c r="R16" s="101">
        <v>35971</v>
      </c>
      <c r="S16" s="206">
        <v>771.22</v>
      </c>
      <c r="T16" s="222"/>
      <c r="U16" s="102">
        <v>0</v>
      </c>
    </row>
    <row r="17" spans="1:21" x14ac:dyDescent="0.45">
      <c r="A17" s="87" t="s">
        <v>104</v>
      </c>
      <c r="B17" s="87" t="s">
        <v>299</v>
      </c>
      <c r="C17" s="93">
        <v>32</v>
      </c>
      <c r="D17" s="87">
        <v>1609872415</v>
      </c>
      <c r="E17" s="204">
        <v>44743</v>
      </c>
      <c r="F17" s="204">
        <v>45107</v>
      </c>
      <c r="G17" s="205">
        <v>19253</v>
      </c>
      <c r="H17" s="94">
        <v>17891</v>
      </c>
      <c r="I17" s="87">
        <v>66</v>
      </c>
      <c r="J17" s="238">
        <v>153925</v>
      </c>
      <c r="K17" s="238">
        <v>10324765</v>
      </c>
      <c r="L17" s="238">
        <v>5476963</v>
      </c>
      <c r="M17" s="93">
        <v>1</v>
      </c>
      <c r="N17" s="239">
        <v>1</v>
      </c>
      <c r="O17" s="93"/>
      <c r="P17" s="90">
        <v>11589</v>
      </c>
      <c r="Q17" s="90">
        <v>6302</v>
      </c>
      <c r="R17" s="101" t="s">
        <v>300</v>
      </c>
      <c r="S17" s="206">
        <v>603.56727880663504</v>
      </c>
      <c r="T17" s="93" t="s">
        <v>64</v>
      </c>
      <c r="U17" s="102">
        <v>19253</v>
      </c>
    </row>
    <row r="18" spans="1:21" x14ac:dyDescent="0.45">
      <c r="A18" s="87" t="s">
        <v>105</v>
      </c>
      <c r="B18" s="87" t="s">
        <v>301</v>
      </c>
      <c r="C18" s="93">
        <v>37</v>
      </c>
      <c r="D18" s="87">
        <v>1962556290</v>
      </c>
      <c r="E18" s="204">
        <v>44743</v>
      </c>
      <c r="F18" s="204">
        <v>45107</v>
      </c>
      <c r="G18" s="205">
        <v>57526</v>
      </c>
      <c r="H18" s="94">
        <v>49320</v>
      </c>
      <c r="I18" s="87">
        <v>192</v>
      </c>
      <c r="J18" s="238">
        <v>0</v>
      </c>
      <c r="K18" s="238">
        <v>61208980</v>
      </c>
      <c r="L18" s="238">
        <v>48010796</v>
      </c>
      <c r="M18" s="93">
        <v>1</v>
      </c>
      <c r="N18" s="239">
        <v>0</v>
      </c>
      <c r="O18" s="93"/>
      <c r="P18" s="90">
        <v>7713</v>
      </c>
      <c r="Q18" s="90">
        <v>41607</v>
      </c>
      <c r="R18" s="101" t="s">
        <v>302</v>
      </c>
      <c r="S18" s="206">
        <v>814.98</v>
      </c>
      <c r="T18" s="222"/>
      <c r="U18" s="102">
        <v>0</v>
      </c>
    </row>
    <row r="19" spans="1:21" x14ac:dyDescent="0.45">
      <c r="A19" s="87" t="s">
        <v>106</v>
      </c>
      <c r="B19" s="87" t="s">
        <v>303</v>
      </c>
      <c r="C19" s="93">
        <v>19</v>
      </c>
      <c r="D19" s="87">
        <v>1619141298</v>
      </c>
      <c r="E19" s="204">
        <v>44927</v>
      </c>
      <c r="F19" s="204">
        <v>45291</v>
      </c>
      <c r="G19" s="205">
        <v>9542</v>
      </c>
      <c r="H19" s="94">
        <v>0</v>
      </c>
      <c r="I19" s="87">
        <v>28</v>
      </c>
      <c r="J19" s="238">
        <v>383223</v>
      </c>
      <c r="K19" s="238">
        <v>12238036</v>
      </c>
      <c r="L19" s="238">
        <v>5283647</v>
      </c>
      <c r="M19" s="93">
        <v>1</v>
      </c>
      <c r="N19" s="239">
        <v>5</v>
      </c>
      <c r="O19" s="93">
        <v>5</v>
      </c>
      <c r="P19" s="90">
        <v>0</v>
      </c>
      <c r="Q19" s="90">
        <v>0</v>
      </c>
      <c r="R19" s="101" t="s">
        <v>304</v>
      </c>
      <c r="S19" s="206">
        <v>771.22</v>
      </c>
      <c r="T19" s="222"/>
      <c r="U19" s="102">
        <v>0</v>
      </c>
    </row>
    <row r="20" spans="1:21" x14ac:dyDescent="0.45">
      <c r="A20" s="87" t="s">
        <v>107</v>
      </c>
      <c r="B20" s="87" t="s">
        <v>305</v>
      </c>
      <c r="C20" s="93">
        <v>27</v>
      </c>
      <c r="D20" s="87">
        <v>1225228646</v>
      </c>
      <c r="E20" s="204">
        <v>44835</v>
      </c>
      <c r="F20" s="204">
        <v>45199</v>
      </c>
      <c r="G20" s="205">
        <v>11696</v>
      </c>
      <c r="H20" s="94">
        <v>1329</v>
      </c>
      <c r="I20" s="87">
        <v>48</v>
      </c>
      <c r="J20" s="238">
        <v>113686</v>
      </c>
      <c r="K20" s="238">
        <v>7781723</v>
      </c>
      <c r="L20" s="238">
        <v>4704334</v>
      </c>
      <c r="M20" s="93">
        <v>1</v>
      </c>
      <c r="N20" s="239">
        <v>1</v>
      </c>
      <c r="O20" s="93"/>
      <c r="P20" s="90">
        <v>250</v>
      </c>
      <c r="Q20" s="90">
        <v>1079</v>
      </c>
      <c r="R20" s="101" t="s">
        <v>306</v>
      </c>
      <c r="S20" s="206">
        <v>651.96457225474694</v>
      </c>
      <c r="T20" s="93" t="s">
        <v>64</v>
      </c>
      <c r="U20" s="102">
        <v>11696</v>
      </c>
    </row>
    <row r="21" spans="1:21" x14ac:dyDescent="0.45">
      <c r="A21" s="87" t="s">
        <v>108</v>
      </c>
      <c r="B21" s="87" t="s">
        <v>307</v>
      </c>
      <c r="C21" s="93">
        <v>37</v>
      </c>
      <c r="D21" s="87">
        <v>1417930249</v>
      </c>
      <c r="E21" s="204">
        <v>44835</v>
      </c>
      <c r="F21" s="204">
        <v>45199</v>
      </c>
      <c r="G21" s="205">
        <v>5768</v>
      </c>
      <c r="H21" s="94">
        <v>1714</v>
      </c>
      <c r="I21" s="87">
        <v>30</v>
      </c>
      <c r="J21" s="238">
        <v>550852</v>
      </c>
      <c r="K21" s="238">
        <v>6025316</v>
      </c>
      <c r="L21" s="238">
        <v>3521158</v>
      </c>
      <c r="M21" s="93">
        <v>1</v>
      </c>
      <c r="N21" s="239">
        <v>1</v>
      </c>
      <c r="O21" s="93"/>
      <c r="P21" s="90">
        <v>550</v>
      </c>
      <c r="Q21" s="90">
        <v>1164</v>
      </c>
      <c r="R21" s="101" t="s">
        <v>308</v>
      </c>
      <c r="S21" s="206">
        <v>771.22</v>
      </c>
      <c r="T21" s="222"/>
      <c r="U21" s="102">
        <v>0</v>
      </c>
    </row>
    <row r="22" spans="1:21" x14ac:dyDescent="0.45">
      <c r="A22" s="87" t="s">
        <v>109</v>
      </c>
      <c r="B22" s="87" t="s">
        <v>309</v>
      </c>
      <c r="C22" s="93">
        <v>35</v>
      </c>
      <c r="D22" s="87">
        <v>1467585471</v>
      </c>
      <c r="E22" s="204">
        <v>44743</v>
      </c>
      <c r="F22" s="204">
        <v>45107</v>
      </c>
      <c r="G22" s="205">
        <v>33023</v>
      </c>
      <c r="H22" s="94">
        <v>26569</v>
      </c>
      <c r="I22" s="87">
        <v>119</v>
      </c>
      <c r="J22" s="238">
        <v>136402</v>
      </c>
      <c r="K22" s="238">
        <v>23707478</v>
      </c>
      <c r="L22" s="238">
        <v>1940359</v>
      </c>
      <c r="M22" s="93">
        <v>1</v>
      </c>
      <c r="N22" s="239">
        <v>1</v>
      </c>
      <c r="O22" s="93"/>
      <c r="P22" s="90">
        <v>26569</v>
      </c>
      <c r="Q22" s="90">
        <v>0</v>
      </c>
      <c r="R22" s="101" t="s">
        <v>310</v>
      </c>
      <c r="S22" s="206">
        <v>771.22</v>
      </c>
      <c r="T22" s="93" t="s">
        <v>64</v>
      </c>
      <c r="U22" s="102">
        <v>33023</v>
      </c>
    </row>
    <row r="23" spans="1:21" x14ac:dyDescent="0.45">
      <c r="A23" s="87" t="s">
        <v>110</v>
      </c>
      <c r="B23" s="87" t="s">
        <v>311</v>
      </c>
      <c r="C23" s="93">
        <v>36</v>
      </c>
      <c r="D23" s="87">
        <v>1639565088</v>
      </c>
      <c r="E23" s="204">
        <v>44713</v>
      </c>
      <c r="F23" s="204">
        <v>45077</v>
      </c>
      <c r="G23" s="205">
        <v>29034</v>
      </c>
      <c r="H23" s="94">
        <v>14240</v>
      </c>
      <c r="I23" s="87">
        <v>95</v>
      </c>
      <c r="J23" s="238">
        <v>257622</v>
      </c>
      <c r="K23" s="238">
        <v>12454006</v>
      </c>
      <c r="L23" s="238">
        <v>5908275</v>
      </c>
      <c r="M23" s="93">
        <v>1</v>
      </c>
      <c r="N23" s="239">
        <v>1</v>
      </c>
      <c r="O23" s="93" t="s">
        <v>312</v>
      </c>
      <c r="P23" s="90">
        <v>11988</v>
      </c>
      <c r="Q23" s="90">
        <v>2252</v>
      </c>
      <c r="R23" s="101" t="s">
        <v>313</v>
      </c>
      <c r="S23" s="206">
        <v>497.2409374796004</v>
      </c>
      <c r="T23" s="93" t="s">
        <v>64</v>
      </c>
      <c r="U23" s="102">
        <v>29034</v>
      </c>
    </row>
    <row r="24" spans="1:21" x14ac:dyDescent="0.45">
      <c r="A24" s="87" t="s">
        <v>111</v>
      </c>
      <c r="B24" s="87" t="s">
        <v>314</v>
      </c>
      <c r="C24" s="93">
        <v>19</v>
      </c>
      <c r="D24" s="87">
        <v>1336164151</v>
      </c>
      <c r="E24" s="204">
        <v>44927</v>
      </c>
      <c r="F24" s="204">
        <v>45291</v>
      </c>
      <c r="G24" s="205">
        <v>26535</v>
      </c>
      <c r="H24" s="94">
        <v>0</v>
      </c>
      <c r="I24" s="87">
        <v>89</v>
      </c>
      <c r="J24" s="238">
        <v>306907</v>
      </c>
      <c r="K24" s="238">
        <v>24296730</v>
      </c>
      <c r="L24" s="238">
        <v>11793256</v>
      </c>
      <c r="M24" s="93">
        <v>1</v>
      </c>
      <c r="N24" s="239">
        <v>5</v>
      </c>
      <c r="O24" s="93">
        <v>5</v>
      </c>
      <c r="P24" s="90">
        <v>0</v>
      </c>
      <c r="Q24" s="90">
        <v>0</v>
      </c>
      <c r="R24" s="101" t="s">
        <v>288</v>
      </c>
      <c r="S24" s="206">
        <v>771.22</v>
      </c>
      <c r="T24" s="222"/>
      <c r="U24" s="102">
        <v>0</v>
      </c>
    </row>
    <row r="25" spans="1:21" x14ac:dyDescent="0.45">
      <c r="A25" s="87" t="s">
        <v>112</v>
      </c>
      <c r="B25" s="87" t="s">
        <v>315</v>
      </c>
      <c r="C25" s="93">
        <v>19</v>
      </c>
      <c r="D25" s="87">
        <v>1750309837</v>
      </c>
      <c r="E25" s="204">
        <v>44927</v>
      </c>
      <c r="F25" s="204">
        <v>45291</v>
      </c>
      <c r="G25" s="205">
        <v>15139</v>
      </c>
      <c r="H25" s="94">
        <v>0</v>
      </c>
      <c r="I25" s="87">
        <v>48</v>
      </c>
      <c r="J25" s="238">
        <v>1154523</v>
      </c>
      <c r="K25" s="238">
        <v>19313558</v>
      </c>
      <c r="L25" s="238">
        <v>11897019</v>
      </c>
      <c r="M25" s="93">
        <v>1</v>
      </c>
      <c r="N25" s="239">
        <v>5</v>
      </c>
      <c r="O25" s="93">
        <v>5</v>
      </c>
      <c r="P25" s="90">
        <v>0</v>
      </c>
      <c r="Q25" s="90">
        <v>0</v>
      </c>
      <c r="R25" s="101" t="s">
        <v>316</v>
      </c>
      <c r="S25" s="206">
        <v>771.22</v>
      </c>
      <c r="T25" s="222"/>
      <c r="U25" s="102">
        <v>0</v>
      </c>
    </row>
    <row r="26" spans="1:21" x14ac:dyDescent="0.45">
      <c r="A26" s="87" t="s">
        <v>113</v>
      </c>
      <c r="B26" s="87" t="s">
        <v>287</v>
      </c>
      <c r="C26" s="93">
        <v>38</v>
      </c>
      <c r="D26" s="87">
        <v>1275525115</v>
      </c>
      <c r="E26" s="204">
        <v>44743</v>
      </c>
      <c r="F26" s="204">
        <v>45107</v>
      </c>
      <c r="G26" s="205">
        <v>121683</v>
      </c>
      <c r="H26" s="94">
        <v>87694</v>
      </c>
      <c r="I26" s="87">
        <v>362</v>
      </c>
      <c r="J26" s="238">
        <v>5004318</v>
      </c>
      <c r="K26" s="238">
        <v>81299957</v>
      </c>
      <c r="L26" s="238">
        <v>47017649</v>
      </c>
      <c r="M26" s="93">
        <v>1</v>
      </c>
      <c r="N26" s="239">
        <v>1</v>
      </c>
      <c r="O26" s="93"/>
      <c r="P26" s="90">
        <v>52024</v>
      </c>
      <c r="Q26" s="90">
        <v>35670</v>
      </c>
      <c r="R26" s="101" t="s">
        <v>317</v>
      </c>
      <c r="S26" s="206">
        <v>681.66594362202932</v>
      </c>
      <c r="T26" s="222"/>
      <c r="U26" s="102">
        <v>0</v>
      </c>
    </row>
    <row r="27" spans="1:21" x14ac:dyDescent="0.45">
      <c r="A27" s="85" t="s">
        <v>114</v>
      </c>
      <c r="B27" s="90" t="s">
        <v>318</v>
      </c>
      <c r="C27" s="91">
        <v>22</v>
      </c>
      <c r="D27" s="241">
        <v>1841342334</v>
      </c>
      <c r="E27" s="204">
        <v>44743</v>
      </c>
      <c r="F27" s="204">
        <v>45107</v>
      </c>
      <c r="G27" s="205">
        <v>5484</v>
      </c>
      <c r="H27" s="94">
        <v>5164</v>
      </c>
      <c r="I27" s="87">
        <v>16</v>
      </c>
      <c r="J27" s="238">
        <v>92502</v>
      </c>
      <c r="K27" s="238">
        <v>3041050</v>
      </c>
      <c r="L27" s="238">
        <v>1808728</v>
      </c>
      <c r="M27" s="93">
        <v>1</v>
      </c>
      <c r="N27" s="239">
        <v>1</v>
      </c>
      <c r="O27" s="93"/>
      <c r="P27" s="90">
        <v>5164</v>
      </c>
      <c r="Q27" s="90">
        <v>0</v>
      </c>
      <c r="R27" s="101"/>
      <c r="S27" s="206">
        <v>705.62139420257563</v>
      </c>
      <c r="T27" s="93" t="s">
        <v>64</v>
      </c>
      <c r="U27" s="102">
        <v>5484</v>
      </c>
    </row>
    <row r="28" spans="1:21" x14ac:dyDescent="0.45">
      <c r="A28" s="87" t="s">
        <v>115</v>
      </c>
      <c r="B28" s="87" t="s">
        <v>319</v>
      </c>
      <c r="C28" s="93">
        <v>19</v>
      </c>
      <c r="D28" s="87">
        <v>1487681631</v>
      </c>
      <c r="E28" s="204">
        <v>44805</v>
      </c>
      <c r="F28" s="204">
        <v>45169</v>
      </c>
      <c r="G28" s="205">
        <v>82571</v>
      </c>
      <c r="H28" s="94">
        <v>70053</v>
      </c>
      <c r="I28" s="87">
        <v>239</v>
      </c>
      <c r="J28" s="238">
        <v>2987545</v>
      </c>
      <c r="K28" s="238">
        <v>41744504</v>
      </c>
      <c r="L28" s="238">
        <v>26501959</v>
      </c>
      <c r="M28" s="93">
        <v>1</v>
      </c>
      <c r="N28" s="239">
        <v>1</v>
      </c>
      <c r="O28" s="93"/>
      <c r="P28" s="90">
        <v>7777</v>
      </c>
      <c r="Q28" s="90">
        <v>62276</v>
      </c>
      <c r="R28" s="101">
        <v>39402</v>
      </c>
      <c r="S28" s="206">
        <v>563.06552878797879</v>
      </c>
      <c r="T28" s="222"/>
      <c r="U28" s="102">
        <v>0</v>
      </c>
    </row>
    <row r="29" spans="1:21" x14ac:dyDescent="0.45">
      <c r="A29" s="87" t="s">
        <v>116</v>
      </c>
      <c r="B29" s="87" t="s">
        <v>320</v>
      </c>
      <c r="C29" s="93">
        <v>54</v>
      </c>
      <c r="D29" s="87">
        <v>1093776338</v>
      </c>
      <c r="E29" s="204">
        <v>44743</v>
      </c>
      <c r="F29" s="204">
        <v>45107</v>
      </c>
      <c r="G29" s="205">
        <v>6842</v>
      </c>
      <c r="H29" s="94">
        <v>2207</v>
      </c>
      <c r="I29" s="87">
        <v>70</v>
      </c>
      <c r="J29" s="238">
        <v>258834</v>
      </c>
      <c r="K29" s="238">
        <v>4805610</v>
      </c>
      <c r="L29" s="238">
        <v>2600256</v>
      </c>
      <c r="M29" s="93">
        <v>1</v>
      </c>
      <c r="N29" s="239">
        <v>1</v>
      </c>
      <c r="O29" s="93"/>
      <c r="P29" s="90">
        <v>1304</v>
      </c>
      <c r="Q29" s="90">
        <v>903</v>
      </c>
      <c r="R29" s="101">
        <v>1</v>
      </c>
      <c r="S29" s="206">
        <v>771.22</v>
      </c>
      <c r="T29" s="222"/>
      <c r="U29" s="102">
        <v>0</v>
      </c>
    </row>
    <row r="30" spans="1:21" x14ac:dyDescent="0.45">
      <c r="A30" s="87" t="s">
        <v>117</v>
      </c>
      <c r="B30" s="87" t="s">
        <v>321</v>
      </c>
      <c r="C30" s="93">
        <v>15</v>
      </c>
      <c r="D30" s="87">
        <v>1427049964</v>
      </c>
      <c r="E30" s="204">
        <v>44743</v>
      </c>
      <c r="F30" s="204">
        <v>45107</v>
      </c>
      <c r="G30" s="205">
        <v>16151</v>
      </c>
      <c r="H30" s="94">
        <v>13254</v>
      </c>
      <c r="I30" s="87">
        <v>74</v>
      </c>
      <c r="J30" s="238">
        <v>185846</v>
      </c>
      <c r="K30" s="238">
        <v>7155035</v>
      </c>
      <c r="L30" s="238">
        <v>3848261</v>
      </c>
      <c r="M30" s="93">
        <v>1</v>
      </c>
      <c r="N30" s="239">
        <v>1</v>
      </c>
      <c r="O30" s="93"/>
      <c r="P30" s="90">
        <v>8347</v>
      </c>
      <c r="Q30" s="90">
        <v>4907</v>
      </c>
      <c r="R30" s="101" t="s">
        <v>322</v>
      </c>
      <c r="S30" s="206">
        <v>500.06001447595969</v>
      </c>
      <c r="T30" s="93" t="s">
        <v>64</v>
      </c>
      <c r="U30" s="102">
        <v>16151</v>
      </c>
    </row>
    <row r="31" spans="1:21" x14ac:dyDescent="0.45">
      <c r="A31" s="87" t="s">
        <v>118</v>
      </c>
      <c r="B31" s="87" t="s">
        <v>323</v>
      </c>
      <c r="C31" s="93">
        <v>30</v>
      </c>
      <c r="D31" s="87">
        <v>1629240577</v>
      </c>
      <c r="E31" s="204">
        <v>44805</v>
      </c>
      <c r="F31" s="204">
        <v>45169</v>
      </c>
      <c r="G31" s="205">
        <v>5458</v>
      </c>
      <c r="H31" s="94">
        <v>2633</v>
      </c>
      <c r="I31" s="87">
        <v>24</v>
      </c>
      <c r="J31" s="238">
        <v>52224</v>
      </c>
      <c r="K31" s="238">
        <v>3180174</v>
      </c>
      <c r="L31" s="238">
        <v>2069756</v>
      </c>
      <c r="M31" s="93">
        <v>1</v>
      </c>
      <c r="N31" s="239">
        <v>1</v>
      </c>
      <c r="O31" s="93"/>
      <c r="P31" s="90">
        <v>286</v>
      </c>
      <c r="Q31" s="90">
        <v>2347</v>
      </c>
      <c r="R31" s="101">
        <v>42066</v>
      </c>
      <c r="S31" s="206">
        <v>771.22</v>
      </c>
      <c r="T31" s="222"/>
      <c r="U31" s="102">
        <v>0</v>
      </c>
    </row>
    <row r="32" spans="1:21" x14ac:dyDescent="0.45">
      <c r="A32" s="87" t="s">
        <v>119</v>
      </c>
      <c r="B32" s="87" t="s">
        <v>287</v>
      </c>
      <c r="C32" s="93">
        <v>38</v>
      </c>
      <c r="D32" s="87">
        <v>1417997370</v>
      </c>
      <c r="E32" s="204">
        <v>44743</v>
      </c>
      <c r="F32" s="204">
        <v>45107</v>
      </c>
      <c r="G32" s="205">
        <v>204320</v>
      </c>
      <c r="H32" s="94">
        <v>192285</v>
      </c>
      <c r="I32" s="87">
        <v>769</v>
      </c>
      <c r="J32" s="238">
        <v>21108341</v>
      </c>
      <c r="K32" s="238">
        <v>333142149</v>
      </c>
      <c r="L32" s="238">
        <v>152300587</v>
      </c>
      <c r="M32" s="93">
        <v>1</v>
      </c>
      <c r="N32" s="239">
        <v>1</v>
      </c>
      <c r="O32" s="93"/>
      <c r="P32" s="90">
        <v>131487</v>
      </c>
      <c r="Q32" s="90">
        <v>60798</v>
      </c>
      <c r="R32" s="101" t="s">
        <v>324</v>
      </c>
      <c r="S32" s="206">
        <v>771.22</v>
      </c>
      <c r="T32" s="222"/>
      <c r="U32" s="102">
        <v>0</v>
      </c>
    </row>
    <row r="33" spans="1:21" x14ac:dyDescent="0.45">
      <c r="A33" s="87" t="s">
        <v>120</v>
      </c>
      <c r="B33" s="87" t="s">
        <v>325</v>
      </c>
      <c r="C33" s="93">
        <v>42</v>
      </c>
      <c r="D33" s="87">
        <v>1376539130</v>
      </c>
      <c r="E33" s="204">
        <v>44743</v>
      </c>
      <c r="F33" s="204">
        <v>45107</v>
      </c>
      <c r="G33" s="205">
        <v>32490</v>
      </c>
      <c r="H33" s="94">
        <v>27051</v>
      </c>
      <c r="I33" s="87">
        <v>110</v>
      </c>
      <c r="J33" s="238">
        <v>265928</v>
      </c>
      <c r="K33" s="238">
        <v>17325377</v>
      </c>
      <c r="L33" s="238">
        <v>9115444</v>
      </c>
      <c r="M33" s="93">
        <v>1</v>
      </c>
      <c r="N33" s="239">
        <v>1</v>
      </c>
      <c r="O33" s="93"/>
      <c r="P33" s="90">
        <v>1832</v>
      </c>
      <c r="Q33" s="90">
        <v>25219</v>
      </c>
      <c r="R33" s="101" t="s">
        <v>295</v>
      </c>
      <c r="S33" s="206">
        <v>600.99611663360974</v>
      </c>
      <c r="T33" s="93" t="s">
        <v>64</v>
      </c>
      <c r="U33" s="102">
        <v>32490</v>
      </c>
    </row>
    <row r="34" spans="1:21" x14ac:dyDescent="0.45">
      <c r="A34" s="87" t="s">
        <v>121</v>
      </c>
      <c r="B34" s="87" t="s">
        <v>326</v>
      </c>
      <c r="C34" s="93">
        <v>42</v>
      </c>
      <c r="D34" s="87">
        <v>1144358953</v>
      </c>
      <c r="E34" s="204">
        <v>44743</v>
      </c>
      <c r="F34" s="204">
        <v>45107</v>
      </c>
      <c r="G34" s="205">
        <v>28873</v>
      </c>
      <c r="H34" s="94">
        <v>16794</v>
      </c>
      <c r="I34" s="87">
        <v>95</v>
      </c>
      <c r="J34" s="238">
        <v>592733</v>
      </c>
      <c r="K34" s="238">
        <v>15811821</v>
      </c>
      <c r="L34" s="238">
        <v>10923949</v>
      </c>
      <c r="M34" s="93">
        <v>1</v>
      </c>
      <c r="N34" s="239">
        <v>1</v>
      </c>
      <c r="O34" s="93"/>
      <c r="P34" s="90">
        <v>2246</v>
      </c>
      <c r="Q34" s="90">
        <v>14548</v>
      </c>
      <c r="R34" s="101">
        <v>31670</v>
      </c>
      <c r="S34" s="206">
        <v>641.84326042750024</v>
      </c>
      <c r="T34" s="222"/>
      <c r="U34" s="102">
        <v>0</v>
      </c>
    </row>
    <row r="35" spans="1:21" x14ac:dyDescent="0.45">
      <c r="A35" s="87" t="s">
        <v>122</v>
      </c>
      <c r="B35" s="87" t="s">
        <v>327</v>
      </c>
      <c r="C35" s="93">
        <v>45</v>
      </c>
      <c r="D35" s="87">
        <v>1386763456</v>
      </c>
      <c r="E35" s="204">
        <v>44743</v>
      </c>
      <c r="F35" s="204">
        <v>45107</v>
      </c>
      <c r="G35" s="205">
        <v>28591</v>
      </c>
      <c r="H35" s="94">
        <v>29022</v>
      </c>
      <c r="I35" s="87">
        <v>99</v>
      </c>
      <c r="J35" s="238">
        <v>878760</v>
      </c>
      <c r="K35" s="238">
        <v>15957387</v>
      </c>
      <c r="L35" s="238">
        <v>3997934</v>
      </c>
      <c r="M35" s="93">
        <v>1</v>
      </c>
      <c r="N35" s="239">
        <v>1</v>
      </c>
      <c r="O35" s="93"/>
      <c r="P35" s="90">
        <v>1993</v>
      </c>
      <c r="Q35" s="90">
        <v>27029</v>
      </c>
      <c r="R35" s="101" t="s">
        <v>328</v>
      </c>
      <c r="S35" s="206">
        <v>609.16702777146395</v>
      </c>
      <c r="T35" s="93" t="s">
        <v>64</v>
      </c>
      <c r="U35" s="102">
        <v>28591</v>
      </c>
    </row>
    <row r="36" spans="1:21" x14ac:dyDescent="0.45">
      <c r="A36" s="87" t="s">
        <v>123</v>
      </c>
      <c r="B36" s="87" t="s">
        <v>329</v>
      </c>
      <c r="C36" s="93">
        <v>19</v>
      </c>
      <c r="D36" s="87">
        <v>1811107410</v>
      </c>
      <c r="E36" s="204">
        <v>44927</v>
      </c>
      <c r="F36" s="204">
        <v>45291</v>
      </c>
      <c r="G36" s="205">
        <v>19777</v>
      </c>
      <c r="H36" s="94">
        <v>0</v>
      </c>
      <c r="I36" s="87">
        <v>69</v>
      </c>
      <c r="J36" s="238">
        <v>1624256</v>
      </c>
      <c r="K36" s="238">
        <v>16927135</v>
      </c>
      <c r="L36" s="238">
        <v>10259531</v>
      </c>
      <c r="M36" s="93">
        <v>1</v>
      </c>
      <c r="N36" s="239">
        <v>5</v>
      </c>
      <c r="O36" s="93">
        <v>5</v>
      </c>
      <c r="P36" s="90">
        <v>0</v>
      </c>
      <c r="Q36" s="90">
        <v>0</v>
      </c>
      <c r="R36" s="101" t="s">
        <v>330</v>
      </c>
      <c r="S36" s="206">
        <v>771.22</v>
      </c>
      <c r="T36" s="222"/>
      <c r="U36" s="102">
        <v>0</v>
      </c>
    </row>
    <row r="37" spans="1:21" x14ac:dyDescent="0.45">
      <c r="A37" s="87" t="s">
        <v>124</v>
      </c>
      <c r="B37" s="87" t="s">
        <v>331</v>
      </c>
      <c r="C37" s="93">
        <v>25</v>
      </c>
      <c r="D37" s="87">
        <v>1326146333</v>
      </c>
      <c r="E37" s="204">
        <v>44743</v>
      </c>
      <c r="F37" s="204">
        <v>45107</v>
      </c>
      <c r="G37" s="205">
        <v>16442</v>
      </c>
      <c r="H37" s="94">
        <v>14597</v>
      </c>
      <c r="I37" s="87">
        <v>50</v>
      </c>
      <c r="J37" s="238">
        <v>199768</v>
      </c>
      <c r="K37" s="238">
        <v>8761611</v>
      </c>
      <c r="L37" s="238">
        <v>4759478</v>
      </c>
      <c r="M37" s="93">
        <v>1</v>
      </c>
      <c r="N37" s="239">
        <v>1</v>
      </c>
      <c r="O37" s="93"/>
      <c r="P37" s="90">
        <v>500</v>
      </c>
      <c r="Q37" s="90">
        <v>14097</v>
      </c>
      <c r="R37" s="101" t="s">
        <v>332</v>
      </c>
      <c r="S37" s="206">
        <v>602.68294803935896</v>
      </c>
      <c r="T37" s="93" t="s">
        <v>64</v>
      </c>
      <c r="U37" s="102">
        <v>16442</v>
      </c>
    </row>
    <row r="38" spans="1:21" x14ac:dyDescent="0.45">
      <c r="A38" s="87" t="s">
        <v>125</v>
      </c>
      <c r="B38" s="87" t="s">
        <v>333</v>
      </c>
      <c r="C38" s="93">
        <v>19</v>
      </c>
      <c r="D38" s="87">
        <v>1336289966</v>
      </c>
      <c r="E38" s="204">
        <v>44927</v>
      </c>
      <c r="F38" s="204">
        <v>45291</v>
      </c>
      <c r="G38" s="205">
        <v>29330</v>
      </c>
      <c r="H38" s="94">
        <v>26884</v>
      </c>
      <c r="I38" s="87">
        <v>110</v>
      </c>
      <c r="J38" s="238">
        <v>747050</v>
      </c>
      <c r="K38" s="238">
        <v>21707917</v>
      </c>
      <c r="L38" s="238">
        <v>15036748</v>
      </c>
      <c r="M38" s="93">
        <v>1</v>
      </c>
      <c r="N38" s="239">
        <v>1</v>
      </c>
      <c r="O38" s="93"/>
      <c r="P38" s="90">
        <v>3901</v>
      </c>
      <c r="Q38" s="90">
        <v>22983</v>
      </c>
      <c r="R38" s="101" t="s">
        <v>334</v>
      </c>
      <c r="S38" s="206">
        <v>704.86</v>
      </c>
      <c r="T38" s="222"/>
      <c r="U38" s="102">
        <v>0</v>
      </c>
    </row>
    <row r="39" spans="1:21" x14ac:dyDescent="0.45">
      <c r="A39" s="87" t="s">
        <v>126</v>
      </c>
      <c r="B39" s="87" t="s">
        <v>335</v>
      </c>
      <c r="C39" s="93">
        <v>36</v>
      </c>
      <c r="D39" s="87">
        <v>1174674246</v>
      </c>
      <c r="E39" s="204">
        <v>44743</v>
      </c>
      <c r="F39" s="204">
        <v>45107</v>
      </c>
      <c r="G39" s="205">
        <v>6790</v>
      </c>
      <c r="H39" s="94">
        <v>6199</v>
      </c>
      <c r="I39" s="87">
        <v>20</v>
      </c>
      <c r="J39" s="238">
        <v>309306</v>
      </c>
      <c r="K39" s="238">
        <v>4900828</v>
      </c>
      <c r="L39" s="238">
        <v>2803762</v>
      </c>
      <c r="M39" s="93">
        <v>1</v>
      </c>
      <c r="N39" s="239">
        <v>1</v>
      </c>
      <c r="O39" s="93"/>
      <c r="P39" s="90">
        <v>0</v>
      </c>
      <c r="Q39" s="90">
        <v>6199</v>
      </c>
      <c r="R39" s="101" t="s">
        <v>336</v>
      </c>
      <c r="S39" s="206">
        <v>709.00579418760265</v>
      </c>
      <c r="T39" s="93" t="s">
        <v>64</v>
      </c>
      <c r="U39" s="102">
        <v>6790</v>
      </c>
    </row>
    <row r="40" spans="1:21" x14ac:dyDescent="0.45">
      <c r="A40" s="87" t="s">
        <v>127</v>
      </c>
      <c r="B40" s="87" t="s">
        <v>337</v>
      </c>
      <c r="C40" s="93">
        <v>45</v>
      </c>
      <c r="D40" s="87">
        <v>1770524928</v>
      </c>
      <c r="E40" s="204">
        <v>44927</v>
      </c>
      <c r="F40" s="204">
        <v>45291</v>
      </c>
      <c r="G40" s="205">
        <v>10794</v>
      </c>
      <c r="H40" s="94">
        <v>1727</v>
      </c>
      <c r="I40" s="87">
        <v>32</v>
      </c>
      <c r="J40" s="238">
        <v>1661933</v>
      </c>
      <c r="K40" s="238">
        <v>8903477</v>
      </c>
      <c r="L40" s="238">
        <v>4549207</v>
      </c>
      <c r="M40" s="93">
        <v>1</v>
      </c>
      <c r="N40" s="239">
        <v>1</v>
      </c>
      <c r="O40" s="93"/>
      <c r="P40" s="90">
        <v>0</v>
      </c>
      <c r="Q40" s="90">
        <v>1727</v>
      </c>
      <c r="R40" s="101"/>
      <c r="S40" s="206">
        <v>771.21824834643292</v>
      </c>
      <c r="T40" s="222"/>
      <c r="U40" s="102">
        <v>0</v>
      </c>
    </row>
    <row r="41" spans="1:21" x14ac:dyDescent="0.45">
      <c r="A41" s="87" t="s">
        <v>128</v>
      </c>
      <c r="B41" s="87" t="s">
        <v>338</v>
      </c>
      <c r="C41" s="93">
        <v>50</v>
      </c>
      <c r="D41" s="87">
        <v>1861533648</v>
      </c>
      <c r="E41" s="204">
        <v>44743</v>
      </c>
      <c r="F41" s="204">
        <v>45107</v>
      </c>
      <c r="G41" s="205">
        <v>25654</v>
      </c>
      <c r="H41" s="94">
        <v>23623</v>
      </c>
      <c r="I41" s="87">
        <v>115</v>
      </c>
      <c r="J41" s="238">
        <v>1432105</v>
      </c>
      <c r="K41" s="238">
        <v>14998884</v>
      </c>
      <c r="L41" s="238">
        <v>6967160</v>
      </c>
      <c r="M41" s="93">
        <v>1</v>
      </c>
      <c r="N41" s="239">
        <v>1</v>
      </c>
      <c r="O41" s="93"/>
      <c r="P41" s="90">
        <v>15002</v>
      </c>
      <c r="Q41" s="90">
        <v>8621</v>
      </c>
      <c r="R41" s="101" t="s">
        <v>339</v>
      </c>
      <c r="S41" s="206">
        <v>637.77538587689526</v>
      </c>
      <c r="T41" s="222"/>
      <c r="U41" s="102">
        <v>0</v>
      </c>
    </row>
    <row r="42" spans="1:21" x14ac:dyDescent="0.45">
      <c r="A42" s="87" t="s">
        <v>129</v>
      </c>
      <c r="B42" s="87" t="s">
        <v>340</v>
      </c>
      <c r="C42" s="93">
        <v>56</v>
      </c>
      <c r="D42" s="87">
        <v>1770659153</v>
      </c>
      <c r="E42" s="204">
        <v>44927</v>
      </c>
      <c r="F42" s="204">
        <v>45291</v>
      </c>
      <c r="G42" s="205">
        <v>25201</v>
      </c>
      <c r="H42" s="94">
        <v>18262</v>
      </c>
      <c r="I42" s="87">
        <v>75</v>
      </c>
      <c r="J42" s="238">
        <v>380995</v>
      </c>
      <c r="K42" s="238">
        <v>18362917</v>
      </c>
      <c r="L42" s="238">
        <v>10497135</v>
      </c>
      <c r="M42" s="93">
        <v>1</v>
      </c>
      <c r="N42" s="239">
        <v>1</v>
      </c>
      <c r="O42" s="93"/>
      <c r="P42" s="90">
        <v>2226</v>
      </c>
      <c r="Q42" s="90">
        <v>16036</v>
      </c>
      <c r="R42" s="101" t="s">
        <v>316</v>
      </c>
      <c r="S42" s="206">
        <v>771.22</v>
      </c>
      <c r="T42" s="93" t="s">
        <v>64</v>
      </c>
      <c r="U42" s="102">
        <v>25201</v>
      </c>
    </row>
    <row r="43" spans="1:21" x14ac:dyDescent="0.45">
      <c r="A43" s="87" t="s">
        <v>130</v>
      </c>
      <c r="B43" s="87" t="s">
        <v>341</v>
      </c>
      <c r="C43" s="93">
        <v>4</v>
      </c>
      <c r="D43" s="100">
        <v>1427006485</v>
      </c>
      <c r="E43" s="204">
        <v>44896</v>
      </c>
      <c r="F43" s="204">
        <v>45260</v>
      </c>
      <c r="G43" s="205">
        <v>41066</v>
      </c>
      <c r="H43" s="94">
        <v>28389</v>
      </c>
      <c r="I43" s="87">
        <v>126</v>
      </c>
      <c r="J43" s="238">
        <v>41136</v>
      </c>
      <c r="K43" s="238">
        <v>19667257</v>
      </c>
      <c r="L43" s="238">
        <v>14953848</v>
      </c>
      <c r="M43" s="93">
        <v>1</v>
      </c>
      <c r="N43" s="239">
        <v>1</v>
      </c>
      <c r="O43" s="93"/>
      <c r="P43" s="90">
        <v>7936</v>
      </c>
      <c r="Q43" s="90">
        <v>20453</v>
      </c>
      <c r="R43" s="101"/>
      <c r="S43" s="206"/>
      <c r="T43" s="222"/>
    </row>
    <row r="44" spans="1:21" x14ac:dyDescent="0.45">
      <c r="A44" s="87" t="s">
        <v>131</v>
      </c>
      <c r="B44" s="87" t="s">
        <v>342</v>
      </c>
      <c r="C44" s="93">
        <v>19</v>
      </c>
      <c r="D44" s="100">
        <v>1891872883</v>
      </c>
      <c r="E44" s="204">
        <v>44927</v>
      </c>
      <c r="F44" s="204">
        <v>45291</v>
      </c>
      <c r="G44" s="205">
        <v>21427</v>
      </c>
      <c r="H44" s="94">
        <v>0</v>
      </c>
      <c r="I44" s="87">
        <v>89</v>
      </c>
      <c r="J44" s="238">
        <v>1491124</v>
      </c>
      <c r="K44" s="238">
        <v>26081470</v>
      </c>
      <c r="L44" s="238">
        <v>12461625</v>
      </c>
      <c r="M44" s="93">
        <v>1</v>
      </c>
      <c r="N44" s="239">
        <v>5</v>
      </c>
      <c r="O44" s="93">
        <v>5</v>
      </c>
      <c r="P44" s="90">
        <v>0</v>
      </c>
      <c r="Q44" s="90">
        <v>0</v>
      </c>
      <c r="R44" s="101"/>
      <c r="S44" s="206"/>
      <c r="T44" s="222"/>
    </row>
    <row r="45" spans="1:21" x14ac:dyDescent="0.45">
      <c r="A45" s="87" t="s">
        <v>132</v>
      </c>
      <c r="B45" s="87" t="s">
        <v>343</v>
      </c>
      <c r="C45" s="93">
        <v>37</v>
      </c>
      <c r="D45" s="87">
        <v>1619947090</v>
      </c>
      <c r="E45" s="204">
        <v>44743</v>
      </c>
      <c r="F45" s="204">
        <v>45107</v>
      </c>
      <c r="G45" s="205">
        <v>37592</v>
      </c>
      <c r="H45" s="94">
        <v>15349</v>
      </c>
      <c r="I45" s="87">
        <v>93</v>
      </c>
      <c r="J45" s="238">
        <v>1583088</v>
      </c>
      <c r="K45" s="238">
        <v>17001084</v>
      </c>
      <c r="L45" s="238">
        <v>2657666</v>
      </c>
      <c r="M45" s="93">
        <v>1</v>
      </c>
      <c r="N45" s="239">
        <v>1</v>
      </c>
      <c r="O45" s="93"/>
      <c r="P45" s="90">
        <v>3637</v>
      </c>
      <c r="Q45" s="90">
        <v>11712</v>
      </c>
      <c r="R45" s="101" t="s">
        <v>344</v>
      </c>
      <c r="S45" s="206">
        <v>704.86</v>
      </c>
      <c r="T45" s="222"/>
      <c r="U45" s="102">
        <v>0</v>
      </c>
    </row>
    <row r="46" spans="1:21" x14ac:dyDescent="0.45">
      <c r="A46" s="87" t="s">
        <v>133</v>
      </c>
      <c r="B46" s="87" t="s">
        <v>345</v>
      </c>
      <c r="C46" s="93">
        <v>19</v>
      </c>
      <c r="D46" s="87">
        <v>1952348518</v>
      </c>
      <c r="E46" s="204">
        <v>44927</v>
      </c>
      <c r="F46" s="204">
        <v>45291</v>
      </c>
      <c r="G46" s="205">
        <v>21017</v>
      </c>
      <c r="H46" s="94">
        <v>268</v>
      </c>
      <c r="I46" s="87">
        <v>115</v>
      </c>
      <c r="J46" s="238">
        <v>1398893</v>
      </c>
      <c r="K46" s="238">
        <v>26797692</v>
      </c>
      <c r="L46" s="238">
        <v>12113978</v>
      </c>
      <c r="M46" s="93">
        <v>1</v>
      </c>
      <c r="N46" s="239">
        <v>1</v>
      </c>
      <c r="O46" s="93"/>
      <c r="P46" s="90">
        <v>0</v>
      </c>
      <c r="Q46" s="90">
        <v>268</v>
      </c>
      <c r="R46" s="101" t="s">
        <v>346</v>
      </c>
      <c r="S46" s="206">
        <v>771.22</v>
      </c>
      <c r="T46" s="222"/>
      <c r="U46" s="102">
        <v>0</v>
      </c>
    </row>
    <row r="47" spans="1:21" x14ac:dyDescent="0.45">
      <c r="A47" s="87" t="s">
        <v>134</v>
      </c>
      <c r="B47" s="87" t="s">
        <v>347</v>
      </c>
      <c r="C47" s="93">
        <v>19</v>
      </c>
      <c r="D47" s="87">
        <v>1770639809</v>
      </c>
      <c r="E47" s="204">
        <v>44927</v>
      </c>
      <c r="F47" s="204">
        <v>45291</v>
      </c>
      <c r="G47" s="205">
        <v>37605</v>
      </c>
      <c r="H47" s="94">
        <v>0</v>
      </c>
      <c r="I47" s="87">
        <v>125</v>
      </c>
      <c r="J47" s="238">
        <v>1436589</v>
      </c>
      <c r="K47" s="238">
        <v>45817921</v>
      </c>
      <c r="L47" s="238">
        <v>21449408</v>
      </c>
      <c r="M47" s="93">
        <v>1</v>
      </c>
      <c r="N47" s="239">
        <v>5</v>
      </c>
      <c r="O47" s="93">
        <v>5</v>
      </c>
      <c r="P47" s="90">
        <v>0</v>
      </c>
      <c r="Q47" s="90">
        <v>0</v>
      </c>
      <c r="R47" s="101">
        <v>39528</v>
      </c>
      <c r="S47" s="206">
        <v>771.22</v>
      </c>
      <c r="T47" s="222"/>
      <c r="U47" s="102">
        <v>0</v>
      </c>
    </row>
    <row r="48" spans="1:21" x14ac:dyDescent="0.45">
      <c r="A48" s="87" t="s">
        <v>135</v>
      </c>
      <c r="B48" s="87" t="s">
        <v>348</v>
      </c>
      <c r="C48" s="93">
        <v>37</v>
      </c>
      <c r="D48" s="87">
        <v>1114091055</v>
      </c>
      <c r="E48" s="204">
        <v>44743</v>
      </c>
      <c r="F48" s="204">
        <v>45107</v>
      </c>
      <c r="G48" s="205">
        <v>6133</v>
      </c>
      <c r="H48" s="94">
        <v>5007</v>
      </c>
      <c r="I48" s="87">
        <v>20</v>
      </c>
      <c r="J48" s="238">
        <v>557425</v>
      </c>
      <c r="K48" s="238">
        <v>8021986</v>
      </c>
      <c r="L48" s="238">
        <v>4222708</v>
      </c>
      <c r="M48" s="93">
        <v>1</v>
      </c>
      <c r="N48" s="239">
        <v>1</v>
      </c>
      <c r="O48" s="93"/>
      <c r="P48" s="90">
        <v>3999</v>
      </c>
      <c r="Q48" s="90">
        <v>1008</v>
      </c>
      <c r="R48" s="101" t="s">
        <v>349</v>
      </c>
      <c r="S48" s="206">
        <v>771.22</v>
      </c>
      <c r="T48" s="222"/>
      <c r="U48" s="102">
        <v>0</v>
      </c>
    </row>
    <row r="49" spans="1:21" x14ac:dyDescent="0.45">
      <c r="A49" s="87" t="s">
        <v>136</v>
      </c>
      <c r="B49" s="87" t="s">
        <v>350</v>
      </c>
      <c r="C49" s="93">
        <v>15</v>
      </c>
      <c r="D49" s="87">
        <v>1669734653</v>
      </c>
      <c r="E49" s="204">
        <v>44927</v>
      </c>
      <c r="F49" s="204">
        <v>45291</v>
      </c>
      <c r="G49" s="205">
        <v>19748</v>
      </c>
      <c r="H49" s="94">
        <v>14738</v>
      </c>
      <c r="I49" s="87">
        <v>125</v>
      </c>
      <c r="J49" s="238">
        <v>598940</v>
      </c>
      <c r="K49" s="238">
        <v>13522598</v>
      </c>
      <c r="L49" s="238">
        <v>8951360</v>
      </c>
      <c r="M49" s="93">
        <v>1</v>
      </c>
      <c r="N49" s="239">
        <v>1</v>
      </c>
      <c r="O49" s="93"/>
      <c r="P49" s="90">
        <v>2764</v>
      </c>
      <c r="Q49" s="90">
        <v>11974</v>
      </c>
      <c r="R49" s="101">
        <v>41163</v>
      </c>
      <c r="S49" s="206">
        <v>771.22</v>
      </c>
      <c r="T49" s="93" t="s">
        <v>64</v>
      </c>
      <c r="U49" s="102">
        <v>19748</v>
      </c>
    </row>
    <row r="50" spans="1:21" x14ac:dyDescent="0.45">
      <c r="A50" s="87" t="s">
        <v>137</v>
      </c>
      <c r="B50" s="87" t="s">
        <v>186</v>
      </c>
      <c r="C50" s="93">
        <v>38</v>
      </c>
      <c r="D50" s="87">
        <v>1285677518</v>
      </c>
      <c r="E50" s="204">
        <v>44743</v>
      </c>
      <c r="F50" s="204">
        <v>45107</v>
      </c>
      <c r="G50" s="205">
        <v>10353</v>
      </c>
      <c r="H50" s="94">
        <v>5191</v>
      </c>
      <c r="I50" s="87">
        <v>30</v>
      </c>
      <c r="J50" s="238">
        <v>593148</v>
      </c>
      <c r="K50" s="238">
        <v>13327102</v>
      </c>
      <c r="L50" s="238">
        <v>7709443</v>
      </c>
      <c r="M50" s="93">
        <v>1</v>
      </c>
      <c r="N50" s="239">
        <v>1</v>
      </c>
      <c r="O50" s="93"/>
      <c r="P50" s="90">
        <v>1401</v>
      </c>
      <c r="Q50" s="90">
        <v>3790</v>
      </c>
      <c r="R50" s="101">
        <v>35144</v>
      </c>
      <c r="S50" s="206">
        <v>771.22</v>
      </c>
      <c r="T50" s="222"/>
      <c r="U50" s="102">
        <v>0</v>
      </c>
    </row>
    <row r="51" spans="1:21" x14ac:dyDescent="0.45">
      <c r="A51" s="87" t="s">
        <v>138</v>
      </c>
      <c r="B51" s="87" t="s">
        <v>351</v>
      </c>
      <c r="C51" s="93">
        <v>19</v>
      </c>
      <c r="D51" s="87">
        <v>1710174818</v>
      </c>
      <c r="E51" s="204">
        <v>44743</v>
      </c>
      <c r="F51" s="204">
        <v>45107</v>
      </c>
      <c r="G51" s="205">
        <v>16060</v>
      </c>
      <c r="H51" s="94">
        <v>0</v>
      </c>
      <c r="I51" s="87">
        <v>44</v>
      </c>
      <c r="J51" s="238">
        <v>240097</v>
      </c>
      <c r="K51" s="238">
        <v>13959097</v>
      </c>
      <c r="L51" s="238">
        <v>6239243</v>
      </c>
      <c r="M51" s="93">
        <v>1</v>
      </c>
      <c r="N51" s="239">
        <v>5</v>
      </c>
      <c r="O51" s="93">
        <v>5</v>
      </c>
      <c r="P51" s="90">
        <v>0</v>
      </c>
      <c r="Q51" s="90">
        <v>0</v>
      </c>
      <c r="R51" s="101" t="s">
        <v>352</v>
      </c>
      <c r="S51" s="206">
        <v>771.22</v>
      </c>
      <c r="T51" s="222"/>
      <c r="U51" s="102">
        <v>0</v>
      </c>
    </row>
    <row r="52" spans="1:21" x14ac:dyDescent="0.45">
      <c r="A52" s="87" t="s">
        <v>139</v>
      </c>
      <c r="B52" s="87" t="s">
        <v>353</v>
      </c>
      <c r="C52" s="93">
        <v>41</v>
      </c>
      <c r="D52" s="87">
        <v>1710066634</v>
      </c>
      <c r="E52" s="204">
        <v>44743</v>
      </c>
      <c r="F52" s="204">
        <v>45107</v>
      </c>
      <c r="G52" s="205">
        <v>87960</v>
      </c>
      <c r="H52" s="94">
        <v>78616</v>
      </c>
      <c r="I52" s="87">
        <v>345</v>
      </c>
      <c r="J52" s="238">
        <v>319595</v>
      </c>
      <c r="K52" s="238">
        <v>56342637</v>
      </c>
      <c r="L52" s="238">
        <v>8453034</v>
      </c>
      <c r="M52" s="93">
        <v>1</v>
      </c>
      <c r="N52" s="239">
        <v>1</v>
      </c>
      <c r="O52" s="93"/>
      <c r="P52" s="90">
        <v>9810</v>
      </c>
      <c r="Q52" s="90">
        <v>68806</v>
      </c>
      <c r="R52" s="101" t="s">
        <v>354</v>
      </c>
      <c r="S52" s="206">
        <v>771.22</v>
      </c>
      <c r="T52" s="222"/>
      <c r="U52" s="102">
        <v>0</v>
      </c>
    </row>
    <row r="53" spans="1:21" x14ac:dyDescent="0.45">
      <c r="A53" s="87" t="s">
        <v>140</v>
      </c>
      <c r="B53" s="87" t="s">
        <v>355</v>
      </c>
      <c r="C53" s="93">
        <v>43</v>
      </c>
      <c r="D53" s="87">
        <v>1447724646</v>
      </c>
      <c r="E53" s="204">
        <v>44743</v>
      </c>
      <c r="F53" s="204">
        <v>45107</v>
      </c>
      <c r="G53" s="205">
        <v>8526</v>
      </c>
      <c r="H53" s="94">
        <v>0</v>
      </c>
      <c r="I53" s="87">
        <v>24</v>
      </c>
      <c r="J53" s="238">
        <v>355905</v>
      </c>
      <c r="K53" s="238">
        <v>16400635</v>
      </c>
      <c r="L53" s="238">
        <v>1393136</v>
      </c>
      <c r="M53" s="93">
        <v>1</v>
      </c>
      <c r="N53" s="239">
        <v>5</v>
      </c>
      <c r="O53" s="93">
        <v>5</v>
      </c>
      <c r="P53" s="90">
        <v>0</v>
      </c>
      <c r="Q53" s="90">
        <v>0</v>
      </c>
      <c r="R53" s="101">
        <v>40801</v>
      </c>
      <c r="S53" s="206">
        <v>771.22</v>
      </c>
      <c r="T53" s="222"/>
      <c r="U53" s="102">
        <v>0</v>
      </c>
    </row>
    <row r="54" spans="1:21" x14ac:dyDescent="0.45">
      <c r="A54" s="87" t="s">
        <v>141</v>
      </c>
      <c r="B54" s="87" t="s">
        <v>356</v>
      </c>
      <c r="C54" s="93">
        <v>32</v>
      </c>
      <c r="D54" s="87">
        <v>1326234022</v>
      </c>
      <c r="E54" s="204">
        <v>44743</v>
      </c>
      <c r="F54" s="204">
        <v>45107</v>
      </c>
      <c r="G54" s="205">
        <v>4852</v>
      </c>
      <c r="H54" s="94">
        <v>3919</v>
      </c>
      <c r="I54" s="87">
        <v>16</v>
      </c>
      <c r="J54" s="238">
        <v>81944</v>
      </c>
      <c r="K54" s="238">
        <v>4389321</v>
      </c>
      <c r="L54" s="238">
        <v>2060049</v>
      </c>
      <c r="M54" s="93">
        <v>1</v>
      </c>
      <c r="N54" s="239">
        <v>1</v>
      </c>
      <c r="O54" s="222"/>
      <c r="P54" s="90">
        <v>2001</v>
      </c>
      <c r="Q54" s="90">
        <v>1918</v>
      </c>
      <c r="R54" s="101" t="s">
        <v>357</v>
      </c>
      <c r="S54" s="206">
        <v>771.22</v>
      </c>
      <c r="T54" s="93" t="s">
        <v>64</v>
      </c>
      <c r="U54" s="102">
        <v>4852</v>
      </c>
    </row>
    <row r="55" spans="1:21" x14ac:dyDescent="0.45">
      <c r="A55" s="87" t="s">
        <v>142</v>
      </c>
      <c r="B55" s="94" t="s">
        <v>358</v>
      </c>
      <c r="C55" s="240">
        <v>41</v>
      </c>
      <c r="D55" s="243">
        <v>1386252112</v>
      </c>
      <c r="E55" s="204">
        <v>44743</v>
      </c>
      <c r="F55" s="204">
        <v>45107</v>
      </c>
      <c r="G55" s="205">
        <v>34620</v>
      </c>
      <c r="H55" s="94">
        <v>14878</v>
      </c>
      <c r="I55" s="87">
        <v>142</v>
      </c>
      <c r="J55" s="238">
        <v>316538</v>
      </c>
      <c r="K55" s="238">
        <v>14375008</v>
      </c>
      <c r="L55" s="238">
        <v>12293962</v>
      </c>
      <c r="M55" s="93">
        <v>1</v>
      </c>
      <c r="N55" s="239">
        <v>1</v>
      </c>
      <c r="O55" s="222"/>
      <c r="P55" s="90">
        <v>3757</v>
      </c>
      <c r="Q55" s="90">
        <v>11121</v>
      </c>
      <c r="R55" s="101"/>
      <c r="S55" s="206">
        <v>636.04</v>
      </c>
      <c r="T55" s="222"/>
      <c r="U55" s="102">
        <v>0</v>
      </c>
    </row>
    <row r="56" spans="1:21" x14ac:dyDescent="0.45">
      <c r="A56" s="87" t="s">
        <v>143</v>
      </c>
      <c r="B56" s="87" t="s">
        <v>359</v>
      </c>
      <c r="C56" s="93">
        <v>37</v>
      </c>
      <c r="D56" s="87">
        <v>1538142369</v>
      </c>
      <c r="E56" s="204">
        <v>44835</v>
      </c>
      <c r="F56" s="204">
        <v>45199</v>
      </c>
      <c r="G56" s="205">
        <v>29037</v>
      </c>
      <c r="H56" s="94">
        <v>17150</v>
      </c>
      <c r="I56" s="87">
        <v>100</v>
      </c>
      <c r="J56" s="238">
        <v>1701471</v>
      </c>
      <c r="K56" s="238">
        <v>24994130</v>
      </c>
      <c r="L56" s="238">
        <v>14257819</v>
      </c>
      <c r="M56" s="93">
        <v>1</v>
      </c>
      <c r="N56" s="239">
        <v>1</v>
      </c>
      <c r="O56" s="222"/>
      <c r="P56" s="90">
        <v>2518</v>
      </c>
      <c r="Q56" s="90">
        <v>14632</v>
      </c>
      <c r="R56" s="101" t="s">
        <v>360</v>
      </c>
      <c r="S56" s="206">
        <v>771.22</v>
      </c>
      <c r="T56" s="222"/>
      <c r="U56" s="102">
        <v>0</v>
      </c>
    </row>
    <row r="57" spans="1:21" x14ac:dyDescent="0.45">
      <c r="A57" s="87" t="s">
        <v>144</v>
      </c>
      <c r="B57" s="87" t="s">
        <v>361</v>
      </c>
      <c r="C57" s="93">
        <v>37</v>
      </c>
      <c r="D57" s="87">
        <v>1184607418</v>
      </c>
      <c r="E57" s="204">
        <v>44835</v>
      </c>
      <c r="F57" s="204">
        <v>45199</v>
      </c>
      <c r="G57" s="205">
        <v>14333</v>
      </c>
      <c r="H57" s="94">
        <v>11141</v>
      </c>
      <c r="I57" s="87">
        <v>51</v>
      </c>
      <c r="J57" s="238">
        <v>764265</v>
      </c>
      <c r="K57" s="238">
        <v>11476113</v>
      </c>
      <c r="L57" s="238">
        <v>6945096</v>
      </c>
      <c r="M57" s="93">
        <v>1</v>
      </c>
      <c r="N57" s="239">
        <v>1</v>
      </c>
      <c r="O57" s="222"/>
      <c r="P57" s="90">
        <v>1373</v>
      </c>
      <c r="Q57" s="90">
        <v>9768</v>
      </c>
      <c r="R57" s="101" t="s">
        <v>362</v>
      </c>
      <c r="S57" s="206">
        <v>771.22</v>
      </c>
      <c r="T57" s="222"/>
      <c r="U57" s="102">
        <v>0</v>
      </c>
    </row>
    <row r="58" spans="1:21" x14ac:dyDescent="0.45">
      <c r="A58" s="87" t="s">
        <v>145</v>
      </c>
      <c r="B58" s="87" t="s">
        <v>363</v>
      </c>
      <c r="C58" s="93">
        <v>19</v>
      </c>
      <c r="D58" s="87">
        <v>1396031639</v>
      </c>
      <c r="E58" s="204">
        <v>44927</v>
      </c>
      <c r="F58" s="204">
        <v>45291</v>
      </c>
      <c r="G58" s="205">
        <v>6325</v>
      </c>
      <c r="H58" s="94">
        <v>0</v>
      </c>
      <c r="I58" s="87">
        <v>22</v>
      </c>
      <c r="J58" s="238">
        <v>444646</v>
      </c>
      <c r="K58" s="238">
        <v>6285801</v>
      </c>
      <c r="L58" s="238">
        <v>3363098</v>
      </c>
      <c r="M58" s="93">
        <v>1</v>
      </c>
      <c r="N58" s="239">
        <v>5</v>
      </c>
      <c r="O58" s="93">
        <v>5</v>
      </c>
      <c r="P58" s="90">
        <v>0</v>
      </c>
      <c r="Q58" s="90">
        <v>0</v>
      </c>
      <c r="R58" s="101">
        <v>41787</v>
      </c>
      <c r="S58" s="206">
        <v>771.22</v>
      </c>
      <c r="T58" s="222"/>
      <c r="U58" s="102">
        <v>0</v>
      </c>
    </row>
    <row r="59" spans="1:21" x14ac:dyDescent="0.45">
      <c r="A59" s="87" t="s">
        <v>146</v>
      </c>
      <c r="B59" s="87" t="s">
        <v>364</v>
      </c>
      <c r="C59" s="93">
        <v>54</v>
      </c>
      <c r="D59" s="87">
        <v>1235352618</v>
      </c>
      <c r="E59" s="204">
        <v>44743</v>
      </c>
      <c r="F59" s="204">
        <v>45107</v>
      </c>
      <c r="G59" s="205">
        <v>11752</v>
      </c>
      <c r="H59" s="94">
        <v>0</v>
      </c>
      <c r="I59" s="87">
        <v>35</v>
      </c>
      <c r="J59" s="238">
        <v>450718</v>
      </c>
      <c r="K59" s="238">
        <v>9622793</v>
      </c>
      <c r="L59" s="238">
        <v>6921294</v>
      </c>
      <c r="M59" s="93">
        <v>1</v>
      </c>
      <c r="N59" s="239">
        <v>5</v>
      </c>
      <c r="O59" s="93">
        <v>5</v>
      </c>
      <c r="P59" s="90">
        <v>0</v>
      </c>
      <c r="Q59" s="90">
        <v>0</v>
      </c>
      <c r="R59" s="101">
        <v>36826</v>
      </c>
      <c r="S59" s="206">
        <v>771.22</v>
      </c>
      <c r="T59" s="222"/>
      <c r="U59" s="102">
        <v>0</v>
      </c>
    </row>
    <row r="60" spans="1:21" x14ac:dyDescent="0.45">
      <c r="A60" s="87" t="s">
        <v>147</v>
      </c>
      <c r="B60" s="87" t="s">
        <v>365</v>
      </c>
      <c r="C60" s="93">
        <v>49</v>
      </c>
      <c r="D60" s="87">
        <v>1407938574</v>
      </c>
      <c r="E60" s="204">
        <v>44743</v>
      </c>
      <c r="F60" s="204">
        <v>45107</v>
      </c>
      <c r="G60" s="205">
        <v>9133</v>
      </c>
      <c r="H60" s="94">
        <v>5226</v>
      </c>
      <c r="I60" s="87">
        <v>27</v>
      </c>
      <c r="J60" s="238">
        <v>564264</v>
      </c>
      <c r="K60" s="238">
        <v>7406716</v>
      </c>
      <c r="L60" s="238">
        <v>3383923</v>
      </c>
      <c r="M60" s="93">
        <v>1</v>
      </c>
      <c r="N60" s="239">
        <v>1</v>
      </c>
      <c r="O60" s="222"/>
      <c r="P60" s="90">
        <v>320</v>
      </c>
      <c r="Q60" s="90">
        <v>4906</v>
      </c>
      <c r="R60" s="101" t="s">
        <v>366</v>
      </c>
      <c r="S60" s="206">
        <v>771.22</v>
      </c>
      <c r="T60" s="222"/>
      <c r="U60" s="102">
        <v>0</v>
      </c>
    </row>
    <row r="61" spans="1:21" x14ac:dyDescent="0.45">
      <c r="A61" s="87" t="s">
        <v>148</v>
      </c>
      <c r="B61" s="87" t="s">
        <v>367</v>
      </c>
      <c r="C61" s="93">
        <v>55</v>
      </c>
      <c r="D61" s="87">
        <v>1801887401</v>
      </c>
      <c r="E61" s="204">
        <v>44927</v>
      </c>
      <c r="F61" s="204">
        <v>45291</v>
      </c>
      <c r="G61" s="205">
        <v>18571</v>
      </c>
      <c r="H61" s="94">
        <v>5324</v>
      </c>
      <c r="I61" s="87">
        <v>68</v>
      </c>
      <c r="J61" s="238">
        <v>346434</v>
      </c>
      <c r="K61" s="238">
        <v>15705387</v>
      </c>
      <c r="L61" s="238">
        <v>9724629</v>
      </c>
      <c r="M61" s="93">
        <v>1</v>
      </c>
      <c r="N61" s="239">
        <v>1</v>
      </c>
      <c r="O61" s="222"/>
      <c r="P61" s="90">
        <v>4459</v>
      </c>
      <c r="Q61" s="90">
        <v>865</v>
      </c>
      <c r="R61" s="101" t="s">
        <v>368</v>
      </c>
      <c r="S61" s="206">
        <v>771.22</v>
      </c>
      <c r="T61" s="93" t="s">
        <v>64</v>
      </c>
      <c r="U61" s="102">
        <v>18571</v>
      </c>
    </row>
    <row r="62" spans="1:21" x14ac:dyDescent="0.45">
      <c r="A62" s="87" t="s">
        <v>149</v>
      </c>
      <c r="B62" s="87" t="s">
        <v>369</v>
      </c>
      <c r="C62" s="93">
        <v>14</v>
      </c>
      <c r="D62" s="87">
        <v>1831128602</v>
      </c>
      <c r="E62" s="204">
        <v>44743</v>
      </c>
      <c r="F62" s="204">
        <v>45107</v>
      </c>
      <c r="G62" s="205">
        <v>10252</v>
      </c>
      <c r="H62" s="94">
        <v>9207</v>
      </c>
      <c r="I62" s="87">
        <v>33</v>
      </c>
      <c r="J62" s="238">
        <v>47782</v>
      </c>
      <c r="K62" s="238">
        <v>5575935</v>
      </c>
      <c r="L62" s="238">
        <v>3124349</v>
      </c>
      <c r="M62" s="93">
        <v>1</v>
      </c>
      <c r="N62" s="239">
        <v>1</v>
      </c>
      <c r="O62" s="222"/>
      <c r="P62" s="90">
        <v>5604</v>
      </c>
      <c r="Q62" s="90">
        <v>3603</v>
      </c>
      <c r="R62" s="226"/>
      <c r="S62" s="206">
        <v>478.21</v>
      </c>
      <c r="T62" s="222"/>
      <c r="U62" s="102">
        <v>0</v>
      </c>
    </row>
    <row r="63" spans="1:21" x14ac:dyDescent="0.45">
      <c r="A63" s="85" t="s">
        <v>150</v>
      </c>
      <c r="B63" s="90" t="s">
        <v>370</v>
      </c>
      <c r="C63" s="91">
        <v>25</v>
      </c>
      <c r="D63" s="241">
        <v>1700963956</v>
      </c>
      <c r="E63" s="204">
        <v>44743</v>
      </c>
      <c r="F63" s="204">
        <v>45107</v>
      </c>
      <c r="G63" s="205">
        <v>7709</v>
      </c>
      <c r="H63" s="94">
        <v>6938</v>
      </c>
      <c r="I63" s="87">
        <v>22</v>
      </c>
      <c r="J63" s="238">
        <v>129317</v>
      </c>
      <c r="K63" s="238">
        <v>4828960</v>
      </c>
      <c r="L63" s="238">
        <v>3092040</v>
      </c>
      <c r="M63" s="93">
        <v>1</v>
      </c>
      <c r="N63" s="239">
        <v>1</v>
      </c>
      <c r="O63" s="222"/>
      <c r="P63" s="90">
        <v>136</v>
      </c>
      <c r="Q63" s="90">
        <v>6802</v>
      </c>
      <c r="R63" s="226"/>
      <c r="S63" s="206">
        <v>452.34999999999997</v>
      </c>
      <c r="T63" s="93" t="s">
        <v>64</v>
      </c>
      <c r="U63" s="102">
        <v>7709</v>
      </c>
    </row>
    <row r="64" spans="1:21" x14ac:dyDescent="0.45">
      <c r="A64" s="87" t="s">
        <v>151</v>
      </c>
      <c r="B64" s="87" t="s">
        <v>371</v>
      </c>
      <c r="C64" s="93">
        <v>29</v>
      </c>
      <c r="D64" s="87">
        <v>1295897395</v>
      </c>
      <c r="E64" s="204">
        <v>44743</v>
      </c>
      <c r="F64" s="204">
        <v>45107</v>
      </c>
      <c r="G64" s="205">
        <v>9422</v>
      </c>
      <c r="H64" s="94">
        <v>6271</v>
      </c>
      <c r="I64" s="87">
        <v>0</v>
      </c>
      <c r="J64" s="238">
        <v>890682</v>
      </c>
      <c r="K64" s="238">
        <v>9530765</v>
      </c>
      <c r="L64" s="238">
        <v>4991422</v>
      </c>
      <c r="M64" s="93">
        <v>1</v>
      </c>
      <c r="N64" s="239">
        <v>0</v>
      </c>
      <c r="O64" s="222"/>
      <c r="P64" s="90">
        <v>5353</v>
      </c>
      <c r="Q64" s="90">
        <v>918</v>
      </c>
      <c r="R64" s="101" t="s">
        <v>372</v>
      </c>
      <c r="S64" s="206">
        <v>771.22</v>
      </c>
      <c r="T64" s="93" t="s">
        <v>64</v>
      </c>
      <c r="U64" s="102">
        <v>9422</v>
      </c>
    </row>
    <row r="65" spans="1:21" x14ac:dyDescent="0.45">
      <c r="A65" s="87" t="s">
        <v>152</v>
      </c>
      <c r="B65" s="87" t="s">
        <v>373</v>
      </c>
      <c r="C65" s="93">
        <v>19</v>
      </c>
      <c r="D65" s="87">
        <v>1740268713</v>
      </c>
      <c r="E65" s="204">
        <v>44743</v>
      </c>
      <c r="F65" s="204">
        <v>45107</v>
      </c>
      <c r="G65" s="205">
        <v>8932</v>
      </c>
      <c r="H65" s="94">
        <v>63</v>
      </c>
      <c r="I65" s="87">
        <v>40</v>
      </c>
      <c r="J65" s="238">
        <v>866775</v>
      </c>
      <c r="K65" s="238">
        <v>12713116</v>
      </c>
      <c r="L65" s="238">
        <v>9107895</v>
      </c>
      <c r="M65" s="93">
        <v>1</v>
      </c>
      <c r="N65" s="239">
        <v>1</v>
      </c>
      <c r="O65" s="222"/>
      <c r="P65" s="90">
        <v>63</v>
      </c>
      <c r="Q65" s="90">
        <v>0</v>
      </c>
      <c r="R65" s="101" t="s">
        <v>374</v>
      </c>
      <c r="S65" s="206">
        <v>771.22</v>
      </c>
      <c r="T65" s="222"/>
      <c r="U65" s="102">
        <v>0</v>
      </c>
    </row>
    <row r="66" spans="1:21" x14ac:dyDescent="0.45">
      <c r="A66" s="87" t="s">
        <v>153</v>
      </c>
      <c r="B66" s="87" t="s">
        <v>375</v>
      </c>
      <c r="C66" s="93">
        <v>53</v>
      </c>
      <c r="D66" s="87">
        <v>1154404010</v>
      </c>
      <c r="E66" s="204">
        <v>44927</v>
      </c>
      <c r="F66" s="204">
        <v>45291</v>
      </c>
      <c r="G66" s="205">
        <v>4078</v>
      </c>
      <c r="H66" s="94">
        <v>3822</v>
      </c>
      <c r="I66" s="87">
        <v>13</v>
      </c>
      <c r="J66" s="238">
        <v>5607</v>
      </c>
      <c r="K66" s="238">
        <v>3325074</v>
      </c>
      <c r="L66" s="238">
        <v>2043345</v>
      </c>
      <c r="M66" s="93">
        <v>1</v>
      </c>
      <c r="N66" s="239">
        <v>1</v>
      </c>
      <c r="O66" s="222"/>
      <c r="P66" s="90">
        <v>421</v>
      </c>
      <c r="Q66" s="90">
        <v>3401</v>
      </c>
      <c r="R66" s="101">
        <v>42887</v>
      </c>
      <c r="S66" s="206">
        <v>771.22</v>
      </c>
      <c r="T66" s="93" t="s">
        <v>64</v>
      </c>
      <c r="U66" s="102">
        <v>4078</v>
      </c>
    </row>
    <row r="67" spans="1:21" x14ac:dyDescent="0.45">
      <c r="A67" s="87" t="s">
        <v>154</v>
      </c>
      <c r="B67" s="87" t="s">
        <v>314</v>
      </c>
      <c r="C67" s="93">
        <v>19</v>
      </c>
      <c r="D67" s="87">
        <v>1942281936</v>
      </c>
      <c r="E67" s="204">
        <v>44927</v>
      </c>
      <c r="F67" s="204">
        <v>45291</v>
      </c>
      <c r="G67" s="205">
        <v>3241</v>
      </c>
      <c r="H67" s="94">
        <v>695</v>
      </c>
      <c r="I67" s="87">
        <v>27</v>
      </c>
      <c r="J67" s="238">
        <v>237273</v>
      </c>
      <c r="K67" s="238">
        <v>6074593</v>
      </c>
      <c r="L67" s="238">
        <v>2961869</v>
      </c>
      <c r="M67" s="93">
        <v>1</v>
      </c>
      <c r="N67" s="239">
        <v>1</v>
      </c>
      <c r="O67" s="222"/>
      <c r="P67" s="90">
        <v>0</v>
      </c>
      <c r="Q67" s="90">
        <v>695</v>
      </c>
      <c r="R67" s="101" t="s">
        <v>376</v>
      </c>
      <c r="S67" s="206">
        <v>771.22</v>
      </c>
      <c r="T67" s="222"/>
      <c r="U67" s="102">
        <v>0</v>
      </c>
    </row>
    <row r="68" spans="1:21" hidden="1" x14ac:dyDescent="0.45">
      <c r="C68" s="102"/>
      <c r="G68" s="244"/>
      <c r="H68" s="244"/>
      <c r="I68" s="244"/>
      <c r="J68" s="244"/>
      <c r="K68" s="244"/>
      <c r="L68" s="244"/>
      <c r="M68" s="102"/>
      <c r="N68" s="102"/>
      <c r="O68" s="102"/>
      <c r="P68" s="102"/>
      <c r="Q68" s="102"/>
      <c r="T68" s="102"/>
      <c r="U68" s="102">
        <v>312392</v>
      </c>
    </row>
    <row r="72" spans="1:21" hidden="1" x14ac:dyDescent="0.45">
      <c r="A72" s="245"/>
    </row>
  </sheetData>
  <sheetProtection sheet="1" objects="1" scenarios="1" selectLockedCells="1"/>
  <phoneticPr fontId="14" type="noConversion"/>
  <dataValidations count="2">
    <dataValidation type="whole" errorStyle="warning" operator="greaterThanOrEqual" allowBlank="1" showInputMessage="1" showErrorMessage="1" error="Total SNF days are less than Medi-Cal SNF days." sqref="P3:P4" xr:uid="{FA69BC90-4542-4B80-AF42-85B312A451C3}">
      <formula1>Q3</formula1>
    </dataValidation>
    <dataValidation type="whole" errorStyle="warning" operator="lessThanOrEqual" allowBlank="1" showInputMessage="1" showErrorMessage="1" error="Medi-Cal days are less than Total days." sqref="Q3:Q4" xr:uid="{3AA4C284-405E-48BA-B05A-784F864924B3}">
      <formula1>P3</formula1>
    </dataValidation>
  </dataValidation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5E2B-FC99-41A8-9A94-96CC78F89B70}">
  <sheetPr codeName="Sheet5"/>
  <dimension ref="A1:Q69"/>
  <sheetViews>
    <sheetView topLeftCell="F1" workbookViewId="0">
      <selection activeCell="M2" sqref="M2"/>
    </sheetView>
  </sheetViews>
  <sheetFormatPr defaultColWidth="8.7265625" defaultRowHeight="16" x14ac:dyDescent="0.45"/>
  <cols>
    <col min="1" max="1" width="14.7265625" style="2" customWidth="1"/>
    <col min="2" max="2" width="15.26953125" style="2" customWidth="1"/>
    <col min="3" max="3" width="15.7265625" style="2" customWidth="1"/>
    <col min="4" max="4" width="16.7265625" style="2" customWidth="1"/>
    <col min="5" max="5" width="20.453125" style="2" bestFit="1" customWidth="1"/>
    <col min="6" max="6" width="19.54296875" style="2" customWidth="1"/>
    <col min="7" max="7" width="16" style="2" customWidth="1"/>
    <col min="8" max="8" width="21.54296875" style="2" customWidth="1"/>
    <col min="9" max="9" width="16.453125" style="2" customWidth="1"/>
    <col min="10" max="10" width="17" style="2" customWidth="1"/>
    <col min="11" max="11" width="18.26953125" style="2" customWidth="1"/>
    <col min="12" max="12" width="16.26953125" style="2" customWidth="1"/>
    <col min="13" max="13" width="8.7265625" style="2" bestFit="1" customWidth="1"/>
    <col min="14" max="14" width="10.7265625" style="2" customWidth="1"/>
    <col min="15" max="15" width="9.7265625" style="2" customWidth="1"/>
    <col min="16" max="16" width="11.453125" style="2" customWidth="1"/>
    <col min="17" max="17" width="10.26953125" style="2" customWidth="1"/>
    <col min="18" max="16384" width="8.7265625" style="2"/>
  </cols>
  <sheetData>
    <row r="1" spans="1:17" ht="48" x14ac:dyDescent="0.45">
      <c r="A1" s="27" t="s">
        <v>377</v>
      </c>
      <c r="B1" s="28" t="s">
        <v>378</v>
      </c>
      <c r="C1" s="28" t="s">
        <v>379</v>
      </c>
      <c r="D1" s="29" t="s">
        <v>380</v>
      </c>
      <c r="E1" s="30" t="s">
        <v>381</v>
      </c>
      <c r="F1" s="27" t="s">
        <v>382</v>
      </c>
      <c r="G1" s="27" t="s">
        <v>383</v>
      </c>
      <c r="H1" s="31" t="s">
        <v>384</v>
      </c>
      <c r="I1" s="27" t="s">
        <v>385</v>
      </c>
      <c r="J1" s="31" t="s">
        <v>386</v>
      </c>
      <c r="K1" s="32" t="s">
        <v>387</v>
      </c>
      <c r="L1" s="31" t="s">
        <v>388</v>
      </c>
      <c r="M1" s="31" t="s">
        <v>389</v>
      </c>
      <c r="N1" s="31" t="s">
        <v>390</v>
      </c>
      <c r="O1" s="31" t="s">
        <v>391</v>
      </c>
      <c r="P1" s="31" t="s">
        <v>392</v>
      </c>
      <c r="Q1" s="31" t="s">
        <v>246</v>
      </c>
    </row>
    <row r="2" spans="1:17" x14ac:dyDescent="0.45">
      <c r="A2" s="33">
        <f>Data!J4*Data!M4</f>
        <v>2725660</v>
      </c>
      <c r="B2" s="34">
        <f>Data!K4*Data!M4</f>
        <v>43398919</v>
      </c>
      <c r="C2" s="34">
        <f>B2-A2</f>
        <v>40673259</v>
      </c>
      <c r="D2" s="35">
        <f>C2*'SWB Ratio'!$B$9/0.9</f>
        <v>25245457.266443603</v>
      </c>
      <c r="E2" s="36">
        <f>C2-D2</f>
        <v>15427801.733556397</v>
      </c>
      <c r="F2" s="36">
        <f t="shared" ref="F2" si="0">(A2*1)</f>
        <v>2725660</v>
      </c>
      <c r="G2" s="34" t="e">
        <f>D2*Data!#REF!</f>
        <v>#REF!</v>
      </c>
      <c r="H2" s="37" t="e">
        <f>(E2-(Data!I4*'License Fees'!$A$5))*Data!#REF!</f>
        <v>#REF!</v>
      </c>
      <c r="I2" s="37" t="e">
        <f>(H2+(IF(Data!C4=19,'License Fees'!$B$5+'License Fees'!$D$5,'License Fees'!$B$5)*Data!I4))</f>
        <v>#REF!</v>
      </c>
      <c r="J2" s="34" t="e">
        <f>(F2+G2+I2)/Data!G4</f>
        <v>#REF!</v>
      </c>
      <c r="K2" s="38">
        <f>'SB525 Add-Ons'!$B$5</f>
        <v>1386763456</v>
      </c>
      <c r="L2" s="39" t="e">
        <f>J2+K2</f>
        <v>#REF!</v>
      </c>
      <c r="M2" s="25">
        <f>IF(Data!N4=1,(Data!H4/Data!G4),0)</f>
        <v>0.98021660980468484</v>
      </c>
      <c r="N2" s="40" t="e">
        <f>IF(M2&gt;=20%,L2,"")</f>
        <v>#REF!</v>
      </c>
      <c r="O2" s="40" t="str">
        <f>IF(Data!T4="Y",IF(L2&gt;=$Q$65,$Q$65,L2),"")</f>
        <v/>
      </c>
      <c r="P2" s="40" t="str">
        <f>IF(O2="","",$Q$68)</f>
        <v/>
      </c>
      <c r="Q2" s="40" t="e">
        <f>IF(L2&lt;$Q$65,L2,$Q$65)</f>
        <v>#REF!</v>
      </c>
    </row>
    <row r="3" spans="1:17" x14ac:dyDescent="0.45">
      <c r="A3" s="33">
        <f>Data!J5*Data!M5</f>
        <v>92809</v>
      </c>
      <c r="B3" s="34">
        <f>Data!K5*Data!M5</f>
        <v>25298156</v>
      </c>
      <c r="C3" s="34">
        <f t="shared" ref="C3:C62" si="1">B3-A3</f>
        <v>25205347</v>
      </c>
      <c r="D3" s="35">
        <f>C3*'SWB Ratio'!$B$9/0.9</f>
        <v>15644689.563095558</v>
      </c>
      <c r="E3" s="36">
        <f t="shared" ref="E3:E62" si="2">C3-D3</f>
        <v>9560657.4369044416</v>
      </c>
      <c r="F3" s="36">
        <f t="shared" ref="F3:F62" si="3">(A3*1)</f>
        <v>92809</v>
      </c>
      <c r="G3" s="34" t="e">
        <f>D3*Data!#REF!</f>
        <v>#REF!</v>
      </c>
      <c r="H3" s="37" t="e">
        <f>(E3-(Data!I5*'License Fees'!$A$5))*Data!#REF!</f>
        <v>#REF!</v>
      </c>
      <c r="I3" s="37" t="e">
        <f>(H3+(IF(Data!C5=19,'License Fees'!$B$5+'License Fees'!$D$5,'License Fees'!$B$5)*Data!I5))</f>
        <v>#REF!</v>
      </c>
      <c r="J3" s="34" t="e">
        <f>(F3+G3+I3)/Data!G5</f>
        <v>#REF!</v>
      </c>
      <c r="K3" s="38">
        <f>'SB525 Add-Ons'!$B$5</f>
        <v>1386763456</v>
      </c>
      <c r="L3" s="39" t="e">
        <f t="shared" ref="L3:L62" si="4">J3+K3</f>
        <v>#REF!</v>
      </c>
      <c r="M3" s="25">
        <f>IF(Data!N5=1,(Data!H5/Data!G5),0)</f>
        <v>0.94228392127032423</v>
      </c>
      <c r="N3" s="40" t="e">
        <f t="shared" ref="N3:N62" si="5">IF(M3&gt;=20%,L3,"")</f>
        <v>#REF!</v>
      </c>
      <c r="O3" s="40" t="str">
        <f>IF(Data!T5="Y",IF(L3&gt;=$Q$65,$Q$65,L3),"")</f>
        <v/>
      </c>
      <c r="P3" s="40" t="str">
        <f t="shared" ref="P3:P62" si="6">IF(O3="","",$Q$68)</f>
        <v/>
      </c>
      <c r="Q3" s="40" t="e">
        <f t="shared" ref="Q3:Q62" si="7">IF(L3&lt;$Q$65,L3,$Q$65)</f>
        <v>#REF!</v>
      </c>
    </row>
    <row r="4" spans="1:17" x14ac:dyDescent="0.45">
      <c r="A4" s="33">
        <f>Data!J6*Data!M6</f>
        <v>383591</v>
      </c>
      <c r="B4" s="34">
        <f>Data!K6*Data!M6</f>
        <v>11419428</v>
      </c>
      <c r="C4" s="34">
        <f t="shared" si="1"/>
        <v>11035837</v>
      </c>
      <c r="D4" s="35">
        <f>C4*'SWB Ratio'!$B$9/0.9</f>
        <v>6849826.1076875394</v>
      </c>
      <c r="E4" s="36">
        <f t="shared" si="2"/>
        <v>4186010.8923124606</v>
      </c>
      <c r="F4" s="36">
        <f t="shared" si="3"/>
        <v>383591</v>
      </c>
      <c r="G4" s="34" t="e">
        <f>D4*Data!#REF!</f>
        <v>#REF!</v>
      </c>
      <c r="H4" s="37" t="e">
        <f>(E4-(Data!I6*'License Fees'!$A$5))*Data!#REF!</f>
        <v>#REF!</v>
      </c>
      <c r="I4" s="37" t="e">
        <f>(H4+(IF(Data!C6=19,'License Fees'!$B$5+'License Fees'!$D$5,'License Fees'!$B$5)*Data!I6))</f>
        <v>#REF!</v>
      </c>
      <c r="J4" s="34" t="e">
        <f>(F4+G4+I4)/Data!G6</f>
        <v>#REF!</v>
      </c>
      <c r="K4" s="38">
        <f>'SB525 Add-Ons'!$B$5</f>
        <v>1386763456</v>
      </c>
      <c r="L4" s="39" t="e">
        <f t="shared" si="4"/>
        <v>#REF!</v>
      </c>
      <c r="M4" s="25">
        <f>IF(Data!N6=1,(Data!H6/Data!G6),0)</f>
        <v>0.93220978493271289</v>
      </c>
      <c r="N4" s="40" t="e">
        <f t="shared" si="5"/>
        <v>#REF!</v>
      </c>
      <c r="O4" s="40" t="e">
        <f>IF(Data!T6="Y",IF(L4&gt;=$Q$65,$Q$65,L4),"")</f>
        <v>#REF!</v>
      </c>
      <c r="P4" s="40" t="e">
        <f t="shared" si="6"/>
        <v>#REF!</v>
      </c>
      <c r="Q4" s="40" t="e">
        <f t="shared" si="7"/>
        <v>#REF!</v>
      </c>
    </row>
    <row r="5" spans="1:17" x14ac:dyDescent="0.45">
      <c r="A5" s="33">
        <f>Data!J7*Data!M7</f>
        <v>163467</v>
      </c>
      <c r="B5" s="34">
        <f>Data!K7*Data!M7</f>
        <v>4323812</v>
      </c>
      <c r="C5" s="34">
        <f t="shared" si="1"/>
        <v>4160345</v>
      </c>
      <c r="D5" s="35">
        <f>C5*'SWB Ratio'!$B$9/0.9</f>
        <v>2582281.6881027976</v>
      </c>
      <c r="E5" s="36">
        <f t="shared" si="2"/>
        <v>1578063.3118972024</v>
      </c>
      <c r="F5" s="36">
        <f t="shared" si="3"/>
        <v>163467</v>
      </c>
      <c r="G5" s="34" t="e">
        <f>D5*Data!#REF!</f>
        <v>#REF!</v>
      </c>
      <c r="H5" s="37" t="e">
        <f>(E5-(Data!I7*'License Fees'!$A$5))*Data!#REF!</f>
        <v>#REF!</v>
      </c>
      <c r="I5" s="37" t="e">
        <f>(H5+(IF(Data!C7=19,'License Fees'!$B$5+'License Fees'!$D$5,'License Fees'!$B$5)*Data!I7))</f>
        <v>#REF!</v>
      </c>
      <c r="J5" s="34" t="e">
        <f>(F5+G5+I5)/Data!G7</f>
        <v>#REF!</v>
      </c>
      <c r="K5" s="38">
        <f>'SB525 Add-Ons'!$B$5</f>
        <v>1386763456</v>
      </c>
      <c r="L5" s="39" t="e">
        <f t="shared" si="4"/>
        <v>#REF!</v>
      </c>
      <c r="M5" s="25">
        <f>IF(Data!N7=1,(Data!H7/Data!G7),0)</f>
        <v>0.90478087649402394</v>
      </c>
      <c r="N5" s="40" t="e">
        <f t="shared" si="5"/>
        <v>#REF!</v>
      </c>
      <c r="O5" s="40" t="e">
        <f>IF(Data!T7="Y",IF(L5&gt;=$Q$65,$Q$65,L5),"")</f>
        <v>#REF!</v>
      </c>
      <c r="P5" s="40" t="e">
        <f t="shared" si="6"/>
        <v>#REF!</v>
      </c>
      <c r="Q5" s="40" t="e">
        <f t="shared" si="7"/>
        <v>#REF!</v>
      </c>
    </row>
    <row r="6" spans="1:17" x14ac:dyDescent="0.45">
      <c r="A6" s="33">
        <f>Data!J8*Data!M8</f>
        <v>720848</v>
      </c>
      <c r="B6" s="34">
        <f>Data!K8*Data!M8</f>
        <v>38404552</v>
      </c>
      <c r="C6" s="34">
        <f t="shared" si="1"/>
        <v>37683704</v>
      </c>
      <c r="D6" s="35">
        <f>C6*'SWB Ratio'!$B$9/0.9</f>
        <v>23389872.421418454</v>
      </c>
      <c r="E6" s="36">
        <f t="shared" si="2"/>
        <v>14293831.578581546</v>
      </c>
      <c r="F6" s="36">
        <f t="shared" si="3"/>
        <v>720848</v>
      </c>
      <c r="G6" s="34" t="e">
        <f>D6*Data!#REF!</f>
        <v>#REF!</v>
      </c>
      <c r="H6" s="37" t="e">
        <f>(E6-(Data!I8*'License Fees'!$A$5))*Data!#REF!</f>
        <v>#REF!</v>
      </c>
      <c r="I6" s="37" t="e">
        <f>(H6+(IF(Data!C8=19,'License Fees'!$B$5+'License Fees'!$D$5,'License Fees'!$B$5)*Data!I8))</f>
        <v>#REF!</v>
      </c>
      <c r="J6" s="34" t="e">
        <f>(F6+G6+I6)/Data!G8</f>
        <v>#REF!</v>
      </c>
      <c r="K6" s="38">
        <f>'SB525 Add-Ons'!$B$5</f>
        <v>1386763456</v>
      </c>
      <c r="L6" s="39" t="e">
        <f t="shared" si="4"/>
        <v>#REF!</v>
      </c>
      <c r="M6" s="25">
        <f>IF(Data!N8=1,(Data!H8/Data!G8),0)</f>
        <v>0.63295534232986128</v>
      </c>
      <c r="N6" s="40" t="e">
        <f t="shared" si="5"/>
        <v>#REF!</v>
      </c>
      <c r="O6" s="40" t="str">
        <f>IF(Data!T8="Y",IF(L6&gt;=$Q$65,$Q$65,L6),"")</f>
        <v/>
      </c>
      <c r="P6" s="40" t="str">
        <f t="shared" si="6"/>
        <v/>
      </c>
      <c r="Q6" s="40" t="e">
        <f t="shared" si="7"/>
        <v>#REF!</v>
      </c>
    </row>
    <row r="7" spans="1:17" x14ac:dyDescent="0.45">
      <c r="A7" s="33">
        <f>Data!J9*Data!M9</f>
        <v>669964</v>
      </c>
      <c r="B7" s="34">
        <f>Data!K9*Data!M9</f>
        <v>11541084</v>
      </c>
      <c r="C7" s="34">
        <f t="shared" si="1"/>
        <v>10871120</v>
      </c>
      <c r="D7" s="35">
        <f>C7*'SWB Ratio'!$B$9/0.9</f>
        <v>6747588.0257930746</v>
      </c>
      <c r="E7" s="36">
        <f t="shared" si="2"/>
        <v>4123531.9742069254</v>
      </c>
      <c r="F7" s="36">
        <f t="shared" si="3"/>
        <v>669964</v>
      </c>
      <c r="G7" s="34" t="e">
        <f>D7*Data!#REF!</f>
        <v>#REF!</v>
      </c>
      <c r="H7" s="37" t="e">
        <f>(E7-(Data!I9*'License Fees'!$A$5))*Data!#REF!</f>
        <v>#REF!</v>
      </c>
      <c r="I7" s="37" t="e">
        <f>(H7+(IF(Data!C9=19,'License Fees'!$B$5+'License Fees'!$D$5,'License Fees'!$B$5)*Data!I9))</f>
        <v>#REF!</v>
      </c>
      <c r="J7" s="34" t="e">
        <f>(F7+G7+I7)/Data!G9</f>
        <v>#REF!</v>
      </c>
      <c r="K7" s="38">
        <f>'SB525 Add-Ons'!$B$5</f>
        <v>1386763456</v>
      </c>
      <c r="L7" s="39" t="e">
        <f t="shared" si="4"/>
        <v>#REF!</v>
      </c>
      <c r="M7" s="25">
        <f>IF(Data!N9=1,(Data!H9/Data!G9),0)</f>
        <v>0.39735004986465311</v>
      </c>
      <c r="N7" s="40" t="e">
        <f t="shared" si="5"/>
        <v>#REF!</v>
      </c>
      <c r="O7" s="40" t="str">
        <f>IF(Data!T9="Y",IF(L7&gt;=$Q$65,$Q$65,L7),"")</f>
        <v/>
      </c>
      <c r="P7" s="40" t="str">
        <f t="shared" si="6"/>
        <v/>
      </c>
      <c r="Q7" s="40" t="e">
        <f t="shared" si="7"/>
        <v>#REF!</v>
      </c>
    </row>
    <row r="8" spans="1:17" x14ac:dyDescent="0.45">
      <c r="A8" s="33" t="e">
        <f>Data!#REF!*Data!#REF!</f>
        <v>#REF!</v>
      </c>
      <c r="B8" s="34" t="e">
        <f>Data!#REF!*Data!#REF!</f>
        <v>#REF!</v>
      </c>
      <c r="C8" s="34" t="e">
        <f t="shared" si="1"/>
        <v>#REF!</v>
      </c>
      <c r="D8" s="35" t="e">
        <f>C8*'SWB Ratio'!$B$9/0.9</f>
        <v>#REF!</v>
      </c>
      <c r="E8" s="36" t="e">
        <f t="shared" si="2"/>
        <v>#REF!</v>
      </c>
      <c r="F8" s="36" t="e">
        <f t="shared" si="3"/>
        <v>#REF!</v>
      </c>
      <c r="G8" s="34" t="e">
        <f>D8*Data!#REF!</f>
        <v>#REF!</v>
      </c>
      <c r="H8" s="37" t="e">
        <f>(E8-(Data!#REF!*'License Fees'!$A$5))*Data!#REF!</f>
        <v>#REF!</v>
      </c>
      <c r="I8" s="37" t="e">
        <f>(H8+(IF(Data!#REF!=19,'License Fees'!$B$5+'License Fees'!$D$5,'License Fees'!$B$5)*Data!#REF!))</f>
        <v>#REF!</v>
      </c>
      <c r="J8" s="34" t="e">
        <f>(F8+G8+I8)/Data!#REF!</f>
        <v>#REF!</v>
      </c>
      <c r="K8" s="38">
        <f>'SB525 Add-Ons'!$B$5</f>
        <v>1386763456</v>
      </c>
      <c r="L8" s="39" t="e">
        <f t="shared" si="4"/>
        <v>#REF!</v>
      </c>
      <c r="M8" s="25" t="e">
        <f>IF(Data!#REF!=1,(Data!#REF!/Data!#REF!),0)</f>
        <v>#REF!</v>
      </c>
      <c r="N8" s="40" t="e">
        <f t="shared" si="5"/>
        <v>#REF!</v>
      </c>
      <c r="O8" s="40" t="e">
        <f>IF(Data!#REF!="Y",IF(L8&gt;=$Q$65,$Q$65,L8),"")</f>
        <v>#REF!</v>
      </c>
      <c r="P8" s="40" t="e">
        <f t="shared" si="6"/>
        <v>#REF!</v>
      </c>
      <c r="Q8" s="40" t="e">
        <f t="shared" si="7"/>
        <v>#REF!</v>
      </c>
    </row>
    <row r="9" spans="1:17" x14ac:dyDescent="0.45">
      <c r="A9" s="33">
        <f>Data!J11*Data!M11</f>
        <v>400329</v>
      </c>
      <c r="B9" s="34">
        <f>Data!K11*Data!M11</f>
        <v>13858178</v>
      </c>
      <c r="C9" s="34">
        <f t="shared" si="1"/>
        <v>13457849</v>
      </c>
      <c r="D9" s="35">
        <f>C9*'SWB Ratio'!$B$9/0.9</f>
        <v>8353143.0768247703</v>
      </c>
      <c r="E9" s="36">
        <f t="shared" si="2"/>
        <v>5104705.9231752297</v>
      </c>
      <c r="F9" s="36">
        <f t="shared" si="3"/>
        <v>400329</v>
      </c>
      <c r="G9" s="34" t="e">
        <f>D9*Data!#REF!</f>
        <v>#REF!</v>
      </c>
      <c r="H9" s="37" t="e">
        <f>(E9-(Data!I11*'License Fees'!$A$5))*Data!#REF!</f>
        <v>#REF!</v>
      </c>
      <c r="I9" s="37" t="e">
        <f>(H9+(IF(Data!C11=19,'License Fees'!$B$5+'License Fees'!$D$5,'License Fees'!$B$5)*Data!I11))</f>
        <v>#REF!</v>
      </c>
      <c r="J9" s="34" t="e">
        <f>(F9+G9+I9)/Data!G11</f>
        <v>#REF!</v>
      </c>
      <c r="K9" s="38">
        <f>'SB525 Add-Ons'!$B$5</f>
        <v>1386763456</v>
      </c>
      <c r="L9" s="39" t="e">
        <f t="shared" si="4"/>
        <v>#REF!</v>
      </c>
      <c r="M9" s="25">
        <f>IF(Data!N11=1,(Data!H11/Data!G11),0)</f>
        <v>0</v>
      </c>
      <c r="N9" s="40" t="str">
        <f t="shared" si="5"/>
        <v/>
      </c>
      <c r="O9" s="40" t="str">
        <f>IF(Data!T11="Y",IF(L9&gt;=$Q$65,$Q$65,L9),"")</f>
        <v/>
      </c>
      <c r="P9" s="40" t="str">
        <f t="shared" si="6"/>
        <v/>
      </c>
      <c r="Q9" s="40" t="e">
        <f t="shared" si="7"/>
        <v>#REF!</v>
      </c>
    </row>
    <row r="10" spans="1:17" x14ac:dyDescent="0.45">
      <c r="A10" s="33">
        <f>Data!J13*Data!M13</f>
        <v>546348</v>
      </c>
      <c r="B10" s="34">
        <f>Data!K13*Data!M13</f>
        <v>29007939</v>
      </c>
      <c r="C10" s="34">
        <f t="shared" si="1"/>
        <v>28461591</v>
      </c>
      <c r="D10" s="35">
        <f>C10*'SWB Ratio'!$B$9/0.9</f>
        <v>17665805.420841638</v>
      </c>
      <c r="E10" s="36">
        <f t="shared" si="2"/>
        <v>10795785.579158362</v>
      </c>
      <c r="F10" s="36">
        <f t="shared" si="3"/>
        <v>546348</v>
      </c>
      <c r="G10" s="34" t="e">
        <f>D10*Data!#REF!</f>
        <v>#REF!</v>
      </c>
      <c r="H10" s="37" t="e">
        <f>(E10-(Data!I13*'License Fees'!$A$5))*Data!#REF!</f>
        <v>#REF!</v>
      </c>
      <c r="I10" s="37" t="e">
        <f>(H10+(IF(Data!C13=19,'License Fees'!$B$5+'License Fees'!$D$5,'License Fees'!$B$5)*Data!I13))</f>
        <v>#REF!</v>
      </c>
      <c r="J10" s="34" t="e">
        <f>(F10+G10+I10)/Data!G13</f>
        <v>#REF!</v>
      </c>
      <c r="K10" s="38">
        <f>'SB525 Add-Ons'!$B$5</f>
        <v>1386763456</v>
      </c>
      <c r="L10" s="39" t="e">
        <f t="shared" si="4"/>
        <v>#REF!</v>
      </c>
      <c r="M10" s="25">
        <f>IF(Data!N13=1,(Data!H13/Data!G13),0)</f>
        <v>0</v>
      </c>
      <c r="N10" s="40" t="str">
        <f t="shared" si="5"/>
        <v/>
      </c>
      <c r="O10" s="40" t="str">
        <f>IF(Data!T13="Y",IF(L10&gt;=$Q$65,$Q$65,L10),"")</f>
        <v/>
      </c>
      <c r="P10" s="40" t="str">
        <f t="shared" si="6"/>
        <v/>
      </c>
      <c r="Q10" s="40" t="e">
        <f t="shared" si="7"/>
        <v>#REF!</v>
      </c>
    </row>
    <row r="11" spans="1:17" x14ac:dyDescent="0.45">
      <c r="A11" s="33">
        <f>Data!J14*Data!M14</f>
        <v>594946</v>
      </c>
      <c r="B11" s="34">
        <f>Data!K14*Data!M14</f>
        <v>7935109</v>
      </c>
      <c r="C11" s="34">
        <f t="shared" si="1"/>
        <v>7340163</v>
      </c>
      <c r="D11" s="35">
        <f>C11*'SWB Ratio'!$B$9/0.9</f>
        <v>4555960.7442627233</v>
      </c>
      <c r="E11" s="36">
        <f t="shared" si="2"/>
        <v>2784202.2557372767</v>
      </c>
      <c r="F11" s="36">
        <f t="shared" si="3"/>
        <v>594946</v>
      </c>
      <c r="G11" s="34" t="e">
        <f>D11*Data!#REF!</f>
        <v>#REF!</v>
      </c>
      <c r="H11" s="37" t="e">
        <f>(E11-(Data!I14*'License Fees'!$A$5))*Data!#REF!</f>
        <v>#REF!</v>
      </c>
      <c r="I11" s="37" t="e">
        <f>(H11+(IF(Data!C14=19,'License Fees'!$B$5+'License Fees'!$D$5,'License Fees'!$B$5)*Data!I14))</f>
        <v>#REF!</v>
      </c>
      <c r="J11" s="34" t="e">
        <f>(F11+G11+I11)/Data!G14</f>
        <v>#REF!</v>
      </c>
      <c r="K11" s="38">
        <f>'SB525 Add-Ons'!$B$5</f>
        <v>1386763456</v>
      </c>
      <c r="L11" s="39" t="e">
        <f t="shared" si="4"/>
        <v>#REF!</v>
      </c>
      <c r="M11" s="25">
        <f>IF(Data!N14=1,(Data!H14/Data!G14),0)</f>
        <v>0.92928560327410248</v>
      </c>
      <c r="N11" s="40" t="e">
        <f t="shared" si="5"/>
        <v>#REF!</v>
      </c>
      <c r="O11" s="40" t="str">
        <f>IF(Data!T14="Y",IF(L11&gt;=$Q$65,$Q$65,L11),"")</f>
        <v/>
      </c>
      <c r="P11" s="40" t="str">
        <f t="shared" si="6"/>
        <v/>
      </c>
      <c r="Q11" s="40" t="e">
        <f t="shared" si="7"/>
        <v>#REF!</v>
      </c>
    </row>
    <row r="12" spans="1:17" x14ac:dyDescent="0.45">
      <c r="A12" s="33">
        <f>Data!J15*Data!M15</f>
        <v>328948</v>
      </c>
      <c r="B12" s="34">
        <f>Data!K15*Data!M15</f>
        <v>14834839</v>
      </c>
      <c r="C12" s="34">
        <f t="shared" si="1"/>
        <v>14505891</v>
      </c>
      <c r="D12" s="35">
        <f>C12*'SWB Ratio'!$B$9/0.9</f>
        <v>9003651.5478680693</v>
      </c>
      <c r="E12" s="36">
        <f t="shared" si="2"/>
        <v>5502239.4521319307</v>
      </c>
      <c r="F12" s="36">
        <f t="shared" si="3"/>
        <v>328948</v>
      </c>
      <c r="G12" s="34" t="e">
        <f>D12*Data!#REF!</f>
        <v>#REF!</v>
      </c>
      <c r="H12" s="37" t="e">
        <f>(E12-(Data!I15*'License Fees'!$A$5))*Data!#REF!</f>
        <v>#REF!</v>
      </c>
      <c r="I12" s="37" t="e">
        <f>(H12+(IF(Data!C15=19,'License Fees'!$B$5+'License Fees'!$D$5,'License Fees'!$B$5)*Data!I15))</f>
        <v>#REF!</v>
      </c>
      <c r="J12" s="34" t="e">
        <f>(F12+G12+I12)/Data!G15</f>
        <v>#REF!</v>
      </c>
      <c r="K12" s="38">
        <f>'SB525 Add-Ons'!$B$5</f>
        <v>1386763456</v>
      </c>
      <c r="L12" s="39" t="e">
        <f t="shared" si="4"/>
        <v>#REF!</v>
      </c>
      <c r="M12" s="25">
        <f>IF(Data!N15=1,(Data!H15/Data!G15),0)</f>
        <v>0</v>
      </c>
      <c r="N12" s="40" t="str">
        <f t="shared" si="5"/>
        <v/>
      </c>
      <c r="O12" s="40" t="str">
        <f>IF(Data!T15="Y",IF(L12&gt;=$Q$65,$Q$65,L12),"")</f>
        <v/>
      </c>
      <c r="P12" s="40" t="str">
        <f t="shared" si="6"/>
        <v/>
      </c>
      <c r="Q12" s="40" t="e">
        <f t="shared" si="7"/>
        <v>#REF!</v>
      </c>
    </row>
    <row r="13" spans="1:17" x14ac:dyDescent="0.45">
      <c r="A13" s="33">
        <f>Data!J16*Data!M16</f>
        <v>372009</v>
      </c>
      <c r="B13" s="34">
        <f>Data!K16*Data!M16</f>
        <v>6732826</v>
      </c>
      <c r="C13" s="34">
        <f t="shared" si="1"/>
        <v>6360817</v>
      </c>
      <c r="D13" s="35">
        <f>C13*'SWB Ratio'!$B$9/0.9</f>
        <v>3948091.146400833</v>
      </c>
      <c r="E13" s="36">
        <f t="shared" si="2"/>
        <v>2412725.853599167</v>
      </c>
      <c r="F13" s="36">
        <f t="shared" si="3"/>
        <v>372009</v>
      </c>
      <c r="G13" s="34" t="e">
        <f>D13*Data!#REF!</f>
        <v>#REF!</v>
      </c>
      <c r="H13" s="37" t="e">
        <f>(E13-(Data!I16*'License Fees'!$A$5))*Data!#REF!</f>
        <v>#REF!</v>
      </c>
      <c r="I13" s="37" t="e">
        <f>(H13+(IF(Data!C16=19,'License Fees'!$B$5+'License Fees'!$D$5,'License Fees'!$B$5)*Data!I16))</f>
        <v>#REF!</v>
      </c>
      <c r="J13" s="34" t="e">
        <f>(F13+G13+I13)/Data!G16</f>
        <v>#REF!</v>
      </c>
      <c r="K13" s="38">
        <f>'SB525 Add-Ons'!$B$5</f>
        <v>1386763456</v>
      </c>
      <c r="L13" s="39" t="e">
        <f t="shared" si="4"/>
        <v>#REF!</v>
      </c>
      <c r="M13" s="25">
        <f>IF(Data!N16=1,(Data!H16/Data!G16),0)</f>
        <v>0</v>
      </c>
      <c r="N13" s="40" t="str">
        <f t="shared" si="5"/>
        <v/>
      </c>
      <c r="O13" s="40" t="str">
        <f>IF(Data!T16="Y",IF(L13&gt;=$Q$65,$Q$65,L13),"")</f>
        <v/>
      </c>
      <c r="P13" s="40" t="str">
        <f t="shared" si="6"/>
        <v/>
      </c>
      <c r="Q13" s="40" t="e">
        <f t="shared" si="7"/>
        <v>#REF!</v>
      </c>
    </row>
    <row r="14" spans="1:17" x14ac:dyDescent="0.45">
      <c r="A14" s="33">
        <f>Data!J17*Data!M17</f>
        <v>153925</v>
      </c>
      <c r="B14" s="34">
        <f>Data!K17*Data!M17</f>
        <v>10324765</v>
      </c>
      <c r="C14" s="34">
        <f t="shared" si="1"/>
        <v>10170840</v>
      </c>
      <c r="D14" s="35">
        <f>C14*'SWB Ratio'!$B$9/0.9</f>
        <v>6312931.7123035369</v>
      </c>
      <c r="E14" s="36">
        <f t="shared" si="2"/>
        <v>3857908.2876964631</v>
      </c>
      <c r="F14" s="36">
        <f t="shared" si="3"/>
        <v>153925</v>
      </c>
      <c r="G14" s="34" t="e">
        <f>D14*Data!#REF!</f>
        <v>#REF!</v>
      </c>
      <c r="H14" s="37" t="e">
        <f>(E14-(Data!I17*'License Fees'!$A$5))*Data!#REF!</f>
        <v>#REF!</v>
      </c>
      <c r="I14" s="37" t="e">
        <f>(H14+(IF(Data!C17=19,'License Fees'!$B$5+'License Fees'!$D$5,'License Fees'!$B$5)*Data!I17))</f>
        <v>#REF!</v>
      </c>
      <c r="J14" s="34" t="e">
        <f>(F14+G14+I14)/Data!G17</f>
        <v>#REF!</v>
      </c>
      <c r="K14" s="38">
        <f>'SB525 Add-Ons'!$B$5</f>
        <v>1386763456</v>
      </c>
      <c r="L14" s="39" t="e">
        <f t="shared" si="4"/>
        <v>#REF!</v>
      </c>
      <c r="M14" s="25">
        <f>IF(Data!N17=1,(Data!H17/Data!G17),0)</f>
        <v>0.92925777800862208</v>
      </c>
      <c r="N14" s="40" t="e">
        <f t="shared" si="5"/>
        <v>#REF!</v>
      </c>
      <c r="O14" s="40" t="e">
        <f>IF(Data!T17="Y",IF(L14&gt;=$Q$65,$Q$65,L14),"")</f>
        <v>#REF!</v>
      </c>
      <c r="P14" s="40" t="e">
        <f t="shared" si="6"/>
        <v>#REF!</v>
      </c>
      <c r="Q14" s="40" t="e">
        <f t="shared" si="7"/>
        <v>#REF!</v>
      </c>
    </row>
    <row r="15" spans="1:17" x14ac:dyDescent="0.45">
      <c r="A15" s="33">
        <f>Data!J18*Data!M18</f>
        <v>0</v>
      </c>
      <c r="B15" s="34">
        <f>Data!K18*Data!M18</f>
        <v>61208980</v>
      </c>
      <c r="C15" s="34">
        <f t="shared" si="1"/>
        <v>61208980</v>
      </c>
      <c r="D15" s="35">
        <f>C15*'SWB Ratio'!$B$9/0.9</f>
        <v>37991759.866417423</v>
      </c>
      <c r="E15" s="36">
        <f t="shared" si="2"/>
        <v>23217220.133582577</v>
      </c>
      <c r="F15" s="36">
        <f t="shared" si="3"/>
        <v>0</v>
      </c>
      <c r="G15" s="34" t="e">
        <f>D15*Data!#REF!</f>
        <v>#REF!</v>
      </c>
      <c r="H15" s="37" t="e">
        <f>(E15-(Data!I18*'License Fees'!$A$5))*Data!#REF!</f>
        <v>#REF!</v>
      </c>
      <c r="I15" s="37" t="e">
        <f>(H15+(IF(Data!C18=19,'License Fees'!$B$5+'License Fees'!$D$5,'License Fees'!$B$5)*Data!I18))</f>
        <v>#REF!</v>
      </c>
      <c r="J15" s="34" t="e">
        <f>(F15+G15+I15)/Data!G18</f>
        <v>#REF!</v>
      </c>
      <c r="K15" s="38">
        <f>'SB525 Add-Ons'!$B$5</f>
        <v>1386763456</v>
      </c>
      <c r="L15" s="39" t="e">
        <f t="shared" si="4"/>
        <v>#REF!</v>
      </c>
      <c r="M15" s="25">
        <f>IF(Data!N18=1,(Data!H18/Data!G18),0)</f>
        <v>0</v>
      </c>
      <c r="N15" s="40" t="str">
        <f t="shared" si="5"/>
        <v/>
      </c>
      <c r="O15" s="40" t="str">
        <f>IF(Data!T18="Y",IF(L15&gt;=$Q$65,$Q$65,L15),"")</f>
        <v/>
      </c>
      <c r="P15" s="40" t="str">
        <f t="shared" si="6"/>
        <v/>
      </c>
      <c r="Q15" s="40" t="e">
        <f t="shared" si="7"/>
        <v>#REF!</v>
      </c>
    </row>
    <row r="16" spans="1:17" x14ac:dyDescent="0.45">
      <c r="A16" s="33">
        <f>Data!J19*Data!M19</f>
        <v>383223</v>
      </c>
      <c r="B16" s="34">
        <f>Data!K19*Data!M19</f>
        <v>12238036</v>
      </c>
      <c r="C16" s="34">
        <f t="shared" si="1"/>
        <v>11854813</v>
      </c>
      <c r="D16" s="35">
        <f>C16*'SWB Ratio'!$B$9/0.9</f>
        <v>7358155.7601071531</v>
      </c>
      <c r="E16" s="36">
        <f t="shared" si="2"/>
        <v>4496657.2398928469</v>
      </c>
      <c r="F16" s="36">
        <f t="shared" si="3"/>
        <v>383223</v>
      </c>
      <c r="G16" s="34" t="e">
        <f>D16*Data!#REF!</f>
        <v>#REF!</v>
      </c>
      <c r="H16" s="37" t="e">
        <f>(E16-(Data!I19*'License Fees'!$A$5))*Data!#REF!</f>
        <v>#REF!</v>
      </c>
      <c r="I16" s="37" t="e">
        <f>(H16+(IF(Data!C19=19,'License Fees'!$B$5+'License Fees'!$D$5,'License Fees'!$B$5)*Data!I19))</f>
        <v>#REF!</v>
      </c>
      <c r="J16" s="34" t="e">
        <f>(F16+G16+I16)/Data!G19</f>
        <v>#REF!</v>
      </c>
      <c r="K16" s="38">
        <f>'SB525 Add-Ons'!$B$5</f>
        <v>1386763456</v>
      </c>
      <c r="L16" s="39" t="e">
        <f t="shared" si="4"/>
        <v>#REF!</v>
      </c>
      <c r="M16" s="25">
        <f>IF(Data!N19=1,(Data!H19/Data!G19),0)</f>
        <v>0</v>
      </c>
      <c r="N16" s="40" t="str">
        <f t="shared" si="5"/>
        <v/>
      </c>
      <c r="O16" s="40" t="str">
        <f>IF(Data!T19="Y",IF(L16&gt;=$Q$65,$Q$65,L16),"")</f>
        <v/>
      </c>
      <c r="P16" s="40" t="str">
        <f t="shared" si="6"/>
        <v/>
      </c>
      <c r="Q16" s="40" t="e">
        <f t="shared" si="7"/>
        <v>#REF!</v>
      </c>
    </row>
    <row r="17" spans="1:17" x14ac:dyDescent="0.45">
      <c r="A17" s="33">
        <f>Data!J20*Data!M20</f>
        <v>113686</v>
      </c>
      <c r="B17" s="34">
        <f>Data!K20*Data!M20</f>
        <v>7781723</v>
      </c>
      <c r="C17" s="34">
        <f t="shared" si="1"/>
        <v>7668037</v>
      </c>
      <c r="D17" s="35">
        <f>C17*'SWB Ratio'!$B$9/0.9</f>
        <v>4759468.6327202944</v>
      </c>
      <c r="E17" s="36">
        <f t="shared" si="2"/>
        <v>2908568.3672797056</v>
      </c>
      <c r="F17" s="36">
        <f t="shared" si="3"/>
        <v>113686</v>
      </c>
      <c r="G17" s="34" t="e">
        <f>D17*Data!#REF!</f>
        <v>#REF!</v>
      </c>
      <c r="H17" s="37" t="e">
        <f>(E17-(Data!I20*'License Fees'!$A$5))*Data!#REF!</f>
        <v>#REF!</v>
      </c>
      <c r="I17" s="37" t="e">
        <f>(H17+(IF(Data!C20=19,'License Fees'!$B$5+'License Fees'!$D$5,'License Fees'!$B$5)*Data!I20))</f>
        <v>#REF!</v>
      </c>
      <c r="J17" s="34" t="e">
        <f>(F17+G17+I17)/Data!G20</f>
        <v>#REF!</v>
      </c>
      <c r="K17" s="38">
        <f>'SB525 Add-Ons'!$B$5</f>
        <v>1386763456</v>
      </c>
      <c r="L17" s="39" t="e">
        <f t="shared" si="4"/>
        <v>#REF!</v>
      </c>
      <c r="M17" s="25">
        <f>IF(Data!N20=1,(Data!H20/Data!G20),0)</f>
        <v>0.11362859097127223</v>
      </c>
      <c r="N17" s="40" t="str">
        <f t="shared" si="5"/>
        <v/>
      </c>
      <c r="O17" s="40" t="e">
        <f>IF(Data!T20="Y",IF(L17&gt;=$Q$65,$Q$65,L17),"")</f>
        <v>#REF!</v>
      </c>
      <c r="P17" s="40" t="e">
        <f t="shared" si="6"/>
        <v>#REF!</v>
      </c>
      <c r="Q17" s="40" t="e">
        <f t="shared" si="7"/>
        <v>#REF!</v>
      </c>
    </row>
    <row r="18" spans="1:17" x14ac:dyDescent="0.45">
      <c r="A18" s="33">
        <f>Data!J21*Data!M21</f>
        <v>550852</v>
      </c>
      <c r="B18" s="34">
        <f>Data!K21*Data!M21</f>
        <v>6025316</v>
      </c>
      <c r="C18" s="34">
        <f t="shared" si="1"/>
        <v>5474464</v>
      </c>
      <c r="D18" s="35">
        <f>C18*'SWB Ratio'!$B$9/0.9</f>
        <v>3397941.3100062604</v>
      </c>
      <c r="E18" s="36">
        <f t="shared" si="2"/>
        <v>2076522.6899937396</v>
      </c>
      <c r="F18" s="36">
        <f t="shared" si="3"/>
        <v>550852</v>
      </c>
      <c r="G18" s="34" t="e">
        <f>D18*Data!#REF!</f>
        <v>#REF!</v>
      </c>
      <c r="H18" s="37" t="e">
        <f>(E18-(Data!I21*'License Fees'!$A$5))*Data!#REF!</f>
        <v>#REF!</v>
      </c>
      <c r="I18" s="37" t="e">
        <f>(H18+(IF(Data!C21=19,'License Fees'!$B$5+'License Fees'!$D$5,'License Fees'!$B$5)*Data!I21))</f>
        <v>#REF!</v>
      </c>
      <c r="J18" s="34" t="e">
        <f>(F18+G18+I18)/Data!G21</f>
        <v>#REF!</v>
      </c>
      <c r="K18" s="38">
        <f>'SB525 Add-Ons'!$B$5</f>
        <v>1386763456</v>
      </c>
      <c r="L18" s="39" t="e">
        <f t="shared" si="4"/>
        <v>#REF!</v>
      </c>
      <c r="M18" s="25">
        <f>IF(Data!N21=1,(Data!H21/Data!G21),0)</f>
        <v>0.29715672676837723</v>
      </c>
      <c r="N18" s="40" t="e">
        <f t="shared" si="5"/>
        <v>#REF!</v>
      </c>
      <c r="O18" s="40" t="str">
        <f>IF(Data!T21="Y",IF(L18&gt;=$Q$65,$Q$65,L18),"")</f>
        <v/>
      </c>
      <c r="P18" s="40" t="str">
        <f t="shared" si="6"/>
        <v/>
      </c>
      <c r="Q18" s="40" t="e">
        <f t="shared" si="7"/>
        <v>#REF!</v>
      </c>
    </row>
    <row r="19" spans="1:17" x14ac:dyDescent="0.45">
      <c r="A19" s="33">
        <f>Data!J22*Data!M22</f>
        <v>136402</v>
      </c>
      <c r="B19" s="34">
        <f>Data!K22*Data!M22</f>
        <v>23707478</v>
      </c>
      <c r="C19" s="34">
        <f t="shared" si="1"/>
        <v>23571076</v>
      </c>
      <c r="D19" s="35">
        <f>C19*'SWB Ratio'!$B$9/0.9</f>
        <v>14630315.015624749</v>
      </c>
      <c r="E19" s="36">
        <f t="shared" si="2"/>
        <v>8940760.9843752515</v>
      </c>
      <c r="F19" s="36">
        <f t="shared" si="3"/>
        <v>136402</v>
      </c>
      <c r="G19" s="34" t="e">
        <f>D19*Data!#REF!</f>
        <v>#REF!</v>
      </c>
      <c r="H19" s="37" t="e">
        <f>(E19-(Data!I22*'License Fees'!$A$5))*Data!#REF!</f>
        <v>#REF!</v>
      </c>
      <c r="I19" s="37" t="e">
        <f>(H19+(IF(Data!C22=19,'License Fees'!$B$5+'License Fees'!$D$5,'License Fees'!$B$5)*Data!I22))</f>
        <v>#REF!</v>
      </c>
      <c r="J19" s="34" t="e">
        <f>(F19+G19+I19)/Data!G22</f>
        <v>#REF!</v>
      </c>
      <c r="K19" s="38">
        <f>'SB525 Add-Ons'!$B$5</f>
        <v>1386763456</v>
      </c>
      <c r="L19" s="39" t="e">
        <f t="shared" si="4"/>
        <v>#REF!</v>
      </c>
      <c r="M19" s="25">
        <f>IF(Data!N22=1,(Data!H22/Data!G22),0)</f>
        <v>0.80456045786270181</v>
      </c>
      <c r="N19" s="40" t="e">
        <f t="shared" si="5"/>
        <v>#REF!</v>
      </c>
      <c r="O19" s="40" t="e">
        <f>IF(Data!T22="Y",IF(L19&gt;=$Q$65,$Q$65,L19),"")</f>
        <v>#REF!</v>
      </c>
      <c r="P19" s="40" t="e">
        <f t="shared" si="6"/>
        <v>#REF!</v>
      </c>
      <c r="Q19" s="40" t="e">
        <f t="shared" si="7"/>
        <v>#REF!</v>
      </c>
    </row>
    <row r="20" spans="1:17" x14ac:dyDescent="0.45">
      <c r="A20" s="33" t="e">
        <f>Data!#REF!*Data!#REF!</f>
        <v>#REF!</v>
      </c>
      <c r="B20" s="34" t="e">
        <f>Data!#REF!*Data!#REF!</f>
        <v>#REF!</v>
      </c>
      <c r="C20" s="34" t="e">
        <f t="shared" si="1"/>
        <v>#REF!</v>
      </c>
      <c r="D20" s="35" t="e">
        <f>C20*'SWB Ratio'!$B$9/0.9</f>
        <v>#REF!</v>
      </c>
      <c r="E20" s="36" t="e">
        <f t="shared" si="2"/>
        <v>#REF!</v>
      </c>
      <c r="F20" s="36" t="e">
        <f t="shared" si="3"/>
        <v>#REF!</v>
      </c>
      <c r="G20" s="34" t="e">
        <f>D20*Data!#REF!</f>
        <v>#REF!</v>
      </c>
      <c r="H20" s="37" t="e">
        <f>(E20-(Data!#REF!*'License Fees'!$A$5))*Data!#REF!</f>
        <v>#REF!</v>
      </c>
      <c r="I20" s="37" t="e">
        <f>(H20+(IF(Data!#REF!=19,'License Fees'!$B$5+'License Fees'!$D$5,'License Fees'!$B$5)*Data!#REF!))</f>
        <v>#REF!</v>
      </c>
      <c r="J20" s="34" t="e">
        <f>(F20+G20+I20)/Data!#REF!</f>
        <v>#REF!</v>
      </c>
      <c r="K20" s="38">
        <f>'SB525 Add-Ons'!$B$5</f>
        <v>1386763456</v>
      </c>
      <c r="L20" s="39" t="e">
        <f t="shared" si="4"/>
        <v>#REF!</v>
      </c>
      <c r="M20" s="25" t="e">
        <f>IF(Data!#REF!=1,(Data!#REF!/Data!#REF!),0)</f>
        <v>#REF!</v>
      </c>
      <c r="N20" s="40" t="e">
        <f t="shared" si="5"/>
        <v>#REF!</v>
      </c>
      <c r="O20" s="40" t="e">
        <f>IF(Data!#REF!="Y",IF(L20&gt;=$Q$65,$Q$65,L20),"")</f>
        <v>#REF!</v>
      </c>
      <c r="P20" s="40" t="e">
        <f t="shared" si="6"/>
        <v>#REF!</v>
      </c>
      <c r="Q20" s="40" t="e">
        <f t="shared" si="7"/>
        <v>#REF!</v>
      </c>
    </row>
    <row r="21" spans="1:17" x14ac:dyDescent="0.45">
      <c r="A21" s="33">
        <f>Data!J23*Data!M23</f>
        <v>257622</v>
      </c>
      <c r="B21" s="34">
        <f>Data!K23*Data!M23</f>
        <v>12454006</v>
      </c>
      <c r="C21" s="34">
        <f t="shared" si="1"/>
        <v>12196384</v>
      </c>
      <c r="D21" s="35">
        <f>C21*'SWB Ratio'!$B$9/0.9</f>
        <v>7570165.2301119156</v>
      </c>
      <c r="E21" s="36">
        <f t="shared" si="2"/>
        <v>4626218.7698880844</v>
      </c>
      <c r="F21" s="36">
        <f t="shared" si="3"/>
        <v>257622</v>
      </c>
      <c r="G21" s="34" t="e">
        <f>D21*Data!#REF!</f>
        <v>#REF!</v>
      </c>
      <c r="H21" s="37" t="e">
        <f>(E21-(Data!I23*'License Fees'!$A$5))*Data!#REF!</f>
        <v>#REF!</v>
      </c>
      <c r="I21" s="37" t="e">
        <f>(H21+(IF(Data!C23=19,'License Fees'!$B$5+'License Fees'!$D$5,'License Fees'!$B$5)*Data!I23))</f>
        <v>#REF!</v>
      </c>
      <c r="J21" s="34" t="e">
        <f>(F21+G21+I21)/Data!G23</f>
        <v>#REF!</v>
      </c>
      <c r="K21" s="38">
        <f>'SB525 Add-Ons'!$B$5</f>
        <v>1386763456</v>
      </c>
      <c r="L21" s="39" t="e">
        <f t="shared" si="4"/>
        <v>#REF!</v>
      </c>
      <c r="M21" s="25">
        <f>IF(Data!N23=1,(Data!H23/Data!G23),0)</f>
        <v>0.4904594613212096</v>
      </c>
      <c r="N21" s="40" t="e">
        <f t="shared" si="5"/>
        <v>#REF!</v>
      </c>
      <c r="O21" s="40" t="e">
        <f>IF(Data!T23="Y",IF(L21&gt;=$Q$65,$Q$65,L21),"")</f>
        <v>#REF!</v>
      </c>
      <c r="P21" s="40" t="e">
        <f t="shared" si="6"/>
        <v>#REF!</v>
      </c>
      <c r="Q21" s="40" t="e">
        <f t="shared" si="7"/>
        <v>#REF!</v>
      </c>
    </row>
    <row r="22" spans="1:17" x14ac:dyDescent="0.45">
      <c r="A22" s="33">
        <f>Data!J24*Data!M24</f>
        <v>306907</v>
      </c>
      <c r="B22" s="34">
        <f>Data!K24*Data!M24</f>
        <v>24296730</v>
      </c>
      <c r="C22" s="34">
        <f t="shared" si="1"/>
        <v>23989823</v>
      </c>
      <c r="D22" s="35">
        <f>C22*'SWB Ratio'!$B$9/0.9</f>
        <v>14890226.804201894</v>
      </c>
      <c r="E22" s="36">
        <f t="shared" si="2"/>
        <v>9099596.1957981065</v>
      </c>
      <c r="F22" s="36">
        <f t="shared" si="3"/>
        <v>306907</v>
      </c>
      <c r="G22" s="34" t="e">
        <f>D22*Data!#REF!</f>
        <v>#REF!</v>
      </c>
      <c r="H22" s="37" t="e">
        <f>(E22-(Data!I24*'License Fees'!$A$5))*Data!#REF!</f>
        <v>#REF!</v>
      </c>
      <c r="I22" s="37" t="e">
        <f>(H22+(IF(Data!C24=19,'License Fees'!$B$5+'License Fees'!$D$5,'License Fees'!$B$5)*Data!I24))</f>
        <v>#REF!</v>
      </c>
      <c r="J22" s="34" t="e">
        <f>(F22+G22+I22)/Data!G24</f>
        <v>#REF!</v>
      </c>
      <c r="K22" s="38">
        <f>'SB525 Add-Ons'!$B$5</f>
        <v>1386763456</v>
      </c>
      <c r="L22" s="39" t="e">
        <f t="shared" si="4"/>
        <v>#REF!</v>
      </c>
      <c r="M22" s="25">
        <f>IF(Data!N24=1,(Data!H24/Data!G24),0)</f>
        <v>0</v>
      </c>
      <c r="N22" s="40" t="str">
        <f t="shared" si="5"/>
        <v/>
      </c>
      <c r="O22" s="40" t="str">
        <f>IF(Data!T24="Y",IF(L22&gt;=$Q$65,$Q$65,L22),"")</f>
        <v/>
      </c>
      <c r="P22" s="40" t="str">
        <f t="shared" si="6"/>
        <v/>
      </c>
      <c r="Q22" s="40" t="e">
        <f t="shared" si="7"/>
        <v>#REF!</v>
      </c>
    </row>
    <row r="23" spans="1:17" x14ac:dyDescent="0.45">
      <c r="A23" s="33">
        <f>Data!J25*Data!M25</f>
        <v>1154523</v>
      </c>
      <c r="B23" s="34">
        <f>Data!K25*Data!M25</f>
        <v>19313558</v>
      </c>
      <c r="C23" s="34">
        <f t="shared" si="1"/>
        <v>18159035</v>
      </c>
      <c r="D23" s="35">
        <f>C23*'SWB Ratio'!$B$9/0.9</f>
        <v>11271118.99472707</v>
      </c>
      <c r="E23" s="36">
        <f t="shared" si="2"/>
        <v>6887916.0052729305</v>
      </c>
      <c r="F23" s="36">
        <f t="shared" si="3"/>
        <v>1154523</v>
      </c>
      <c r="G23" s="34" t="e">
        <f>D23*Data!#REF!</f>
        <v>#REF!</v>
      </c>
      <c r="H23" s="37" t="e">
        <f>(E23-(Data!I25*'License Fees'!$A$5))*Data!#REF!</f>
        <v>#REF!</v>
      </c>
      <c r="I23" s="37" t="e">
        <f>(H23+(IF(Data!C25=19,'License Fees'!$B$5+'License Fees'!$D$5,'License Fees'!$B$5)*Data!I25))</f>
        <v>#REF!</v>
      </c>
      <c r="J23" s="34" t="e">
        <f>(F23+G23+I23)/Data!G25</f>
        <v>#REF!</v>
      </c>
      <c r="K23" s="38">
        <f>'SB525 Add-Ons'!$B$5</f>
        <v>1386763456</v>
      </c>
      <c r="L23" s="39" t="e">
        <f t="shared" si="4"/>
        <v>#REF!</v>
      </c>
      <c r="M23" s="25">
        <f>IF(Data!N25=1,(Data!H25/Data!G25),0)</f>
        <v>0</v>
      </c>
      <c r="N23" s="40" t="str">
        <f t="shared" si="5"/>
        <v/>
      </c>
      <c r="O23" s="40" t="str">
        <f>IF(Data!T25="Y",IF(L23&gt;=$Q$65,$Q$65,L23),"")</f>
        <v/>
      </c>
      <c r="P23" s="40" t="str">
        <f t="shared" si="6"/>
        <v/>
      </c>
      <c r="Q23" s="40" t="e">
        <f t="shared" si="7"/>
        <v>#REF!</v>
      </c>
    </row>
    <row r="24" spans="1:17" x14ac:dyDescent="0.45">
      <c r="A24" s="33">
        <f>Data!J26*Data!M26</f>
        <v>5004318</v>
      </c>
      <c r="B24" s="34">
        <f>Data!K26*Data!M26</f>
        <v>81299957</v>
      </c>
      <c r="C24" s="34">
        <f t="shared" si="1"/>
        <v>76295639</v>
      </c>
      <c r="D24" s="35">
        <f>C24*'SWB Ratio'!$B$9/0.9</f>
        <v>47355887.906363934</v>
      </c>
      <c r="E24" s="36">
        <f t="shared" si="2"/>
        <v>28939751.093636066</v>
      </c>
      <c r="F24" s="36">
        <f t="shared" si="3"/>
        <v>5004318</v>
      </c>
      <c r="G24" s="34" t="e">
        <f>D24*Data!#REF!</f>
        <v>#REF!</v>
      </c>
      <c r="H24" s="37" t="e">
        <f>(E24-(Data!I26*'License Fees'!$A$5))*Data!#REF!</f>
        <v>#REF!</v>
      </c>
      <c r="I24" s="37" t="e">
        <f>(H24+(IF(Data!C26=19,'License Fees'!$B$5+'License Fees'!$D$5,'License Fees'!$B$5)*Data!I26))</f>
        <v>#REF!</v>
      </c>
      <c r="J24" s="34" t="e">
        <f>(F24+G24+I24)/Data!G26</f>
        <v>#REF!</v>
      </c>
      <c r="K24" s="38">
        <f>'SB525 Add-Ons'!$B$5</f>
        <v>1386763456</v>
      </c>
      <c r="L24" s="39" t="e">
        <f t="shared" si="4"/>
        <v>#REF!</v>
      </c>
      <c r="M24" s="25">
        <f>IF(Data!N26=1,(Data!H26/Data!G26),0)</f>
        <v>0.7206758544743308</v>
      </c>
      <c r="N24" s="40" t="e">
        <f t="shared" si="5"/>
        <v>#REF!</v>
      </c>
      <c r="O24" s="40" t="str">
        <f>IF(Data!T26="Y",IF(L24&gt;=$Q$65,$Q$65,L24),"")</f>
        <v/>
      </c>
      <c r="P24" s="40" t="str">
        <f t="shared" si="6"/>
        <v/>
      </c>
      <c r="Q24" s="40" t="e">
        <f t="shared" si="7"/>
        <v>#REF!</v>
      </c>
    </row>
    <row r="25" spans="1:17" x14ac:dyDescent="0.45">
      <c r="A25" s="33">
        <f>Data!J28*Data!M28</f>
        <v>2987545</v>
      </c>
      <c r="B25" s="34">
        <f>Data!K28*Data!M28</f>
        <v>41744504</v>
      </c>
      <c r="C25" s="34">
        <f t="shared" si="1"/>
        <v>38756959</v>
      </c>
      <c r="D25" s="35">
        <f>C25*'SWB Ratio'!$B$9/0.9</f>
        <v>24056030.332160179</v>
      </c>
      <c r="E25" s="36">
        <f t="shared" si="2"/>
        <v>14700928.667839821</v>
      </c>
      <c r="F25" s="36">
        <f t="shared" si="3"/>
        <v>2987545</v>
      </c>
      <c r="G25" s="34" t="e">
        <f>D25*Data!#REF!</f>
        <v>#REF!</v>
      </c>
      <c r="H25" s="37" t="e">
        <f>(E25-(Data!I28*'License Fees'!$A$5))*Data!#REF!</f>
        <v>#REF!</v>
      </c>
      <c r="I25" s="37" t="e">
        <f>(H25+(IF(Data!C28=19,'License Fees'!$B$5+'License Fees'!$D$5,'License Fees'!$B$5)*Data!I28))</f>
        <v>#REF!</v>
      </c>
      <c r="J25" s="34" t="e">
        <f>(F25+G25+I25)/Data!G28</f>
        <v>#REF!</v>
      </c>
      <c r="K25" s="38">
        <f>'SB525 Add-Ons'!$B$5</f>
        <v>1386763456</v>
      </c>
      <c r="L25" s="39" t="e">
        <f t="shared" si="4"/>
        <v>#REF!</v>
      </c>
      <c r="M25" s="25">
        <f>IF(Data!N28=1,(Data!H28/Data!G28),0)</f>
        <v>0.84839713700936159</v>
      </c>
      <c r="N25" s="40" t="e">
        <f t="shared" si="5"/>
        <v>#REF!</v>
      </c>
      <c r="O25" s="40" t="str">
        <f>IF(Data!T28="Y",IF(L25&gt;=$Q$65,$Q$65,L25),"")</f>
        <v/>
      </c>
      <c r="P25" s="40" t="str">
        <f t="shared" si="6"/>
        <v/>
      </c>
      <c r="Q25" s="40" t="e">
        <f t="shared" si="7"/>
        <v>#REF!</v>
      </c>
    </row>
    <row r="26" spans="1:17" x14ac:dyDescent="0.45">
      <c r="A26" s="33">
        <f>Data!J29*Data!M29</f>
        <v>258834</v>
      </c>
      <c r="B26" s="34">
        <f>Data!K29*Data!M29</f>
        <v>4805610</v>
      </c>
      <c r="C26" s="34">
        <f t="shared" si="1"/>
        <v>4546776</v>
      </c>
      <c r="D26" s="35">
        <f>C26*'SWB Ratio'!$B$9/0.9</f>
        <v>2822135.2807772639</v>
      </c>
      <c r="E26" s="36">
        <f t="shared" si="2"/>
        <v>1724640.7192227361</v>
      </c>
      <c r="F26" s="36">
        <f t="shared" si="3"/>
        <v>258834</v>
      </c>
      <c r="G26" s="34" t="e">
        <f>D26*Data!#REF!</f>
        <v>#REF!</v>
      </c>
      <c r="H26" s="37" t="e">
        <f>(E26-(Data!I29*'License Fees'!$A$5))*Data!#REF!</f>
        <v>#REF!</v>
      </c>
      <c r="I26" s="37" t="e">
        <f>(H26+(IF(Data!C29=19,'License Fees'!$B$5+'License Fees'!$D$5,'License Fees'!$B$5)*Data!I29))</f>
        <v>#REF!</v>
      </c>
      <c r="J26" s="34" t="e">
        <f>(F26+G26+I26)/Data!G29</f>
        <v>#REF!</v>
      </c>
      <c r="K26" s="38">
        <f>'SB525 Add-Ons'!$B$5</f>
        <v>1386763456</v>
      </c>
      <c r="L26" s="39" t="e">
        <f t="shared" si="4"/>
        <v>#REF!</v>
      </c>
      <c r="M26" s="25">
        <f>IF(Data!N29=1,(Data!H29/Data!G29),0)</f>
        <v>0.32256650102309264</v>
      </c>
      <c r="N26" s="40" t="e">
        <f t="shared" si="5"/>
        <v>#REF!</v>
      </c>
      <c r="O26" s="40" t="str">
        <f>IF(Data!T29="Y",IF(L26&gt;=$Q$65,$Q$65,L26),"")</f>
        <v/>
      </c>
      <c r="P26" s="40" t="str">
        <f t="shared" si="6"/>
        <v/>
      </c>
      <c r="Q26" s="40" t="e">
        <f t="shared" si="7"/>
        <v>#REF!</v>
      </c>
    </row>
    <row r="27" spans="1:17" x14ac:dyDescent="0.45">
      <c r="A27" s="33">
        <f>Data!J30*Data!M30</f>
        <v>185846</v>
      </c>
      <c r="B27" s="34">
        <f>Data!K30*Data!M30</f>
        <v>7155035</v>
      </c>
      <c r="C27" s="34">
        <f t="shared" si="1"/>
        <v>6969189</v>
      </c>
      <c r="D27" s="35">
        <f>C27*'SWB Ratio'!$B$9/0.9</f>
        <v>4325701.1463297997</v>
      </c>
      <c r="E27" s="36">
        <f t="shared" si="2"/>
        <v>2643487.8536702003</v>
      </c>
      <c r="F27" s="36">
        <f t="shared" si="3"/>
        <v>185846</v>
      </c>
      <c r="G27" s="34" t="e">
        <f>D27*Data!#REF!</f>
        <v>#REF!</v>
      </c>
      <c r="H27" s="37" t="e">
        <f>(E27-(Data!I30*'License Fees'!$A$5))*Data!#REF!</f>
        <v>#REF!</v>
      </c>
      <c r="I27" s="37" t="e">
        <f>(H27+(IF(Data!C30=19,'License Fees'!$B$5+'License Fees'!$D$5,'License Fees'!$B$5)*Data!I30))</f>
        <v>#REF!</v>
      </c>
      <c r="J27" s="34" t="e">
        <f>(F27+G27+I27)/Data!G30</f>
        <v>#REF!</v>
      </c>
      <c r="K27" s="38">
        <f>'SB525 Add-Ons'!$B$5</f>
        <v>1386763456</v>
      </c>
      <c r="L27" s="39" t="e">
        <f t="shared" si="4"/>
        <v>#REF!</v>
      </c>
      <c r="M27" s="25">
        <f>IF(Data!N30=1,(Data!H30/Data!G30),0)</f>
        <v>0.82063030152931704</v>
      </c>
      <c r="N27" s="40" t="e">
        <f t="shared" si="5"/>
        <v>#REF!</v>
      </c>
      <c r="O27" s="40" t="e">
        <f>IF(Data!T30="Y",IF(L27&gt;=$Q$65,$Q$65,L27),"")</f>
        <v>#REF!</v>
      </c>
      <c r="P27" s="40" t="e">
        <f t="shared" si="6"/>
        <v>#REF!</v>
      </c>
      <c r="Q27" s="40" t="e">
        <f t="shared" si="7"/>
        <v>#REF!</v>
      </c>
    </row>
    <row r="28" spans="1:17" x14ac:dyDescent="0.45">
      <c r="A28" s="33">
        <f>Data!J31*Data!M31</f>
        <v>52224</v>
      </c>
      <c r="B28" s="34">
        <f>Data!K31*Data!M31</f>
        <v>3180174</v>
      </c>
      <c r="C28" s="34">
        <f t="shared" si="1"/>
        <v>3127950</v>
      </c>
      <c r="D28" s="35">
        <f>C28*'SWB Ratio'!$B$9/0.9</f>
        <v>1941485.1427708871</v>
      </c>
      <c r="E28" s="36">
        <f t="shared" si="2"/>
        <v>1186464.8572291129</v>
      </c>
      <c r="F28" s="36">
        <f t="shared" si="3"/>
        <v>52224</v>
      </c>
      <c r="G28" s="34" t="e">
        <f>D28*Data!#REF!</f>
        <v>#REF!</v>
      </c>
      <c r="H28" s="37" t="e">
        <f>(E28-(Data!I31*'License Fees'!$A$5))*Data!#REF!</f>
        <v>#REF!</v>
      </c>
      <c r="I28" s="37" t="e">
        <f>(H28+(IF(Data!C31=19,'License Fees'!$B$5+'License Fees'!$D$5,'License Fees'!$B$5)*Data!I31))</f>
        <v>#REF!</v>
      </c>
      <c r="J28" s="34" t="e">
        <f>(F28+G28+I28)/Data!G31</f>
        <v>#REF!</v>
      </c>
      <c r="K28" s="38">
        <f>'SB525 Add-Ons'!$B$5</f>
        <v>1386763456</v>
      </c>
      <c r="L28" s="39" t="e">
        <f t="shared" si="4"/>
        <v>#REF!</v>
      </c>
      <c r="M28" s="25">
        <f>IF(Data!N31=1,(Data!H31/Data!G31),0)</f>
        <v>0.48241113961157933</v>
      </c>
      <c r="N28" s="40" t="e">
        <f t="shared" si="5"/>
        <v>#REF!</v>
      </c>
      <c r="O28" s="40" t="str">
        <f>IF(Data!T31="Y",IF(L28&gt;=$Q$65,$Q$65,L28),"")</f>
        <v/>
      </c>
      <c r="P28" s="40" t="str">
        <f t="shared" si="6"/>
        <v/>
      </c>
      <c r="Q28" s="40" t="e">
        <f t="shared" si="7"/>
        <v>#REF!</v>
      </c>
    </row>
    <row r="29" spans="1:17" x14ac:dyDescent="0.45">
      <c r="A29" s="33">
        <f>Data!J32*Data!M32</f>
        <v>21108341</v>
      </c>
      <c r="B29" s="34">
        <f>Data!K32*Data!M32</f>
        <v>333142149</v>
      </c>
      <c r="C29" s="34">
        <f t="shared" si="1"/>
        <v>312033808</v>
      </c>
      <c r="D29" s="35">
        <f>C29*'SWB Ratio'!$B$9/0.9</f>
        <v>193676050.53604552</v>
      </c>
      <c r="E29" s="36">
        <f t="shared" si="2"/>
        <v>118357757.46395448</v>
      </c>
      <c r="F29" s="36">
        <f t="shared" si="3"/>
        <v>21108341</v>
      </c>
      <c r="G29" s="34" t="e">
        <f>D29*Data!#REF!</f>
        <v>#REF!</v>
      </c>
      <c r="H29" s="37" t="e">
        <f>(E29-(Data!I32*'License Fees'!$A$5))*Data!#REF!</f>
        <v>#REF!</v>
      </c>
      <c r="I29" s="37" t="e">
        <f>(H29+(IF(Data!C32=19,'License Fees'!$B$5+'License Fees'!$D$5,'License Fees'!$B$5)*Data!I32))</f>
        <v>#REF!</v>
      </c>
      <c r="J29" s="34" t="e">
        <f>(F29+G29+I29)/Data!G32</f>
        <v>#REF!</v>
      </c>
      <c r="K29" s="38">
        <f>'SB525 Add-Ons'!$B$5</f>
        <v>1386763456</v>
      </c>
      <c r="L29" s="39" t="e">
        <f t="shared" si="4"/>
        <v>#REF!</v>
      </c>
      <c r="M29" s="25">
        <f>IF(Data!N32=1,(Data!H32/Data!G32),0)</f>
        <v>0.94109729835552081</v>
      </c>
      <c r="N29" s="40" t="e">
        <f t="shared" si="5"/>
        <v>#REF!</v>
      </c>
      <c r="O29" s="40" t="str">
        <f>IF(Data!T32="Y",IF(L29&gt;=$Q$65,$Q$65,L29),"")</f>
        <v/>
      </c>
      <c r="P29" s="40" t="str">
        <f t="shared" si="6"/>
        <v/>
      </c>
      <c r="Q29" s="40" t="e">
        <f t="shared" si="7"/>
        <v>#REF!</v>
      </c>
    </row>
    <row r="30" spans="1:17" x14ac:dyDescent="0.45">
      <c r="A30" s="33">
        <f>Data!J33*Data!M33</f>
        <v>265928</v>
      </c>
      <c r="B30" s="34">
        <f>Data!K33*Data!M33</f>
        <v>17325377</v>
      </c>
      <c r="C30" s="34">
        <f t="shared" si="1"/>
        <v>17059449</v>
      </c>
      <c r="D30" s="35">
        <f>C30*'SWB Ratio'!$B$9/0.9</f>
        <v>10588617.713632785</v>
      </c>
      <c r="E30" s="36">
        <f t="shared" si="2"/>
        <v>6470831.2863672152</v>
      </c>
      <c r="F30" s="36">
        <f t="shared" si="3"/>
        <v>265928</v>
      </c>
      <c r="G30" s="34" t="e">
        <f>D30*Data!#REF!</f>
        <v>#REF!</v>
      </c>
      <c r="H30" s="37" t="e">
        <f>(E30-(Data!I33*'License Fees'!$A$5))*Data!#REF!</f>
        <v>#REF!</v>
      </c>
      <c r="I30" s="37" t="e">
        <f>(H30+(IF(Data!C33=19,'License Fees'!$B$5+'License Fees'!$D$5,'License Fees'!$B$5)*Data!I33))</f>
        <v>#REF!</v>
      </c>
      <c r="J30" s="34" t="e">
        <f>(F30+G30+I30)/Data!G33</f>
        <v>#REF!</v>
      </c>
      <c r="K30" s="38">
        <f>'SB525 Add-Ons'!$B$5</f>
        <v>1386763456</v>
      </c>
      <c r="L30" s="39" t="e">
        <f t="shared" si="4"/>
        <v>#REF!</v>
      </c>
      <c r="M30" s="25">
        <f>IF(Data!N33=1,(Data!H33/Data!G33),0)</f>
        <v>0.83259464450600185</v>
      </c>
      <c r="N30" s="40" t="e">
        <f t="shared" si="5"/>
        <v>#REF!</v>
      </c>
      <c r="O30" s="40" t="e">
        <f>IF(Data!T33="Y",IF(L30&gt;=$Q$65,$Q$65,L30),"")</f>
        <v>#REF!</v>
      </c>
      <c r="P30" s="40" t="e">
        <f t="shared" si="6"/>
        <v>#REF!</v>
      </c>
      <c r="Q30" s="40" t="e">
        <f t="shared" si="7"/>
        <v>#REF!</v>
      </c>
    </row>
    <row r="31" spans="1:17" x14ac:dyDescent="0.45">
      <c r="A31" s="33">
        <f>Data!J34*Data!M34</f>
        <v>592733</v>
      </c>
      <c r="B31" s="34">
        <f>Data!K34*Data!M34</f>
        <v>15811821</v>
      </c>
      <c r="C31" s="34">
        <f t="shared" si="1"/>
        <v>15219088</v>
      </c>
      <c r="D31" s="35">
        <f>C31*'SWB Ratio'!$B$9/0.9</f>
        <v>9446325.3052391168</v>
      </c>
      <c r="E31" s="36">
        <f t="shared" si="2"/>
        <v>5772762.6947608832</v>
      </c>
      <c r="F31" s="36">
        <f t="shared" si="3"/>
        <v>592733</v>
      </c>
      <c r="G31" s="34" t="e">
        <f>D31*Data!#REF!</f>
        <v>#REF!</v>
      </c>
      <c r="H31" s="37" t="e">
        <f>(E31-(Data!I34*'License Fees'!$A$5))*Data!#REF!</f>
        <v>#REF!</v>
      </c>
      <c r="I31" s="37" t="e">
        <f>(H31+(IF(Data!C34=19,'License Fees'!$B$5+'License Fees'!$D$5,'License Fees'!$B$5)*Data!I34))</f>
        <v>#REF!</v>
      </c>
      <c r="J31" s="34" t="e">
        <f>(F31+G31+I31)/Data!G34</f>
        <v>#REF!</v>
      </c>
      <c r="K31" s="38">
        <f>'SB525 Add-Ons'!$B$5</f>
        <v>1386763456</v>
      </c>
      <c r="L31" s="39" t="e">
        <f t="shared" si="4"/>
        <v>#REF!</v>
      </c>
      <c r="M31" s="25">
        <f>IF(Data!N34=1,(Data!H34/Data!G34),0)</f>
        <v>0.58165067710317597</v>
      </c>
      <c r="N31" s="40" t="e">
        <f t="shared" si="5"/>
        <v>#REF!</v>
      </c>
      <c r="O31" s="40" t="str">
        <f>IF(Data!T34="Y",IF(L31&gt;=$Q$65,$Q$65,L31),"")</f>
        <v/>
      </c>
      <c r="P31" s="40" t="str">
        <f t="shared" si="6"/>
        <v/>
      </c>
      <c r="Q31" s="40" t="e">
        <f t="shared" si="7"/>
        <v>#REF!</v>
      </c>
    </row>
    <row r="32" spans="1:17" x14ac:dyDescent="0.45">
      <c r="A32" s="33">
        <f>Data!J35*Data!M35</f>
        <v>878760</v>
      </c>
      <c r="B32" s="34">
        <f>Data!K35*Data!M35</f>
        <v>15957387</v>
      </c>
      <c r="C32" s="34">
        <f t="shared" si="1"/>
        <v>15078627</v>
      </c>
      <c r="D32" s="35">
        <f>C32*'SWB Ratio'!$B$9/0.9</f>
        <v>9359142.6633686442</v>
      </c>
      <c r="E32" s="36">
        <f t="shared" si="2"/>
        <v>5719484.3366313558</v>
      </c>
      <c r="F32" s="36">
        <f t="shared" si="3"/>
        <v>878760</v>
      </c>
      <c r="G32" s="34" t="e">
        <f>D32*Data!#REF!</f>
        <v>#REF!</v>
      </c>
      <c r="H32" s="37" t="e">
        <f>(E32-(Data!I35*'License Fees'!$A$5))*Data!#REF!</f>
        <v>#REF!</v>
      </c>
      <c r="I32" s="37" t="e">
        <f>(H32+(IF(Data!C35=19,'License Fees'!$B$5+'License Fees'!$D$5,'License Fees'!$B$5)*Data!I35))</f>
        <v>#REF!</v>
      </c>
      <c r="J32" s="34" t="e">
        <f>(F32+G32+I32)/Data!G35</f>
        <v>#REF!</v>
      </c>
      <c r="K32" s="38">
        <f>'SB525 Add-Ons'!$B$5</f>
        <v>1386763456</v>
      </c>
      <c r="L32" s="39" t="e">
        <f t="shared" si="4"/>
        <v>#REF!</v>
      </c>
      <c r="M32" s="25">
        <f>IF(Data!N35=1,(Data!H35/Data!G35),0)</f>
        <v>1.0150746738484138</v>
      </c>
      <c r="N32" s="40" t="e">
        <f t="shared" si="5"/>
        <v>#REF!</v>
      </c>
      <c r="O32" s="40" t="e">
        <f>IF(Data!T35="Y",IF(L32&gt;=$Q$65,$Q$65,L32),"")</f>
        <v>#REF!</v>
      </c>
      <c r="P32" s="40" t="e">
        <f t="shared" si="6"/>
        <v>#REF!</v>
      </c>
      <c r="Q32" s="40" t="e">
        <f t="shared" si="7"/>
        <v>#REF!</v>
      </c>
    </row>
    <row r="33" spans="1:17" x14ac:dyDescent="0.45">
      <c r="A33" s="33">
        <f>Data!J36*Data!M36</f>
        <v>1624256</v>
      </c>
      <c r="B33" s="34">
        <f>Data!K36*Data!M36</f>
        <v>16927135</v>
      </c>
      <c r="C33" s="34">
        <f t="shared" si="1"/>
        <v>15302879</v>
      </c>
      <c r="D33" s="35">
        <f>C33*'SWB Ratio'!$B$9/0.9</f>
        <v>9498333.4836300481</v>
      </c>
      <c r="E33" s="36">
        <f t="shared" si="2"/>
        <v>5804545.5163699519</v>
      </c>
      <c r="F33" s="36">
        <f t="shared" si="3"/>
        <v>1624256</v>
      </c>
      <c r="G33" s="34" t="e">
        <f>D33*Data!#REF!</f>
        <v>#REF!</v>
      </c>
      <c r="H33" s="37" t="e">
        <f>(E33-(Data!I36*'License Fees'!$A$5))*Data!#REF!</f>
        <v>#REF!</v>
      </c>
      <c r="I33" s="37" t="e">
        <f>(H33+(IF(Data!C36=19,'License Fees'!$B$5+'License Fees'!$D$5,'License Fees'!$B$5)*Data!I36))</f>
        <v>#REF!</v>
      </c>
      <c r="J33" s="34" t="e">
        <f>(F33+G33+I33)/Data!G36</f>
        <v>#REF!</v>
      </c>
      <c r="K33" s="38">
        <f>'SB525 Add-Ons'!$B$5</f>
        <v>1386763456</v>
      </c>
      <c r="L33" s="39" t="e">
        <f t="shared" si="4"/>
        <v>#REF!</v>
      </c>
      <c r="M33" s="25">
        <f>IF(Data!N36=1,(Data!H36/Data!G36),0)</f>
        <v>0</v>
      </c>
      <c r="N33" s="40" t="str">
        <f t="shared" si="5"/>
        <v/>
      </c>
      <c r="O33" s="40" t="str">
        <f>IF(Data!T36="Y",IF(L33&gt;=$Q$65,$Q$65,L33),"")</f>
        <v/>
      </c>
      <c r="P33" s="40" t="str">
        <f t="shared" si="6"/>
        <v/>
      </c>
      <c r="Q33" s="40" t="e">
        <f t="shared" si="7"/>
        <v>#REF!</v>
      </c>
    </row>
    <row r="34" spans="1:17" x14ac:dyDescent="0.45">
      <c r="A34" s="33">
        <f>Data!J37*Data!M37</f>
        <v>199768</v>
      </c>
      <c r="B34" s="34">
        <f>Data!K37*Data!M37</f>
        <v>8761611</v>
      </c>
      <c r="C34" s="34">
        <f t="shared" si="1"/>
        <v>8561843</v>
      </c>
      <c r="D34" s="35">
        <f>C34*'SWB Ratio'!$B$9/0.9</f>
        <v>5314244.4665793637</v>
      </c>
      <c r="E34" s="36">
        <f t="shared" si="2"/>
        <v>3247598.5334206363</v>
      </c>
      <c r="F34" s="36">
        <f t="shared" si="3"/>
        <v>199768</v>
      </c>
      <c r="G34" s="34" t="e">
        <f>D34*Data!#REF!</f>
        <v>#REF!</v>
      </c>
      <c r="H34" s="37" t="e">
        <f>(E34-(Data!I37*'License Fees'!$A$5))*Data!#REF!</f>
        <v>#REF!</v>
      </c>
      <c r="I34" s="37" t="e">
        <f>(H34+(IF(Data!C37=19,'License Fees'!$B$5+'License Fees'!$D$5,'License Fees'!$B$5)*Data!I37))</f>
        <v>#REF!</v>
      </c>
      <c r="J34" s="34" t="e">
        <f>(F34+G34+I34)/Data!G37</f>
        <v>#REF!</v>
      </c>
      <c r="K34" s="38">
        <f>'SB525 Add-Ons'!$B$5</f>
        <v>1386763456</v>
      </c>
      <c r="L34" s="39" t="e">
        <f t="shared" si="4"/>
        <v>#REF!</v>
      </c>
      <c r="M34" s="25">
        <f>IF(Data!N37=1,(Data!H37/Data!G37),0)</f>
        <v>0.8877873737988079</v>
      </c>
      <c r="N34" s="40" t="e">
        <f t="shared" si="5"/>
        <v>#REF!</v>
      </c>
      <c r="O34" s="40" t="e">
        <f>IF(Data!T37="Y",IF(L34&gt;=$Q$65,$Q$65,L34),"")</f>
        <v>#REF!</v>
      </c>
      <c r="P34" s="40" t="e">
        <f t="shared" si="6"/>
        <v>#REF!</v>
      </c>
      <c r="Q34" s="40" t="e">
        <f t="shared" si="7"/>
        <v>#REF!</v>
      </c>
    </row>
    <row r="35" spans="1:17" x14ac:dyDescent="0.45">
      <c r="A35" s="33">
        <f>Data!J38*Data!M38</f>
        <v>747050</v>
      </c>
      <c r="B35" s="34">
        <f>Data!K38*Data!M38</f>
        <v>21707917</v>
      </c>
      <c r="C35" s="34">
        <f t="shared" si="1"/>
        <v>20960867</v>
      </c>
      <c r="D35" s="35">
        <f>C35*'SWB Ratio'!$B$9/0.9</f>
        <v>13010186.179477479</v>
      </c>
      <c r="E35" s="36">
        <f t="shared" si="2"/>
        <v>7950680.8205225207</v>
      </c>
      <c r="F35" s="36">
        <f t="shared" si="3"/>
        <v>747050</v>
      </c>
      <c r="G35" s="34" t="e">
        <f>D35*Data!#REF!</f>
        <v>#REF!</v>
      </c>
      <c r="H35" s="37" t="e">
        <f>(E35-(Data!I38*'License Fees'!$A$5))*Data!#REF!</f>
        <v>#REF!</v>
      </c>
      <c r="I35" s="37" t="e">
        <f>(H35+(IF(Data!C38=19,'License Fees'!$B$5+'License Fees'!$D$5,'License Fees'!$B$5)*Data!I38))</f>
        <v>#REF!</v>
      </c>
      <c r="J35" s="34" t="e">
        <f>(F35+G35+I35)/Data!G38</f>
        <v>#REF!</v>
      </c>
      <c r="K35" s="38">
        <f>'SB525 Add-Ons'!$B$5</f>
        <v>1386763456</v>
      </c>
      <c r="L35" s="39" t="e">
        <f t="shared" si="4"/>
        <v>#REF!</v>
      </c>
      <c r="M35" s="25">
        <f>IF(Data!N38=1,(Data!H38/Data!G38),0)</f>
        <v>0.91660415956358676</v>
      </c>
      <c r="N35" s="40" t="e">
        <f t="shared" si="5"/>
        <v>#REF!</v>
      </c>
      <c r="O35" s="40" t="str">
        <f>IF(Data!T38="Y",IF(L35&gt;=$Q$65,$Q$65,L35),"")</f>
        <v/>
      </c>
      <c r="P35" s="40" t="str">
        <f t="shared" si="6"/>
        <v/>
      </c>
      <c r="Q35" s="40" t="e">
        <f t="shared" si="7"/>
        <v>#REF!</v>
      </c>
    </row>
    <row r="36" spans="1:17" x14ac:dyDescent="0.45">
      <c r="A36" s="33">
        <f>Data!J39*Data!M39</f>
        <v>309306</v>
      </c>
      <c r="B36" s="34">
        <f>Data!K39*Data!M39</f>
        <v>4900828</v>
      </c>
      <c r="C36" s="34">
        <f t="shared" si="1"/>
        <v>4591522</v>
      </c>
      <c r="D36" s="35">
        <f>C36*'SWB Ratio'!$B$9/0.9</f>
        <v>2849908.6448650616</v>
      </c>
      <c r="E36" s="36">
        <f t="shared" si="2"/>
        <v>1741613.3551349384</v>
      </c>
      <c r="F36" s="36">
        <f t="shared" si="3"/>
        <v>309306</v>
      </c>
      <c r="G36" s="34" t="e">
        <f>D36*Data!#REF!</f>
        <v>#REF!</v>
      </c>
      <c r="H36" s="37" t="e">
        <f>(E36-(Data!I39*'License Fees'!$A$5))*Data!#REF!</f>
        <v>#REF!</v>
      </c>
      <c r="I36" s="37" t="e">
        <f>(H36+(IF(Data!C39=19,'License Fees'!$B$5+'License Fees'!$D$5,'License Fees'!$B$5)*Data!I39))</f>
        <v>#REF!</v>
      </c>
      <c r="J36" s="34" t="e">
        <f>(F36+G36+I36)/Data!G39</f>
        <v>#REF!</v>
      </c>
      <c r="K36" s="38">
        <f>'SB525 Add-Ons'!$B$5</f>
        <v>1386763456</v>
      </c>
      <c r="L36" s="39" t="e">
        <f t="shared" si="4"/>
        <v>#REF!</v>
      </c>
      <c r="M36" s="25">
        <f>IF(Data!N39=1,(Data!H39/Data!G39),0)</f>
        <v>0.91296023564064799</v>
      </c>
      <c r="N36" s="40" t="e">
        <f t="shared" si="5"/>
        <v>#REF!</v>
      </c>
      <c r="O36" s="40" t="e">
        <f>IF(Data!T39="Y",IF(L36&gt;=$Q$65,$Q$65,L36),"")</f>
        <v>#REF!</v>
      </c>
      <c r="P36" s="40" t="e">
        <f t="shared" si="6"/>
        <v>#REF!</v>
      </c>
      <c r="Q36" s="40" t="e">
        <f t="shared" si="7"/>
        <v>#REF!</v>
      </c>
    </row>
    <row r="37" spans="1:17" x14ac:dyDescent="0.45">
      <c r="A37" s="33" t="e">
        <f>Data!#REF!*Data!#REF!</f>
        <v>#REF!</v>
      </c>
      <c r="B37" s="34" t="e">
        <f>Data!#REF!*Data!#REF!</f>
        <v>#REF!</v>
      </c>
      <c r="C37" s="34" t="e">
        <f t="shared" si="1"/>
        <v>#REF!</v>
      </c>
      <c r="D37" s="35" t="e">
        <f>C37*'SWB Ratio'!$B$9/0.9</f>
        <v>#REF!</v>
      </c>
      <c r="E37" s="36" t="e">
        <f t="shared" si="2"/>
        <v>#REF!</v>
      </c>
      <c r="F37" s="36" t="e">
        <f t="shared" si="3"/>
        <v>#REF!</v>
      </c>
      <c r="G37" s="34" t="e">
        <f>D37*Data!#REF!</f>
        <v>#REF!</v>
      </c>
      <c r="H37" s="37" t="e">
        <f>(E37-(Data!#REF!*'License Fees'!$A$5))*Data!#REF!</f>
        <v>#REF!</v>
      </c>
      <c r="I37" s="37" t="e">
        <f>(H37+(IF(Data!#REF!=19,'License Fees'!$B$5+'License Fees'!$D$5,'License Fees'!$B$5)*Data!#REF!))</f>
        <v>#REF!</v>
      </c>
      <c r="J37" s="34" t="e">
        <f>(F37+G37+I37)/Data!#REF!</f>
        <v>#REF!</v>
      </c>
      <c r="K37" s="38">
        <f>'SB525 Add-Ons'!$B$5</f>
        <v>1386763456</v>
      </c>
      <c r="L37" s="39" t="e">
        <f t="shared" si="4"/>
        <v>#REF!</v>
      </c>
      <c r="M37" s="25" t="e">
        <f>IF(Data!#REF!=1,(Data!#REF!/Data!#REF!),0)</f>
        <v>#REF!</v>
      </c>
      <c r="N37" s="40" t="e">
        <f t="shared" si="5"/>
        <v>#REF!</v>
      </c>
      <c r="O37" s="40" t="e">
        <f>IF(Data!#REF!="Y",IF(L37&gt;=$Q$65,$Q$65,L37),"")</f>
        <v>#REF!</v>
      </c>
      <c r="P37" s="40" t="e">
        <f t="shared" si="6"/>
        <v>#REF!</v>
      </c>
      <c r="Q37" s="40" t="e">
        <f t="shared" si="7"/>
        <v>#REF!</v>
      </c>
    </row>
    <row r="38" spans="1:17" x14ac:dyDescent="0.45">
      <c r="A38" s="33">
        <f>Data!J41*Data!M41</f>
        <v>1432105</v>
      </c>
      <c r="B38" s="34">
        <f>Data!K41*Data!M41</f>
        <v>14998884</v>
      </c>
      <c r="C38" s="34">
        <f t="shared" si="1"/>
        <v>13566779</v>
      </c>
      <c r="D38" s="35">
        <f>C38*'SWB Ratio'!$B$9/0.9</f>
        <v>8420754.7639048174</v>
      </c>
      <c r="E38" s="36">
        <f t="shared" si="2"/>
        <v>5146024.2360951826</v>
      </c>
      <c r="F38" s="36">
        <f t="shared" si="3"/>
        <v>1432105</v>
      </c>
      <c r="G38" s="34" t="e">
        <f>D38*Data!#REF!</f>
        <v>#REF!</v>
      </c>
      <c r="H38" s="37" t="e">
        <f>(E38-(Data!I41*'License Fees'!$A$5))*Data!#REF!</f>
        <v>#REF!</v>
      </c>
      <c r="I38" s="37" t="e">
        <f>(H38+(IF(Data!C41=19,'License Fees'!$B$5+'License Fees'!$D$5,'License Fees'!$B$5)*Data!I41))</f>
        <v>#REF!</v>
      </c>
      <c r="J38" s="34" t="e">
        <f>(F38+G38+I38)/Data!G41</f>
        <v>#REF!</v>
      </c>
      <c r="K38" s="38">
        <f>'SB525 Add-Ons'!$B$5</f>
        <v>1386763456</v>
      </c>
      <c r="L38" s="39" t="e">
        <f t="shared" si="4"/>
        <v>#REF!</v>
      </c>
      <c r="M38" s="25">
        <f>IF(Data!N41=1,(Data!H41/Data!G41),0)</f>
        <v>0.92083105948390109</v>
      </c>
      <c r="N38" s="40" t="e">
        <f t="shared" si="5"/>
        <v>#REF!</v>
      </c>
      <c r="O38" s="40" t="str">
        <f>IF(Data!T41="Y",IF(L38&gt;=$Q$65,$Q$65,L38),"")</f>
        <v/>
      </c>
      <c r="P38" s="40" t="str">
        <f t="shared" si="6"/>
        <v/>
      </c>
      <c r="Q38" s="40" t="e">
        <f t="shared" si="7"/>
        <v>#REF!</v>
      </c>
    </row>
    <row r="39" spans="1:17" x14ac:dyDescent="0.45">
      <c r="A39" s="33">
        <f>Data!J42*Data!M42</f>
        <v>380995</v>
      </c>
      <c r="B39" s="34">
        <f>Data!K42*Data!M42</f>
        <v>18362917</v>
      </c>
      <c r="C39" s="34">
        <f t="shared" si="1"/>
        <v>17981922</v>
      </c>
      <c r="D39" s="35">
        <f>C39*'SWB Ratio'!$B$9/0.9</f>
        <v>11161186.848084196</v>
      </c>
      <c r="E39" s="36">
        <f t="shared" si="2"/>
        <v>6820735.1519158036</v>
      </c>
      <c r="F39" s="36">
        <f t="shared" si="3"/>
        <v>380995</v>
      </c>
      <c r="G39" s="34" t="e">
        <f>D39*Data!#REF!</f>
        <v>#REF!</v>
      </c>
      <c r="H39" s="37" t="e">
        <f>(E39-(Data!I42*'License Fees'!$A$5))*Data!#REF!</f>
        <v>#REF!</v>
      </c>
      <c r="I39" s="37" t="e">
        <f>(H39+(IF(Data!C42=19,'License Fees'!$B$5+'License Fees'!$D$5,'License Fees'!$B$5)*Data!I42))</f>
        <v>#REF!</v>
      </c>
      <c r="J39" s="34" t="e">
        <f>(F39+G39+I39)/Data!G42</f>
        <v>#REF!</v>
      </c>
      <c r="K39" s="38">
        <f>'SB525 Add-Ons'!$B$5</f>
        <v>1386763456</v>
      </c>
      <c r="L39" s="39" t="e">
        <f t="shared" si="4"/>
        <v>#REF!</v>
      </c>
      <c r="M39" s="25">
        <f>IF(Data!N42=1,(Data!H42/Data!G42),0)</f>
        <v>0.72465378358001664</v>
      </c>
      <c r="N39" s="40" t="e">
        <f t="shared" si="5"/>
        <v>#REF!</v>
      </c>
      <c r="O39" s="40" t="e">
        <f>IF(Data!T42="Y",IF(L39&gt;=$Q$65,$Q$65,L39),"")</f>
        <v>#REF!</v>
      </c>
      <c r="P39" s="40" t="e">
        <f t="shared" si="6"/>
        <v>#REF!</v>
      </c>
      <c r="Q39" s="40" t="e">
        <f t="shared" si="7"/>
        <v>#REF!</v>
      </c>
    </row>
    <row r="40" spans="1:17" x14ac:dyDescent="0.45">
      <c r="A40" s="33" t="e">
        <f>Data!#REF!*Data!#REF!</f>
        <v>#REF!</v>
      </c>
      <c r="B40" s="34" t="e">
        <f>Data!#REF!*Data!#REF!</f>
        <v>#REF!</v>
      </c>
      <c r="C40" s="34" t="e">
        <f t="shared" si="1"/>
        <v>#REF!</v>
      </c>
      <c r="D40" s="35" t="e">
        <f>C40*'SWB Ratio'!$B$9/0.9</f>
        <v>#REF!</v>
      </c>
      <c r="E40" s="36" t="e">
        <f t="shared" si="2"/>
        <v>#REF!</v>
      </c>
      <c r="F40" s="36" t="e">
        <f t="shared" si="3"/>
        <v>#REF!</v>
      </c>
      <c r="G40" s="34" t="e">
        <f>D40*Data!#REF!</f>
        <v>#REF!</v>
      </c>
      <c r="H40" s="37" t="e">
        <f>(E40-(Data!#REF!*'License Fees'!$A$5))*Data!#REF!</f>
        <v>#REF!</v>
      </c>
      <c r="I40" s="37" t="e">
        <f>(H40+(IF(Data!#REF!=19,'License Fees'!$B$5+'License Fees'!$D$5,'License Fees'!$B$5)*Data!#REF!))</f>
        <v>#REF!</v>
      </c>
      <c r="J40" s="34" t="e">
        <f>(F40+G40+I40)/Data!#REF!</f>
        <v>#REF!</v>
      </c>
      <c r="K40" s="38">
        <f>'SB525 Add-Ons'!$B$5</f>
        <v>1386763456</v>
      </c>
      <c r="L40" s="39" t="e">
        <f t="shared" si="4"/>
        <v>#REF!</v>
      </c>
      <c r="M40" s="25" t="e">
        <f>IF(Data!#REF!=1,(Data!#REF!/Data!#REF!),0)</f>
        <v>#REF!</v>
      </c>
      <c r="N40" s="40" t="e">
        <f t="shared" si="5"/>
        <v>#REF!</v>
      </c>
      <c r="O40" s="40" t="e">
        <f>IF(Data!#REF!="Y",IF(L40&gt;=$Q$65,$Q$65,L40),"")</f>
        <v>#REF!</v>
      </c>
      <c r="P40" s="40" t="e">
        <f t="shared" si="6"/>
        <v>#REF!</v>
      </c>
      <c r="Q40" s="40" t="e">
        <f t="shared" si="7"/>
        <v>#REF!</v>
      </c>
    </row>
    <row r="41" spans="1:17" x14ac:dyDescent="0.45">
      <c r="A41" s="33">
        <f>Data!J45*Data!M45</f>
        <v>1583088</v>
      </c>
      <c r="B41" s="34">
        <f>Data!K45*Data!M45</f>
        <v>17001084</v>
      </c>
      <c r="C41" s="34">
        <f t="shared" si="1"/>
        <v>15417996</v>
      </c>
      <c r="D41" s="35">
        <f>C41*'SWB Ratio'!$B$9/0.9</f>
        <v>9569785.3755018357</v>
      </c>
      <c r="E41" s="36">
        <f t="shared" si="2"/>
        <v>5848210.6244981643</v>
      </c>
      <c r="F41" s="36">
        <f t="shared" si="3"/>
        <v>1583088</v>
      </c>
      <c r="G41" s="34" t="e">
        <f>D41*Data!#REF!</f>
        <v>#REF!</v>
      </c>
      <c r="H41" s="37" t="e">
        <f>(E41-(Data!I45*'License Fees'!$A$5))*Data!#REF!</f>
        <v>#REF!</v>
      </c>
      <c r="I41" s="37" t="e">
        <f>(H41+(IF(Data!C45=19,'License Fees'!$B$5+'License Fees'!$D$5,'License Fees'!$B$5)*Data!I45))</f>
        <v>#REF!</v>
      </c>
      <c r="J41" s="34" t="e">
        <f>(F41+G41+I41)/Data!G45</f>
        <v>#REF!</v>
      </c>
      <c r="K41" s="38">
        <f>'SB525 Add-Ons'!$B$5</f>
        <v>1386763456</v>
      </c>
      <c r="L41" s="39" t="e">
        <f t="shared" si="4"/>
        <v>#REF!</v>
      </c>
      <c r="M41" s="25">
        <f>IF(Data!N45=1,(Data!H45/Data!G45),0)</f>
        <v>0.40830495850180887</v>
      </c>
      <c r="N41" s="40" t="e">
        <f t="shared" si="5"/>
        <v>#REF!</v>
      </c>
      <c r="O41" s="40" t="str">
        <f>IF(Data!T45="Y",IF(L41&gt;=$Q$65,$Q$65,L41),"")</f>
        <v/>
      </c>
      <c r="P41" s="40" t="str">
        <f t="shared" si="6"/>
        <v/>
      </c>
      <c r="Q41" s="40" t="e">
        <f t="shared" si="7"/>
        <v>#REF!</v>
      </c>
    </row>
    <row r="42" spans="1:17" x14ac:dyDescent="0.45">
      <c r="A42" s="33">
        <f>Data!J46*Data!M46</f>
        <v>1398893</v>
      </c>
      <c r="B42" s="34">
        <f>Data!K46*Data!M46</f>
        <v>26797692</v>
      </c>
      <c r="C42" s="34">
        <f t="shared" si="1"/>
        <v>25398799</v>
      </c>
      <c r="D42" s="35">
        <f>C42*'SWB Ratio'!$B$9/0.9</f>
        <v>15764763.152455783</v>
      </c>
      <c r="E42" s="36">
        <f t="shared" si="2"/>
        <v>9634035.8475442175</v>
      </c>
      <c r="F42" s="36">
        <f t="shared" si="3"/>
        <v>1398893</v>
      </c>
      <c r="G42" s="34" t="e">
        <f>D42*Data!#REF!</f>
        <v>#REF!</v>
      </c>
      <c r="H42" s="37" t="e">
        <f>(E42-(Data!I46*'License Fees'!$A$5))*Data!#REF!</f>
        <v>#REF!</v>
      </c>
      <c r="I42" s="37" t="e">
        <f>(H42+(IF(Data!C46=19,'License Fees'!$B$5+'License Fees'!$D$5,'License Fees'!$B$5)*Data!I46))</f>
        <v>#REF!</v>
      </c>
      <c r="J42" s="34" t="e">
        <f>(F42+G42+I42)/Data!G46</f>
        <v>#REF!</v>
      </c>
      <c r="K42" s="38">
        <f>'SB525 Add-Ons'!$B$5</f>
        <v>1386763456</v>
      </c>
      <c r="L42" s="39" t="e">
        <f t="shared" si="4"/>
        <v>#REF!</v>
      </c>
      <c r="M42" s="25">
        <f>IF(Data!N46=1,(Data!H46/Data!G46),0)</f>
        <v>1.2751582052624066E-2</v>
      </c>
      <c r="N42" s="40" t="str">
        <f t="shared" si="5"/>
        <v/>
      </c>
      <c r="O42" s="40" t="str">
        <f>IF(Data!T46="Y",IF(L42&gt;=$Q$65,$Q$65,L42),"")</f>
        <v/>
      </c>
      <c r="P42" s="40" t="str">
        <f t="shared" si="6"/>
        <v/>
      </c>
      <c r="Q42" s="40" t="e">
        <f t="shared" si="7"/>
        <v>#REF!</v>
      </c>
    </row>
    <row r="43" spans="1:17" x14ac:dyDescent="0.45">
      <c r="A43" s="33">
        <f>Data!J47*Data!M47</f>
        <v>1436589</v>
      </c>
      <c r="B43" s="34">
        <f>Data!K47*Data!M47</f>
        <v>45817921</v>
      </c>
      <c r="C43" s="34">
        <f t="shared" si="1"/>
        <v>44381332</v>
      </c>
      <c r="D43" s="35">
        <f>C43*'SWB Ratio'!$B$9/0.9</f>
        <v>27547018.556684777</v>
      </c>
      <c r="E43" s="36">
        <f t="shared" si="2"/>
        <v>16834313.443315223</v>
      </c>
      <c r="F43" s="36">
        <f t="shared" si="3"/>
        <v>1436589</v>
      </c>
      <c r="G43" s="34" t="e">
        <f>D43*Data!#REF!</f>
        <v>#REF!</v>
      </c>
      <c r="H43" s="37" t="e">
        <f>(E43-(Data!I47*'License Fees'!$A$5))*Data!#REF!</f>
        <v>#REF!</v>
      </c>
      <c r="I43" s="37" t="e">
        <f>(H43+(IF(Data!C47=19,'License Fees'!$B$5+'License Fees'!$D$5,'License Fees'!$B$5)*Data!I47))</f>
        <v>#REF!</v>
      </c>
      <c r="J43" s="34" t="e">
        <f>(F43+G43+I43)/Data!G47</f>
        <v>#REF!</v>
      </c>
      <c r="K43" s="38">
        <f>'SB525 Add-Ons'!$B$5</f>
        <v>1386763456</v>
      </c>
      <c r="L43" s="39" t="e">
        <f t="shared" si="4"/>
        <v>#REF!</v>
      </c>
      <c r="M43" s="25">
        <f>IF(Data!N47=1,(Data!H47/Data!G47),0)</f>
        <v>0</v>
      </c>
      <c r="N43" s="40" t="str">
        <f t="shared" si="5"/>
        <v/>
      </c>
      <c r="O43" s="40" t="str">
        <f>IF(Data!T47="Y",IF(L43&gt;=$Q$65,$Q$65,L43),"")</f>
        <v/>
      </c>
      <c r="P43" s="40" t="str">
        <f t="shared" si="6"/>
        <v/>
      </c>
      <c r="Q43" s="40" t="e">
        <f t="shared" si="7"/>
        <v>#REF!</v>
      </c>
    </row>
    <row r="44" spans="1:17" x14ac:dyDescent="0.45">
      <c r="A44" s="33">
        <f>Data!J48*Data!M48</f>
        <v>557425</v>
      </c>
      <c r="B44" s="34">
        <f>Data!K48*Data!M48</f>
        <v>8021986</v>
      </c>
      <c r="C44" s="34">
        <f t="shared" si="1"/>
        <v>7464561</v>
      </c>
      <c r="D44" s="35">
        <f>C44*'SWB Ratio'!$B$9/0.9</f>
        <v>4633173.2536667772</v>
      </c>
      <c r="E44" s="36">
        <f t="shared" si="2"/>
        <v>2831387.7463332228</v>
      </c>
      <c r="F44" s="36">
        <f t="shared" si="3"/>
        <v>557425</v>
      </c>
      <c r="G44" s="34" t="e">
        <f>D44*Data!#REF!</f>
        <v>#REF!</v>
      </c>
      <c r="H44" s="37" t="e">
        <f>(E44-(Data!I48*'License Fees'!$A$5))*Data!#REF!</f>
        <v>#REF!</v>
      </c>
      <c r="I44" s="37" t="e">
        <f>(H44+(IF(Data!C48=19,'License Fees'!$B$5+'License Fees'!$D$5,'License Fees'!$B$5)*Data!I48))</f>
        <v>#REF!</v>
      </c>
      <c r="J44" s="34" t="e">
        <f>(F44+G44+I44)/Data!G48</f>
        <v>#REF!</v>
      </c>
      <c r="K44" s="38">
        <f>'SB525 Add-Ons'!$B$5</f>
        <v>1386763456</v>
      </c>
      <c r="L44" s="39" t="e">
        <f t="shared" si="4"/>
        <v>#REF!</v>
      </c>
      <c r="M44" s="25">
        <f>IF(Data!N48=1,(Data!H48/Data!G48),0)</f>
        <v>0.81640306538398821</v>
      </c>
      <c r="N44" s="40" t="e">
        <f t="shared" si="5"/>
        <v>#REF!</v>
      </c>
      <c r="O44" s="40" t="str">
        <f>IF(Data!T48="Y",IF(L44&gt;=$Q$65,$Q$65,L44),"")</f>
        <v/>
      </c>
      <c r="P44" s="40" t="str">
        <f t="shared" si="6"/>
        <v/>
      </c>
      <c r="Q44" s="40" t="e">
        <f t="shared" si="7"/>
        <v>#REF!</v>
      </c>
    </row>
    <row r="45" spans="1:17" x14ac:dyDescent="0.45">
      <c r="A45" s="33">
        <f>Data!J49*Data!M49</f>
        <v>598940</v>
      </c>
      <c r="B45" s="34">
        <f>Data!K49*Data!M49</f>
        <v>13522598</v>
      </c>
      <c r="C45" s="34">
        <f t="shared" si="1"/>
        <v>12923658</v>
      </c>
      <c r="D45" s="35">
        <f>C45*'SWB Ratio'!$B$9/0.9</f>
        <v>8021576.4309698427</v>
      </c>
      <c r="E45" s="36">
        <f t="shared" si="2"/>
        <v>4902081.5690301573</v>
      </c>
      <c r="F45" s="36">
        <f t="shared" si="3"/>
        <v>598940</v>
      </c>
      <c r="G45" s="34" t="e">
        <f>D45*Data!#REF!</f>
        <v>#REF!</v>
      </c>
      <c r="H45" s="37" t="e">
        <f>(E45-(Data!I49*'License Fees'!$A$5))*Data!#REF!</f>
        <v>#REF!</v>
      </c>
      <c r="I45" s="37" t="e">
        <f>(H45+(IF(Data!C49=19,'License Fees'!$B$5+'License Fees'!$D$5,'License Fees'!$B$5)*Data!I49))</f>
        <v>#REF!</v>
      </c>
      <c r="J45" s="34" t="e">
        <f>(F45+G45+I45)/Data!G49</f>
        <v>#REF!</v>
      </c>
      <c r="K45" s="38">
        <f>'SB525 Add-Ons'!$B$5</f>
        <v>1386763456</v>
      </c>
      <c r="L45" s="39" t="e">
        <f t="shared" si="4"/>
        <v>#REF!</v>
      </c>
      <c r="M45" s="25">
        <f>IF(Data!N49=1,(Data!H49/Data!G49),0)</f>
        <v>0.74630342313145637</v>
      </c>
      <c r="N45" s="40" t="e">
        <f t="shared" si="5"/>
        <v>#REF!</v>
      </c>
      <c r="O45" s="40" t="e">
        <f>IF(Data!T49="Y",IF(L45&gt;=$Q$65,$Q$65,L45),"")</f>
        <v>#REF!</v>
      </c>
      <c r="P45" s="40" t="e">
        <f t="shared" si="6"/>
        <v>#REF!</v>
      </c>
      <c r="Q45" s="40" t="e">
        <f t="shared" si="7"/>
        <v>#REF!</v>
      </c>
    </row>
    <row r="46" spans="1:17" x14ac:dyDescent="0.45">
      <c r="A46" s="33">
        <f>Data!J50*Data!M50</f>
        <v>593148</v>
      </c>
      <c r="B46" s="34">
        <f>Data!K50*Data!M50</f>
        <v>13327102</v>
      </c>
      <c r="C46" s="34">
        <f t="shared" si="1"/>
        <v>12733954</v>
      </c>
      <c r="D46" s="35">
        <f>C46*'SWB Ratio'!$B$9/0.9</f>
        <v>7903829.1851621382</v>
      </c>
      <c r="E46" s="36">
        <f t="shared" si="2"/>
        <v>4830124.8148378618</v>
      </c>
      <c r="F46" s="36">
        <f t="shared" si="3"/>
        <v>593148</v>
      </c>
      <c r="G46" s="34" t="e">
        <f>D46*Data!#REF!</f>
        <v>#REF!</v>
      </c>
      <c r="H46" s="37" t="e">
        <f>(E46-(Data!I50*'License Fees'!$A$5))*Data!#REF!</f>
        <v>#REF!</v>
      </c>
      <c r="I46" s="37" t="e">
        <f>(H46+(IF(Data!C50=19,'License Fees'!$B$5+'License Fees'!$D$5,'License Fees'!$B$5)*Data!I50))</f>
        <v>#REF!</v>
      </c>
      <c r="J46" s="34" t="e">
        <f>(F46+G46+I46)/Data!G50</f>
        <v>#REF!</v>
      </c>
      <c r="K46" s="38">
        <f>'SB525 Add-Ons'!$B$5</f>
        <v>1386763456</v>
      </c>
      <c r="L46" s="39" t="e">
        <f t="shared" si="4"/>
        <v>#REF!</v>
      </c>
      <c r="M46" s="25">
        <f>IF(Data!N50=1,(Data!H50/Data!G50),0)</f>
        <v>0.50140056022408963</v>
      </c>
      <c r="N46" s="40" t="e">
        <f t="shared" si="5"/>
        <v>#REF!</v>
      </c>
      <c r="O46" s="40" t="str">
        <f>IF(Data!T50="Y",IF(L46&gt;=$Q$65,$Q$65,L46),"")</f>
        <v/>
      </c>
      <c r="P46" s="40" t="str">
        <f t="shared" si="6"/>
        <v/>
      </c>
      <c r="Q46" s="40" t="e">
        <f t="shared" si="7"/>
        <v>#REF!</v>
      </c>
    </row>
    <row r="47" spans="1:17" x14ac:dyDescent="0.45">
      <c r="A47" s="33">
        <f>Data!J51*Data!M51</f>
        <v>240097</v>
      </c>
      <c r="B47" s="34">
        <f>Data!K51*Data!M51</f>
        <v>13959097</v>
      </c>
      <c r="C47" s="34">
        <f t="shared" si="1"/>
        <v>13719000</v>
      </c>
      <c r="D47" s="35">
        <f>C47*'SWB Ratio'!$B$9/0.9</f>
        <v>8515236.7121193763</v>
      </c>
      <c r="E47" s="36">
        <f t="shared" si="2"/>
        <v>5203763.2878806237</v>
      </c>
      <c r="F47" s="36">
        <f t="shared" si="3"/>
        <v>240097</v>
      </c>
      <c r="G47" s="34" t="e">
        <f>D47*Data!#REF!</f>
        <v>#REF!</v>
      </c>
      <c r="H47" s="37" t="e">
        <f>(E47-(Data!I51*'License Fees'!$A$5))*Data!#REF!</f>
        <v>#REF!</v>
      </c>
      <c r="I47" s="37" t="e">
        <f>(H47+(IF(Data!C51=19,'License Fees'!$B$5+'License Fees'!$D$5,'License Fees'!$B$5)*Data!I51))</f>
        <v>#REF!</v>
      </c>
      <c r="J47" s="34" t="e">
        <f>(F47+G47+I47)/Data!G51</f>
        <v>#REF!</v>
      </c>
      <c r="K47" s="38">
        <f>'SB525 Add-Ons'!$B$5</f>
        <v>1386763456</v>
      </c>
      <c r="L47" s="39" t="e">
        <f t="shared" si="4"/>
        <v>#REF!</v>
      </c>
      <c r="M47" s="25">
        <f>IF(Data!N51=1,(Data!H51/Data!G51),0)</f>
        <v>0</v>
      </c>
      <c r="N47" s="40" t="str">
        <f t="shared" si="5"/>
        <v/>
      </c>
      <c r="O47" s="40" t="str">
        <f>IF(Data!T51="Y",IF(L47&gt;=$Q$65,$Q$65,L47),"")</f>
        <v/>
      </c>
      <c r="P47" s="40" t="str">
        <f t="shared" si="6"/>
        <v/>
      </c>
      <c r="Q47" s="40" t="e">
        <f t="shared" si="7"/>
        <v>#REF!</v>
      </c>
    </row>
    <row r="48" spans="1:17" x14ac:dyDescent="0.45">
      <c r="A48" s="33">
        <f>Data!J52*Data!M52</f>
        <v>319595</v>
      </c>
      <c r="B48" s="34">
        <f>Data!K52*Data!M52</f>
        <v>56342637</v>
      </c>
      <c r="C48" s="34">
        <f t="shared" si="1"/>
        <v>56023042</v>
      </c>
      <c r="D48" s="35">
        <f>C48*'SWB Ratio'!$B$9/0.9</f>
        <v>34772903.561703168</v>
      </c>
      <c r="E48" s="36">
        <f t="shared" si="2"/>
        <v>21250138.438296832</v>
      </c>
      <c r="F48" s="36">
        <f t="shared" si="3"/>
        <v>319595</v>
      </c>
      <c r="G48" s="34" t="e">
        <f>D48*Data!#REF!</f>
        <v>#REF!</v>
      </c>
      <c r="H48" s="37" t="e">
        <f>(E48-(Data!I52*'License Fees'!$A$5))*Data!#REF!</f>
        <v>#REF!</v>
      </c>
      <c r="I48" s="37" t="e">
        <f>(H48+(IF(Data!C52=19,'License Fees'!$B$5+'License Fees'!$D$5,'License Fees'!$B$5)*Data!I52))</f>
        <v>#REF!</v>
      </c>
      <c r="J48" s="34" t="e">
        <f>(F48+G48+I48)/Data!G52</f>
        <v>#REF!</v>
      </c>
      <c r="K48" s="38">
        <f>'SB525 Add-Ons'!$B$5</f>
        <v>1386763456</v>
      </c>
      <c r="L48" s="39" t="e">
        <f t="shared" si="4"/>
        <v>#REF!</v>
      </c>
      <c r="M48" s="25">
        <f>IF(Data!N52=1,(Data!H52/Data!G52),0)</f>
        <v>0.89376989540700313</v>
      </c>
      <c r="N48" s="40" t="e">
        <f t="shared" si="5"/>
        <v>#REF!</v>
      </c>
      <c r="O48" s="40" t="str">
        <f>IF(Data!T52="Y",IF(L48&gt;=$Q$65,$Q$65,L48),"")</f>
        <v/>
      </c>
      <c r="P48" s="40" t="str">
        <f t="shared" si="6"/>
        <v/>
      </c>
      <c r="Q48" s="40" t="e">
        <f t="shared" si="7"/>
        <v>#REF!</v>
      </c>
    </row>
    <row r="49" spans="1:17" x14ac:dyDescent="0.45">
      <c r="A49" s="33">
        <f>Data!J53*Data!M53</f>
        <v>355905</v>
      </c>
      <c r="B49" s="34">
        <f>Data!K53*Data!M53</f>
        <v>16400635</v>
      </c>
      <c r="C49" s="34">
        <f t="shared" si="1"/>
        <v>16044730</v>
      </c>
      <c r="D49" s="35">
        <f>C49*'SWB Ratio'!$B$9/0.9</f>
        <v>9958792.4726323429</v>
      </c>
      <c r="E49" s="36">
        <f t="shared" si="2"/>
        <v>6085937.5273676571</v>
      </c>
      <c r="F49" s="36">
        <f t="shared" si="3"/>
        <v>355905</v>
      </c>
      <c r="G49" s="34" t="e">
        <f>D49*Data!#REF!</f>
        <v>#REF!</v>
      </c>
      <c r="H49" s="37" t="e">
        <f>(E49-(Data!I53*'License Fees'!$A$5))*Data!#REF!</f>
        <v>#REF!</v>
      </c>
      <c r="I49" s="37" t="e">
        <f>(H49+(IF(Data!C53=19,'License Fees'!$B$5+'License Fees'!$D$5,'License Fees'!$B$5)*Data!I53))</f>
        <v>#REF!</v>
      </c>
      <c r="J49" s="34" t="e">
        <f>(F49+G49+I49)/Data!G53</f>
        <v>#REF!</v>
      </c>
      <c r="K49" s="38">
        <f>'SB525 Add-Ons'!$B$5</f>
        <v>1386763456</v>
      </c>
      <c r="L49" s="39" t="e">
        <f t="shared" si="4"/>
        <v>#REF!</v>
      </c>
      <c r="M49" s="25">
        <f>IF(Data!N53=1,(Data!H53/Data!G53),0)</f>
        <v>0</v>
      </c>
      <c r="N49" s="40" t="str">
        <f t="shared" si="5"/>
        <v/>
      </c>
      <c r="O49" s="40" t="str">
        <f>IF(Data!T53="Y",IF(L49&gt;=$Q$65,$Q$65,L49),"")</f>
        <v/>
      </c>
      <c r="P49" s="40" t="str">
        <f t="shared" si="6"/>
        <v/>
      </c>
      <c r="Q49" s="40" t="e">
        <f t="shared" si="7"/>
        <v>#REF!</v>
      </c>
    </row>
    <row r="50" spans="1:17" x14ac:dyDescent="0.45">
      <c r="A50" s="33">
        <f>Data!J54*Data!M54</f>
        <v>81944</v>
      </c>
      <c r="B50" s="34">
        <f>Data!K54*Data!M54</f>
        <v>4389321</v>
      </c>
      <c r="C50" s="34">
        <f t="shared" si="1"/>
        <v>4307377</v>
      </c>
      <c r="D50" s="35">
        <f>C50*'SWB Ratio'!$B$9/0.9</f>
        <v>2673542.8794619595</v>
      </c>
      <c r="E50" s="36">
        <f t="shared" si="2"/>
        <v>1633834.1205380405</v>
      </c>
      <c r="F50" s="36">
        <f t="shared" si="3"/>
        <v>81944</v>
      </c>
      <c r="G50" s="34" t="e">
        <f>D50*Data!#REF!</f>
        <v>#REF!</v>
      </c>
      <c r="H50" s="37" t="e">
        <f>(E50-(Data!I54*'License Fees'!$A$5))*Data!#REF!</f>
        <v>#REF!</v>
      </c>
      <c r="I50" s="37" t="e">
        <f>(H50+(IF(Data!C54=19,'License Fees'!$B$5+'License Fees'!$D$5,'License Fees'!$B$5)*Data!I54))</f>
        <v>#REF!</v>
      </c>
      <c r="J50" s="34" t="e">
        <f>(F50+G50+I50)/Data!G54</f>
        <v>#REF!</v>
      </c>
      <c r="K50" s="38">
        <f>'SB525 Add-Ons'!$B$5</f>
        <v>1386763456</v>
      </c>
      <c r="L50" s="39" t="e">
        <f t="shared" si="4"/>
        <v>#REF!</v>
      </c>
      <c r="M50" s="25">
        <f>IF(Data!N54=1,(Data!H54/Data!G54),0)</f>
        <v>0.80770816158285241</v>
      </c>
      <c r="N50" s="40" t="e">
        <f t="shared" si="5"/>
        <v>#REF!</v>
      </c>
      <c r="O50" s="40" t="e">
        <f>IF(Data!T54="Y",IF(L50&gt;=$Q$65,$Q$65,L50),"")</f>
        <v>#REF!</v>
      </c>
      <c r="P50" s="40" t="e">
        <f t="shared" si="6"/>
        <v>#REF!</v>
      </c>
      <c r="Q50" s="40" t="e">
        <f t="shared" si="7"/>
        <v>#REF!</v>
      </c>
    </row>
    <row r="51" spans="1:17" x14ac:dyDescent="0.45">
      <c r="A51" s="33">
        <f>Data!J56*Data!M56</f>
        <v>1701471</v>
      </c>
      <c r="B51" s="34">
        <f>Data!K56*Data!M56</f>
        <v>24994130</v>
      </c>
      <c r="C51" s="34">
        <f t="shared" si="1"/>
        <v>23292659</v>
      </c>
      <c r="D51" s="35">
        <f>C51*'SWB Ratio'!$B$9/0.9</f>
        <v>14457504.558617814</v>
      </c>
      <c r="E51" s="36">
        <f t="shared" si="2"/>
        <v>8835154.4413821865</v>
      </c>
      <c r="F51" s="36">
        <f t="shared" si="3"/>
        <v>1701471</v>
      </c>
      <c r="G51" s="34" t="e">
        <f>D51*Data!#REF!</f>
        <v>#REF!</v>
      </c>
      <c r="H51" s="37" t="e">
        <f>(E51-(Data!I56*'License Fees'!$A$5))*Data!#REF!</f>
        <v>#REF!</v>
      </c>
      <c r="I51" s="37" t="e">
        <f>(H51+(IF(Data!C56=19,'License Fees'!$B$5+'License Fees'!$D$5,'License Fees'!$B$5)*Data!I56))</f>
        <v>#REF!</v>
      </c>
      <c r="J51" s="34" t="e">
        <f>(F51+G51+I51)/Data!G56</f>
        <v>#REF!</v>
      </c>
      <c r="K51" s="38">
        <f>'SB525 Add-Ons'!$B$5</f>
        <v>1386763456</v>
      </c>
      <c r="L51" s="39" t="e">
        <f t="shared" si="4"/>
        <v>#REF!</v>
      </c>
      <c r="M51" s="25">
        <f>IF(Data!N56=1,(Data!H56/Data!G56),0)</f>
        <v>0.59062575334917522</v>
      </c>
      <c r="N51" s="40" t="e">
        <f t="shared" si="5"/>
        <v>#REF!</v>
      </c>
      <c r="O51" s="40" t="str">
        <f>IF(Data!T56="Y",IF(L51&gt;=$Q$65,$Q$65,L51),"")</f>
        <v/>
      </c>
      <c r="P51" s="40" t="str">
        <f t="shared" si="6"/>
        <v/>
      </c>
      <c r="Q51" s="40" t="e">
        <f t="shared" si="7"/>
        <v>#REF!</v>
      </c>
    </row>
    <row r="52" spans="1:17" x14ac:dyDescent="0.45">
      <c r="A52" s="33">
        <f>Data!J57*Data!M57</f>
        <v>764265</v>
      </c>
      <c r="B52" s="34">
        <f>Data!K57*Data!M57</f>
        <v>11476113</v>
      </c>
      <c r="C52" s="34">
        <f t="shared" si="1"/>
        <v>10711848</v>
      </c>
      <c r="D52" s="35">
        <f>C52*'SWB Ratio'!$B$9/0.9</f>
        <v>6648729.5972186383</v>
      </c>
      <c r="E52" s="36">
        <f t="shared" si="2"/>
        <v>4063118.4027813617</v>
      </c>
      <c r="F52" s="36">
        <f t="shared" si="3"/>
        <v>764265</v>
      </c>
      <c r="G52" s="34" t="e">
        <f>D52*Data!#REF!</f>
        <v>#REF!</v>
      </c>
      <c r="H52" s="37" t="e">
        <f>(E52-(Data!I57*'License Fees'!$A$5))*Data!#REF!</f>
        <v>#REF!</v>
      </c>
      <c r="I52" s="37" t="e">
        <f>(H52+(IF(Data!C57=19,'License Fees'!$B$5+'License Fees'!$D$5,'License Fees'!$B$5)*Data!I57))</f>
        <v>#REF!</v>
      </c>
      <c r="J52" s="34" t="e">
        <f>(F52+G52+I52)/Data!G57</f>
        <v>#REF!</v>
      </c>
      <c r="K52" s="38">
        <f>'SB525 Add-Ons'!$B$5</f>
        <v>1386763456</v>
      </c>
      <c r="L52" s="39" t="e">
        <f t="shared" si="4"/>
        <v>#REF!</v>
      </c>
      <c r="M52" s="25">
        <f>IF(Data!N57=1,(Data!H57/Data!G57),0)</f>
        <v>0.77729714644526615</v>
      </c>
      <c r="N52" s="40" t="e">
        <f t="shared" si="5"/>
        <v>#REF!</v>
      </c>
      <c r="O52" s="40" t="str">
        <f>IF(Data!T57="Y",IF(L52&gt;=$Q$65,$Q$65,L52),"")</f>
        <v/>
      </c>
      <c r="P52" s="40" t="str">
        <f t="shared" si="6"/>
        <v/>
      </c>
      <c r="Q52" s="40" t="e">
        <f t="shared" si="7"/>
        <v>#REF!</v>
      </c>
    </row>
    <row r="53" spans="1:17" x14ac:dyDescent="0.45">
      <c r="A53" s="33">
        <f>Data!J58*Data!M58</f>
        <v>444646</v>
      </c>
      <c r="B53" s="34">
        <f>Data!K58*Data!M58</f>
        <v>6285801</v>
      </c>
      <c r="C53" s="34">
        <f t="shared" si="1"/>
        <v>5841155</v>
      </c>
      <c r="D53" s="35">
        <f>C53*'SWB Ratio'!$B$9/0.9</f>
        <v>3625542.4956031526</v>
      </c>
      <c r="E53" s="36">
        <f t="shared" si="2"/>
        <v>2215612.5043968474</v>
      </c>
      <c r="F53" s="36">
        <f t="shared" si="3"/>
        <v>444646</v>
      </c>
      <c r="G53" s="34" t="e">
        <f>D53*Data!#REF!</f>
        <v>#REF!</v>
      </c>
      <c r="H53" s="37" t="e">
        <f>(E53-(Data!I58*'License Fees'!$A$5))*Data!#REF!</f>
        <v>#REF!</v>
      </c>
      <c r="I53" s="37" t="e">
        <f>(H53+(IF(Data!C58=19,'License Fees'!$B$5+'License Fees'!$D$5,'License Fees'!$B$5)*Data!I58))</f>
        <v>#REF!</v>
      </c>
      <c r="J53" s="34" t="e">
        <f>(F53+G53+I53)/Data!G58</f>
        <v>#REF!</v>
      </c>
      <c r="K53" s="38">
        <f>'SB525 Add-Ons'!$B$5</f>
        <v>1386763456</v>
      </c>
      <c r="L53" s="39" t="e">
        <f t="shared" si="4"/>
        <v>#REF!</v>
      </c>
      <c r="M53" s="25">
        <f>IF(Data!N58=1,(Data!H58/Data!G58),0)</f>
        <v>0</v>
      </c>
      <c r="N53" s="40" t="str">
        <f t="shared" si="5"/>
        <v/>
      </c>
      <c r="O53" s="40" t="str">
        <f>IF(Data!T58="Y",IF(L53&gt;=$Q$65,$Q$65,L53),"")</f>
        <v/>
      </c>
      <c r="P53" s="40" t="str">
        <f t="shared" si="6"/>
        <v/>
      </c>
      <c r="Q53" s="40" t="e">
        <f t="shared" si="7"/>
        <v>#REF!</v>
      </c>
    </row>
    <row r="54" spans="1:17" x14ac:dyDescent="0.45">
      <c r="A54" s="33">
        <f>Data!J59*Data!M59</f>
        <v>450718</v>
      </c>
      <c r="B54" s="34">
        <f>Data!K59*Data!M59</f>
        <v>9622793</v>
      </c>
      <c r="C54" s="34">
        <f t="shared" si="1"/>
        <v>9172075</v>
      </c>
      <c r="D54" s="35">
        <f>C54*'SWB Ratio'!$B$9/0.9</f>
        <v>5693008.9486341812</v>
      </c>
      <c r="E54" s="36">
        <f t="shared" si="2"/>
        <v>3479066.0513658188</v>
      </c>
      <c r="F54" s="36">
        <f t="shared" si="3"/>
        <v>450718</v>
      </c>
      <c r="G54" s="34" t="e">
        <f>D54*Data!#REF!</f>
        <v>#REF!</v>
      </c>
      <c r="H54" s="37" t="e">
        <f>(E54-(Data!I59*'License Fees'!$A$5))*Data!#REF!</f>
        <v>#REF!</v>
      </c>
      <c r="I54" s="37" t="e">
        <f>(H54+(IF(Data!C59=19,'License Fees'!$B$5+'License Fees'!$D$5,'License Fees'!$B$5)*Data!I59))</f>
        <v>#REF!</v>
      </c>
      <c r="J54" s="34" t="e">
        <f>(F54+G54+I54)/Data!G59</f>
        <v>#REF!</v>
      </c>
      <c r="K54" s="38">
        <f>'SB525 Add-Ons'!$B$5</f>
        <v>1386763456</v>
      </c>
      <c r="L54" s="39" t="e">
        <f t="shared" si="4"/>
        <v>#REF!</v>
      </c>
      <c r="M54" s="25">
        <f>IF(Data!N59=1,(Data!H59/Data!G59),0)</f>
        <v>0</v>
      </c>
      <c r="N54" s="40" t="str">
        <f t="shared" si="5"/>
        <v/>
      </c>
      <c r="O54" s="40" t="str">
        <f>IF(Data!T59="Y",IF(L54&gt;=$Q$65,$Q$65,L54),"")</f>
        <v/>
      </c>
      <c r="P54" s="40" t="str">
        <f t="shared" si="6"/>
        <v/>
      </c>
      <c r="Q54" s="40" t="e">
        <f t="shared" si="7"/>
        <v>#REF!</v>
      </c>
    </row>
    <row r="55" spans="1:17" x14ac:dyDescent="0.45">
      <c r="A55" s="33">
        <f>Data!J60*Data!M60</f>
        <v>564264</v>
      </c>
      <c r="B55" s="34">
        <f>Data!K60*Data!M60</f>
        <v>7406716</v>
      </c>
      <c r="C55" s="34">
        <f t="shared" si="1"/>
        <v>6842452</v>
      </c>
      <c r="D55" s="35">
        <f>C55*'SWB Ratio'!$B$9/0.9</f>
        <v>4247036.8446180224</v>
      </c>
      <c r="E55" s="36">
        <f t="shared" si="2"/>
        <v>2595415.1553819776</v>
      </c>
      <c r="F55" s="36">
        <f t="shared" si="3"/>
        <v>564264</v>
      </c>
      <c r="G55" s="34" t="e">
        <f>D55*Data!#REF!</f>
        <v>#REF!</v>
      </c>
      <c r="H55" s="37" t="e">
        <f>(E55-(Data!I60*'License Fees'!$A$5))*Data!#REF!</f>
        <v>#REF!</v>
      </c>
      <c r="I55" s="37" t="e">
        <f>(H55+(IF(Data!C60=19,'License Fees'!$B$5+'License Fees'!$D$5,'License Fees'!$B$5)*Data!I60))</f>
        <v>#REF!</v>
      </c>
      <c r="J55" s="34" t="e">
        <f>(F55+G55+I55)/Data!G60</f>
        <v>#REF!</v>
      </c>
      <c r="K55" s="38">
        <f>'SB525 Add-Ons'!$B$5</f>
        <v>1386763456</v>
      </c>
      <c r="L55" s="39" t="e">
        <f t="shared" si="4"/>
        <v>#REF!</v>
      </c>
      <c r="M55" s="25">
        <f>IF(Data!N60=1,(Data!H60/Data!G60),0)</f>
        <v>0.57221066462279646</v>
      </c>
      <c r="N55" s="40" t="e">
        <f t="shared" si="5"/>
        <v>#REF!</v>
      </c>
      <c r="O55" s="40" t="str">
        <f>IF(Data!T60="Y",IF(L55&gt;=$Q$65,$Q$65,L55),"")</f>
        <v/>
      </c>
      <c r="P55" s="40" t="str">
        <f t="shared" si="6"/>
        <v/>
      </c>
      <c r="Q55" s="40" t="e">
        <f t="shared" si="7"/>
        <v>#REF!</v>
      </c>
    </row>
    <row r="56" spans="1:17" x14ac:dyDescent="0.45">
      <c r="A56" s="33">
        <f>Data!J61*Data!M61</f>
        <v>346434</v>
      </c>
      <c r="B56" s="34">
        <f>Data!K61*Data!M61</f>
        <v>15705387</v>
      </c>
      <c r="C56" s="34">
        <f t="shared" si="1"/>
        <v>15358953</v>
      </c>
      <c r="D56" s="35">
        <f>C56*'SWB Ratio'!$B$9/0.9</f>
        <v>9533138.0162778646</v>
      </c>
      <c r="E56" s="36">
        <f t="shared" si="2"/>
        <v>5825814.9837221354</v>
      </c>
      <c r="F56" s="36">
        <f t="shared" si="3"/>
        <v>346434</v>
      </c>
      <c r="G56" s="34" t="e">
        <f>D56*Data!#REF!</f>
        <v>#REF!</v>
      </c>
      <c r="H56" s="37" t="e">
        <f>(E56-(Data!I61*'License Fees'!$A$5))*Data!#REF!</f>
        <v>#REF!</v>
      </c>
      <c r="I56" s="37" t="e">
        <f>(H56+(IF(Data!C61=19,'License Fees'!$B$5+'License Fees'!$D$5,'License Fees'!$B$5)*Data!I61))</f>
        <v>#REF!</v>
      </c>
      <c r="J56" s="34" t="e">
        <f>(F56+G56+I56)/Data!G61</f>
        <v>#REF!</v>
      </c>
      <c r="K56" s="38">
        <f>'SB525 Add-Ons'!$B$5</f>
        <v>1386763456</v>
      </c>
      <c r="L56" s="39" t="e">
        <f t="shared" si="4"/>
        <v>#REF!</v>
      </c>
      <c r="M56" s="25">
        <f>IF(Data!N61=1,(Data!H61/Data!G61),0)</f>
        <v>0.28668353885089654</v>
      </c>
      <c r="N56" s="40" t="e">
        <f t="shared" si="5"/>
        <v>#REF!</v>
      </c>
      <c r="O56" s="40" t="e">
        <f>IF(Data!T61="Y",IF(L56&gt;=$Q$65,$Q$65,L56),"")</f>
        <v>#REF!</v>
      </c>
      <c r="P56" s="40" t="e">
        <f t="shared" si="6"/>
        <v>#REF!</v>
      </c>
      <c r="Q56" s="40" t="e">
        <f t="shared" si="7"/>
        <v>#REF!</v>
      </c>
    </row>
    <row r="57" spans="1:17" x14ac:dyDescent="0.45">
      <c r="A57" s="33" t="e">
        <f>Data!#REF!*Data!#REF!</f>
        <v>#REF!</v>
      </c>
      <c r="B57" s="34" t="e">
        <f>Data!#REF!*Data!#REF!</f>
        <v>#REF!</v>
      </c>
      <c r="C57" s="34" t="e">
        <f t="shared" si="1"/>
        <v>#REF!</v>
      </c>
      <c r="D57" s="35" t="e">
        <f>C57*'SWB Ratio'!$B$9/0.9</f>
        <v>#REF!</v>
      </c>
      <c r="E57" s="36" t="e">
        <f t="shared" si="2"/>
        <v>#REF!</v>
      </c>
      <c r="F57" s="36" t="e">
        <f t="shared" si="3"/>
        <v>#REF!</v>
      </c>
      <c r="G57" s="34" t="e">
        <f>D57*Data!#REF!</f>
        <v>#REF!</v>
      </c>
      <c r="H57" s="37" t="e">
        <f>(E57-(Data!#REF!*'License Fees'!$A$5))*Data!#REF!</f>
        <v>#REF!</v>
      </c>
      <c r="I57" s="37" t="e">
        <f>(H57+(IF(Data!#REF!=19,'License Fees'!$B$5+'License Fees'!$D$5,'License Fees'!$B$5)*Data!#REF!))</f>
        <v>#REF!</v>
      </c>
      <c r="J57" s="34" t="e">
        <f>(F57+G57+I57)/Data!#REF!</f>
        <v>#REF!</v>
      </c>
      <c r="K57" s="38">
        <f>'SB525 Add-Ons'!$B$5</f>
        <v>1386763456</v>
      </c>
      <c r="L57" s="39" t="e">
        <f t="shared" si="4"/>
        <v>#REF!</v>
      </c>
      <c r="M57" s="25" t="e">
        <f>IF(Data!#REF!=1,(Data!#REF!/Data!#REF!),0)</f>
        <v>#REF!</v>
      </c>
      <c r="N57" s="40" t="e">
        <f t="shared" si="5"/>
        <v>#REF!</v>
      </c>
      <c r="O57" s="40" t="e">
        <f>IF(Data!#REF!="Y",IF(L57&gt;=$Q$65,$Q$65,L57),"")</f>
        <v>#REF!</v>
      </c>
      <c r="P57" s="40" t="e">
        <f t="shared" si="6"/>
        <v>#REF!</v>
      </c>
      <c r="Q57" s="40" t="e">
        <f t="shared" si="7"/>
        <v>#REF!</v>
      </c>
    </row>
    <row r="58" spans="1:17" x14ac:dyDescent="0.45">
      <c r="A58" s="33">
        <f>Data!J64*Data!M64</f>
        <v>890682</v>
      </c>
      <c r="B58" s="34">
        <f>Data!K64*Data!M64</f>
        <v>9530765</v>
      </c>
      <c r="C58" s="34">
        <f t="shared" si="1"/>
        <v>8640083</v>
      </c>
      <c r="D58" s="35">
        <f>C58*'SWB Ratio'!$B$9/0.9</f>
        <v>5362807.1985828783</v>
      </c>
      <c r="E58" s="36">
        <f t="shared" si="2"/>
        <v>3277275.8014171217</v>
      </c>
      <c r="F58" s="36">
        <f t="shared" si="3"/>
        <v>890682</v>
      </c>
      <c r="G58" s="34" t="e">
        <f>D58*Data!#REF!</f>
        <v>#REF!</v>
      </c>
      <c r="H58" s="37" t="e">
        <f>(E58-(Data!I64*'License Fees'!$A$5))*Data!#REF!</f>
        <v>#REF!</v>
      </c>
      <c r="I58" s="37" t="e">
        <f>(H58+(IF(Data!C64=19,'License Fees'!$B$5+'License Fees'!$D$5,'License Fees'!$B$5)*Data!I64))</f>
        <v>#REF!</v>
      </c>
      <c r="J58" s="34" t="e">
        <f>(F58+G58+I58)/Data!G64</f>
        <v>#REF!</v>
      </c>
      <c r="K58" s="38">
        <f>'SB525 Add-Ons'!$B$5</f>
        <v>1386763456</v>
      </c>
      <c r="L58" s="39" t="e">
        <f t="shared" si="4"/>
        <v>#REF!</v>
      </c>
      <c r="M58" s="25">
        <f>IF(Data!N64=1,(Data!H64/Data!G64),0)</f>
        <v>0</v>
      </c>
      <c r="N58" s="40" t="str">
        <f t="shared" si="5"/>
        <v/>
      </c>
      <c r="O58" s="40" t="e">
        <f>IF(Data!T64="Y",IF(L58&gt;=$Q$65,$Q$65,L58),"")</f>
        <v>#REF!</v>
      </c>
      <c r="P58" s="40" t="e">
        <f t="shared" si="6"/>
        <v>#REF!</v>
      </c>
      <c r="Q58" s="40" t="e">
        <f t="shared" si="7"/>
        <v>#REF!</v>
      </c>
    </row>
    <row r="59" spans="1:17" x14ac:dyDescent="0.45">
      <c r="A59" s="33">
        <f>Data!J65*Data!M65</f>
        <v>866775</v>
      </c>
      <c r="B59" s="34">
        <f>Data!K65*Data!M65</f>
        <v>12713116</v>
      </c>
      <c r="C59" s="34">
        <f t="shared" si="1"/>
        <v>11846341</v>
      </c>
      <c r="D59" s="35">
        <f>C59*'SWB Ratio'!$B$9/0.9</f>
        <v>7352897.2802306991</v>
      </c>
      <c r="E59" s="36">
        <f t="shared" si="2"/>
        <v>4493443.7197693009</v>
      </c>
      <c r="F59" s="36">
        <f t="shared" si="3"/>
        <v>866775</v>
      </c>
      <c r="G59" s="34" t="e">
        <f>D59*Data!#REF!</f>
        <v>#REF!</v>
      </c>
      <c r="H59" s="37" t="e">
        <f>(E59-(Data!I65*'License Fees'!$A$5))*Data!#REF!</f>
        <v>#REF!</v>
      </c>
      <c r="I59" s="37" t="e">
        <f>(H59+(IF(Data!C65=19,'License Fees'!$B$5+'License Fees'!$D$5,'License Fees'!$B$5)*Data!I65))</f>
        <v>#REF!</v>
      </c>
      <c r="J59" s="34" t="e">
        <f>(F59+G59+I59)/Data!G65</f>
        <v>#REF!</v>
      </c>
      <c r="K59" s="38">
        <f>'SB525 Add-Ons'!$B$5</f>
        <v>1386763456</v>
      </c>
      <c r="L59" s="39" t="e">
        <f t="shared" si="4"/>
        <v>#REF!</v>
      </c>
      <c r="M59" s="25">
        <f>IF(Data!N65=1,(Data!H65/Data!G65),0)</f>
        <v>7.0532915360501571E-3</v>
      </c>
      <c r="N59" s="40" t="str">
        <f t="shared" si="5"/>
        <v/>
      </c>
      <c r="O59" s="40" t="str">
        <f>IF(Data!T65="Y",IF(L59&gt;=$Q$65,$Q$65,L59),"")</f>
        <v/>
      </c>
      <c r="P59" s="40" t="str">
        <f t="shared" si="6"/>
        <v/>
      </c>
      <c r="Q59" s="40" t="e">
        <f t="shared" si="7"/>
        <v>#REF!</v>
      </c>
    </row>
    <row r="60" spans="1:17" x14ac:dyDescent="0.45">
      <c r="A60" s="33">
        <f>Data!J66*Data!M66</f>
        <v>5607</v>
      </c>
      <c r="B60" s="34">
        <f>Data!K66*Data!M66</f>
        <v>3325074</v>
      </c>
      <c r="C60" s="34">
        <f t="shared" si="1"/>
        <v>3319467</v>
      </c>
      <c r="D60" s="35">
        <f>C60*'SWB Ratio'!$B$9/0.9</f>
        <v>2060357.698306638</v>
      </c>
      <c r="E60" s="36">
        <f t="shared" si="2"/>
        <v>1259109.301693362</v>
      </c>
      <c r="F60" s="36">
        <f t="shared" si="3"/>
        <v>5607</v>
      </c>
      <c r="G60" s="34" t="e">
        <f>D60*Data!#REF!</f>
        <v>#REF!</v>
      </c>
      <c r="H60" s="37" t="e">
        <f>(E60-(Data!I66*'License Fees'!$A$5))*Data!#REF!</f>
        <v>#REF!</v>
      </c>
      <c r="I60" s="37" t="e">
        <f>(H60+(IF(Data!C66=19,'License Fees'!$B$5+'License Fees'!$D$5,'License Fees'!$B$5)*Data!I66))</f>
        <v>#REF!</v>
      </c>
      <c r="J60" s="34" t="e">
        <f>(F60+G60+I60)/Data!G66</f>
        <v>#REF!</v>
      </c>
      <c r="K60" s="38">
        <f>'SB525 Add-Ons'!$B$5</f>
        <v>1386763456</v>
      </c>
      <c r="L60" s="39" t="e">
        <f t="shared" si="4"/>
        <v>#REF!</v>
      </c>
      <c r="M60" s="25">
        <f>IF(Data!N66=1,(Data!H66/Data!G66),0)</f>
        <v>0.93722412947523293</v>
      </c>
      <c r="N60" s="40" t="e">
        <f t="shared" si="5"/>
        <v>#REF!</v>
      </c>
      <c r="O60" s="40" t="e">
        <f>IF(Data!T66="Y",IF(L60&gt;=$Q$65,$Q$65,L60),"")</f>
        <v>#REF!</v>
      </c>
      <c r="P60" s="40" t="e">
        <f t="shared" si="6"/>
        <v>#REF!</v>
      </c>
      <c r="Q60" s="40" t="e">
        <f t="shared" si="7"/>
        <v>#REF!</v>
      </c>
    </row>
    <row r="61" spans="1:17" x14ac:dyDescent="0.45">
      <c r="A61" s="33" t="e">
        <f>Data!#REF!*Data!#REF!</f>
        <v>#REF!</v>
      </c>
      <c r="B61" s="34" t="e">
        <f>Data!#REF!*Data!#REF!</f>
        <v>#REF!</v>
      </c>
      <c r="C61" s="34" t="e">
        <f t="shared" si="1"/>
        <v>#REF!</v>
      </c>
      <c r="D61" s="35" t="e">
        <f>C61*'SWB Ratio'!$B$9/0.9</f>
        <v>#REF!</v>
      </c>
      <c r="E61" s="36" t="e">
        <f t="shared" si="2"/>
        <v>#REF!</v>
      </c>
      <c r="F61" s="36" t="e">
        <f t="shared" si="3"/>
        <v>#REF!</v>
      </c>
      <c r="G61" s="34" t="e">
        <f>D61*Data!#REF!</f>
        <v>#REF!</v>
      </c>
      <c r="H61" s="37" t="e">
        <f>(E61-(Data!#REF!*'License Fees'!$A$5))*Data!#REF!</f>
        <v>#REF!</v>
      </c>
      <c r="I61" s="37" t="e">
        <f>(H61+(IF(Data!#REF!=19,'License Fees'!$B$5+'License Fees'!$D$5,'License Fees'!$B$5)*Data!#REF!))</f>
        <v>#REF!</v>
      </c>
      <c r="J61" s="34" t="e">
        <f>(F61+G61+I61)/Data!#REF!</f>
        <v>#REF!</v>
      </c>
      <c r="K61" s="38">
        <f>'SB525 Add-Ons'!$B$5</f>
        <v>1386763456</v>
      </c>
      <c r="L61" s="39" t="e">
        <f t="shared" si="4"/>
        <v>#REF!</v>
      </c>
      <c r="M61" s="25" t="e">
        <f>IF(Data!#REF!=1,(Data!#REF!/Data!#REF!),0)</f>
        <v>#REF!</v>
      </c>
      <c r="N61" s="40" t="e">
        <f t="shared" si="5"/>
        <v>#REF!</v>
      </c>
      <c r="O61" s="40" t="e">
        <f>IF(Data!#REF!="Y",IF(L61&gt;=$Q$65,$Q$65,L61),"")</f>
        <v>#REF!</v>
      </c>
      <c r="P61" s="40" t="e">
        <f t="shared" si="6"/>
        <v>#REF!</v>
      </c>
      <c r="Q61" s="40" t="e">
        <f t="shared" si="7"/>
        <v>#REF!</v>
      </c>
    </row>
    <row r="62" spans="1:17" x14ac:dyDescent="0.45">
      <c r="A62" s="33">
        <f>Data!J67*Data!M67</f>
        <v>237273</v>
      </c>
      <c r="B62" s="34">
        <f>Data!K67*Data!M67</f>
        <v>6074593</v>
      </c>
      <c r="C62" s="34">
        <f t="shared" si="1"/>
        <v>5837320</v>
      </c>
      <c r="D62" s="35">
        <f>C62*'SWB Ratio'!$B$9/0.9</f>
        <v>3623162.1520802299</v>
      </c>
      <c r="E62" s="36">
        <f t="shared" si="2"/>
        <v>2214157.8479197701</v>
      </c>
      <c r="F62" s="36">
        <f t="shared" si="3"/>
        <v>237273</v>
      </c>
      <c r="G62" s="34" t="e">
        <f>D62*Data!#REF!</f>
        <v>#REF!</v>
      </c>
      <c r="H62" s="37" t="e">
        <f>(E62-(Data!I67*'License Fees'!$A$5))*Data!#REF!</f>
        <v>#REF!</v>
      </c>
      <c r="I62" s="37" t="e">
        <f>(H62+(IF(Data!C67=19,'License Fees'!$B$5+'License Fees'!$D$5,'License Fees'!$B$5)*Data!I67))</f>
        <v>#REF!</v>
      </c>
      <c r="J62" s="34" t="e">
        <f>(F62+G62+I62)/Data!G67</f>
        <v>#REF!</v>
      </c>
      <c r="K62" s="38">
        <f>'SB525 Add-Ons'!$B$5</f>
        <v>1386763456</v>
      </c>
      <c r="L62" s="39" t="e">
        <f t="shared" si="4"/>
        <v>#REF!</v>
      </c>
      <c r="M62" s="25">
        <f>IF(Data!N67=1,(Data!H67/Data!G67),0)</f>
        <v>0.21443998765813022</v>
      </c>
      <c r="N62" s="40" t="e">
        <f t="shared" si="5"/>
        <v>#REF!</v>
      </c>
      <c r="O62" s="40" t="str">
        <f>IF(Data!T67="Y",IF(L62&gt;=$Q$65,$Q$65,L62),"")</f>
        <v/>
      </c>
      <c r="P62" s="40" t="str">
        <f t="shared" si="6"/>
        <v/>
      </c>
      <c r="Q62" s="40" t="e">
        <f t="shared" si="7"/>
        <v>#REF!</v>
      </c>
    </row>
    <row r="63" spans="1:17" x14ac:dyDescent="0.45">
      <c r="L63" s="3"/>
      <c r="Q63" s="3"/>
    </row>
    <row r="65" spans="16:17" x14ac:dyDescent="0.45">
      <c r="P65" s="6" t="s">
        <v>393</v>
      </c>
      <c r="Q65" s="41" t="e">
        <f>ROUND(MEDIAN(N2:N62),2)</f>
        <v>#REF!</v>
      </c>
    </row>
    <row r="66" spans="16:17" x14ac:dyDescent="0.45">
      <c r="P66" s="6" t="s">
        <v>394</v>
      </c>
      <c r="Q66" s="6">
        <f>COUNT(N2:N62)</f>
        <v>0</v>
      </c>
    </row>
    <row r="68" spans="16:17" x14ac:dyDescent="0.45">
      <c r="P68" s="6" t="s">
        <v>208</v>
      </c>
      <c r="Q68" s="40" t="e">
        <f>ROUND(MEDIAN(O2:O62),2)</f>
        <v>#REF!</v>
      </c>
    </row>
    <row r="69" spans="16:17" x14ac:dyDescent="0.45">
      <c r="P69" s="6" t="s">
        <v>395</v>
      </c>
      <c r="Q69" s="6">
        <f>COUNT(O2:O62)</f>
        <v>0</v>
      </c>
    </row>
  </sheetData>
  <dataValidations disablePrompts="1" count="1">
    <dataValidation type="whole" errorStyle="warning" operator="lessThan" allowBlank="1" showInputMessage="1" showErrorMessage="1" error="Depreciation costs should be less than total SNF costs." sqref="B1:C1 B2:B62" xr:uid="{46DC8E03-0D89-4801-99DB-72E5EFA798D6}">
      <formula1>C1</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DHCSDOC-491057189-1569</_dlc_DocId>
    <_dlc_DocIdUrl xmlns="69bc34b3-1921-46c7-8c7a-d18363374b4b">
      <Url>https://dhcscagovauthoring/services/medi-cal/_layouts/15/DocIdRedir.aspx?ID=DHCSDOC-491057189-1569</Url>
      <Description>DHCSDOC-491057189-1569</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96FECFE-9938-46C5-BBA8-CB5C3C0BCD00}">
  <ds:schemaRefs>
    <ds:schemaRef ds:uri="http://schemas.microsoft.com/sharepoint/v3/contenttype/forms"/>
  </ds:schemaRefs>
</ds:datastoreItem>
</file>

<file path=customXml/itemProps2.xml><?xml version="1.0" encoding="utf-8"?>
<ds:datastoreItem xmlns:ds="http://schemas.openxmlformats.org/officeDocument/2006/customXml" ds:itemID="{8C0A5012-A61C-407E-BE25-BE3D722E8E5F}"/>
</file>

<file path=customXml/itemProps3.xml><?xml version="1.0" encoding="utf-8"?>
<ds:datastoreItem xmlns:ds="http://schemas.openxmlformats.org/officeDocument/2006/customXml" ds:itemID="{22507CF1-6B3B-4579-9938-375D8B6B92DA}">
  <ds:schemaRefs>
    <ds:schemaRef ds:uri="43f00a5d-55c4-41d3-b741-631800661bd5"/>
    <ds:schemaRef ds:uri="http://www.w3.org/XML/1998/namespace"/>
    <ds:schemaRef ds:uri="http://purl.org/dc/elements/1.1/"/>
    <ds:schemaRef ds:uri="http://purl.org/dc/dcmitype/"/>
    <ds:schemaRef ds:uri="http://schemas.microsoft.com/office/2006/metadata/properties"/>
    <ds:schemaRef ds:uri="http://schemas.microsoft.com/office/2006/documentManagement/types"/>
    <ds:schemaRef ds:uri="f3a69106-fb92-4d29-9181-f6efe780d3d9"/>
    <ds:schemaRef ds:uri="http://purl.org/dc/terms/"/>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91D0A326-D334-4229-8DAE-260BC50E3D46}"/>
</file>

<file path=docMetadata/LabelInfo.xml><?xml version="1.0" encoding="utf-8"?>
<clbl:labelList xmlns:clbl="http://schemas.microsoft.com/office/2020/mipLabelMetadata">
  <clbl:label id="{34720645-5fdd-4302-8e87-9becee4e5aa1}" enabled="1" method="Standard" siteId="{265c2dcd-2a6e-43aa-b2e8-26421a8c852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Methodology &amp; Column Desc.</vt:lpstr>
      <vt:lpstr>Summary - Rates 2026</vt:lpstr>
      <vt:lpstr>Summary - Rates 2025</vt:lpstr>
      <vt:lpstr>Interim</vt:lpstr>
      <vt:lpstr>Budget Impact</vt:lpstr>
      <vt:lpstr>2026 Calcs</vt:lpstr>
      <vt:lpstr>Data</vt:lpstr>
      <vt:lpstr>Sub Calc</vt:lpstr>
      <vt:lpstr>Closed Facilities</vt:lpstr>
      <vt:lpstr>Inflation Factors 2026</vt:lpstr>
      <vt:lpstr>SWB Ratio</vt:lpstr>
      <vt:lpstr>SB525 Add-Ons</vt:lpstr>
      <vt:lpstr>License Fees</vt:lpstr>
      <vt:lpstr>TitleReagion1.b3.g5.6</vt:lpstr>
      <vt:lpstr>TitleRegion1.a3.b4.3</vt:lpstr>
      <vt:lpstr>TitleRegion1.a3.t67.7</vt:lpstr>
      <vt:lpstr>TitleRegion1.a4.d5.11</vt:lpstr>
      <vt:lpstr>TitleRegion1.a4.d75.8</vt:lpstr>
      <vt:lpstr>TitleRegion1.a4.m11.5</vt:lpstr>
      <vt:lpstr>TitleRegion1.a6.b55.2</vt:lpstr>
      <vt:lpstr>TitleRegion2.a6.e82.3</vt:lpstr>
      <vt:lpstr>TitleRegion2.a6.e83.4</vt:lpstr>
      <vt:lpstr>TitleRegion2.a7.ag73.6</vt:lpstr>
      <vt:lpstr>TitltRegion1.a3.d4.4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DPNF-B-CY-2026-Rate-Study-Public-Review</dc:title>
  <dc:subject/>
  <dc:creator>Seawright, Ken@DHCS</dc:creator>
  <cp:keywords/>
  <dc:description/>
  <cp:lastModifiedBy>Moore, Marie@DHCS</cp:lastModifiedBy>
  <cp:revision/>
  <dcterms:created xsi:type="dcterms:W3CDTF">2023-11-09T22:20:31Z</dcterms:created>
  <dcterms:modified xsi:type="dcterms:W3CDTF">2025-10-03T16:18:17Z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d61f50d3-b775-4ec3-bbfe-62e0c83fd4be</vt:lpwstr>
  </property>
  <property fmtid="{D5CDD505-2E9C-101B-9397-08002B2CF9AE}" pid="5" name="Division">
    <vt:lpwstr>30;#Fee-For-Service Rates Development|f4b3987f-d379-4ea2-9325-ab5a79e49e9a</vt:lpwstr>
  </property>
</Properties>
</file>