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hcscagovauthoring/dataandstats/reports/Documents/Drug Medi-Cal Supplemental Chart/"/>
    </mc:Choice>
  </mc:AlternateContent>
  <workbookProtection workbookAlgorithmName="SHA-512" workbookHashValue="64EX/HVTIYmA3KEeMzWAW+ZUzhssF4LPB+fIuaff3EE9yNp3Byrryma5NX5IzyM7Yz/cQe6LlUka3dq45njG1Q==" workbookSaltValue="AcclDEVoZzhaBLU+PuRP7w==" workbookSpinCount="100000" lockStructure="1"/>
  <bookViews>
    <workbookView xWindow="0" yWindow="0" windowWidth="25200" windowHeight="11475"/>
  </bookViews>
  <sheets>
    <sheet name="Supplemental Chart 2" sheetId="2" r:id="rId1"/>
  </sheets>
  <definedNames>
    <definedName name="_xlnm.Print_Area" localSheetId="0">'Supplemental Chart 2'!$A$1:$R$102</definedName>
    <definedName name="_xlnm.Print_Titles" localSheetId="0">'Supplemental Chart 2'!$1:$4</definedName>
    <definedName name="TitleRegion1.a6.r43.1">'Supplemental Chart 2'!$A$6</definedName>
    <definedName name="TitleRegion2.a53.90.1">'Supplemental Chart 2'!$A$51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78" i="2" l="1"/>
  <c r="N74" i="2"/>
  <c r="O92" i="2"/>
  <c r="R70" i="2"/>
  <c r="D39" i="2"/>
  <c r="K88" i="2"/>
  <c r="J88" i="2"/>
  <c r="K86" i="2"/>
  <c r="J86" i="2"/>
  <c r="L85" i="2"/>
  <c r="K85" i="2"/>
  <c r="K83" i="2"/>
  <c r="J83" i="2"/>
  <c r="L82" i="2"/>
  <c r="K82" i="2"/>
  <c r="K81" i="2"/>
  <c r="J81" i="2"/>
  <c r="L80" i="2"/>
  <c r="K80" i="2"/>
  <c r="J80" i="2"/>
  <c r="E37" i="2"/>
  <c r="G36" i="2"/>
  <c r="F36" i="2"/>
  <c r="F37" i="2"/>
  <c r="F35" i="2"/>
  <c r="E35" i="2"/>
  <c r="G34" i="2"/>
  <c r="F34" i="2"/>
  <c r="I37" i="2"/>
  <c r="I36" i="2"/>
  <c r="I35" i="2"/>
  <c r="I33" i="2" s="1"/>
  <c r="I34" i="2"/>
  <c r="K37" i="2"/>
  <c r="L36" i="2"/>
  <c r="K36" i="2"/>
  <c r="K35" i="2"/>
  <c r="J35" i="2"/>
  <c r="L34" i="2"/>
  <c r="K34" i="2" l="1"/>
  <c r="J34" i="2"/>
  <c r="M42" i="2"/>
  <c r="J69" i="2" l="1"/>
  <c r="K69" i="2"/>
  <c r="L69" i="2"/>
  <c r="J24" i="2"/>
  <c r="K24" i="2"/>
  <c r="L24" i="2"/>
  <c r="D60" i="2"/>
  <c r="D61" i="2"/>
  <c r="D62" i="2"/>
  <c r="D63" i="2"/>
  <c r="J59" i="2"/>
  <c r="K59" i="2"/>
  <c r="L59" i="2"/>
  <c r="D10" i="2" l="1"/>
  <c r="L95" i="2" l="1"/>
  <c r="K95" i="2"/>
  <c r="J95" i="2"/>
  <c r="I95" i="2"/>
  <c r="R78" i="2" l="1"/>
  <c r="K78" i="2"/>
  <c r="O78" i="2"/>
  <c r="M72" i="2"/>
  <c r="L72" i="2"/>
  <c r="J72" i="2"/>
  <c r="Q78" i="2"/>
  <c r="D78" i="2"/>
  <c r="H72" i="2"/>
  <c r="G72" i="2"/>
  <c r="F72" i="2"/>
  <c r="E72" i="2"/>
  <c r="K73" i="2"/>
  <c r="K29" i="2"/>
  <c r="R87" i="2"/>
  <c r="R86" i="2"/>
  <c r="R81" i="2"/>
  <c r="M33" i="2"/>
  <c r="K28" i="2"/>
  <c r="K72" i="2" l="1"/>
  <c r="I78" i="2"/>
  <c r="P78" i="2"/>
  <c r="M95" i="2" l="1"/>
  <c r="M94" i="2"/>
  <c r="L94" i="2"/>
  <c r="K94" i="2"/>
  <c r="J94" i="2"/>
  <c r="M93" i="2"/>
  <c r="L93" i="2"/>
  <c r="K93" i="2"/>
  <c r="J93" i="2"/>
  <c r="E93" i="2"/>
  <c r="F93" i="2"/>
  <c r="G93" i="2"/>
  <c r="H93" i="2"/>
  <c r="E94" i="2"/>
  <c r="F94" i="2"/>
  <c r="G94" i="2"/>
  <c r="H94" i="2"/>
  <c r="E95" i="2"/>
  <c r="F95" i="2"/>
  <c r="G95" i="2"/>
  <c r="H95" i="2"/>
  <c r="R88" i="2"/>
  <c r="Q88" i="2"/>
  <c r="P88" i="2"/>
  <c r="O88" i="2"/>
  <c r="I88" i="2"/>
  <c r="D88" i="2"/>
  <c r="Q87" i="2"/>
  <c r="P87" i="2"/>
  <c r="O87" i="2"/>
  <c r="I87" i="2"/>
  <c r="D87" i="2"/>
  <c r="Q86" i="2"/>
  <c r="P86" i="2"/>
  <c r="O86" i="2"/>
  <c r="I86" i="2"/>
  <c r="D86" i="2"/>
  <c r="R85" i="2"/>
  <c r="Q85" i="2"/>
  <c r="P85" i="2"/>
  <c r="O85" i="2"/>
  <c r="I85" i="2"/>
  <c r="D85" i="2"/>
  <c r="M84" i="2"/>
  <c r="L84" i="2"/>
  <c r="K84" i="2"/>
  <c r="J84" i="2"/>
  <c r="H84" i="2"/>
  <c r="G84" i="2"/>
  <c r="F84" i="2"/>
  <c r="E84" i="2"/>
  <c r="Q84" i="2" l="1"/>
  <c r="O84" i="2"/>
  <c r="N85" i="2"/>
  <c r="R84" i="2"/>
  <c r="N88" i="2"/>
  <c r="D84" i="2"/>
  <c r="N86" i="2"/>
  <c r="N87" i="2"/>
  <c r="P84" i="2"/>
  <c r="I84" i="2"/>
  <c r="M44" i="2"/>
  <c r="L44" i="2"/>
  <c r="K44" i="2"/>
  <c r="J44" i="2"/>
  <c r="H44" i="2"/>
  <c r="G44" i="2"/>
  <c r="F44" i="2"/>
  <c r="E44" i="2"/>
  <c r="O77" i="2"/>
  <c r="P77" i="2"/>
  <c r="Q77" i="2"/>
  <c r="R77" i="2"/>
  <c r="I77" i="2"/>
  <c r="I76" i="2"/>
  <c r="I75" i="2"/>
  <c r="I74" i="2"/>
  <c r="I73" i="2"/>
  <c r="D77" i="2"/>
  <c r="D76" i="2"/>
  <c r="D75" i="2"/>
  <c r="D74" i="2"/>
  <c r="D73" i="2"/>
  <c r="D72" i="2" s="1"/>
  <c r="I32" i="2"/>
  <c r="I31" i="2"/>
  <c r="I30" i="2"/>
  <c r="I29" i="2"/>
  <c r="I28" i="2"/>
  <c r="M27" i="2"/>
  <c r="L27" i="2"/>
  <c r="K27" i="2"/>
  <c r="J27" i="2"/>
  <c r="H27" i="2"/>
  <c r="G27" i="2"/>
  <c r="F27" i="2"/>
  <c r="E27" i="2"/>
  <c r="D32" i="2"/>
  <c r="O32" i="2"/>
  <c r="P32" i="2"/>
  <c r="Q32" i="2"/>
  <c r="R32" i="2"/>
  <c r="N84" i="2" l="1"/>
  <c r="I72" i="2"/>
  <c r="N77" i="2"/>
  <c r="N32" i="2"/>
  <c r="I27" i="2"/>
  <c r="I38" i="2"/>
  <c r="M43" i="2"/>
  <c r="L43" i="2"/>
  <c r="K43" i="2"/>
  <c r="J43" i="2"/>
  <c r="L42" i="2"/>
  <c r="K42" i="2"/>
  <c r="J42" i="2"/>
  <c r="E42" i="2"/>
  <c r="F42" i="2"/>
  <c r="G42" i="2"/>
  <c r="H42" i="2"/>
  <c r="E43" i="2"/>
  <c r="F43" i="2"/>
  <c r="G43" i="2"/>
  <c r="H43" i="2"/>
  <c r="Q83" i="2"/>
  <c r="P83" i="2"/>
  <c r="O83" i="2"/>
  <c r="Q82" i="2"/>
  <c r="P82" i="2"/>
  <c r="O82" i="2"/>
  <c r="Q81" i="2"/>
  <c r="P81" i="2"/>
  <c r="O81" i="2"/>
  <c r="Q80" i="2"/>
  <c r="P80" i="2"/>
  <c r="O80" i="2"/>
  <c r="I83" i="2"/>
  <c r="D83" i="2"/>
  <c r="I82" i="2"/>
  <c r="D82" i="2"/>
  <c r="I81" i="2"/>
  <c r="D81" i="2"/>
  <c r="I80" i="2"/>
  <c r="D80" i="2"/>
  <c r="M79" i="2"/>
  <c r="L79" i="2"/>
  <c r="K79" i="2"/>
  <c r="J79" i="2"/>
  <c r="H79" i="2"/>
  <c r="G79" i="2"/>
  <c r="F79" i="2"/>
  <c r="E79" i="2"/>
  <c r="D37" i="2"/>
  <c r="D36" i="2"/>
  <c r="D35" i="2"/>
  <c r="D34" i="2"/>
  <c r="L33" i="2"/>
  <c r="L41" i="2" s="1"/>
  <c r="K33" i="2"/>
  <c r="K41" i="2" s="1"/>
  <c r="J33" i="2"/>
  <c r="J41" i="2" s="1"/>
  <c r="H33" i="2"/>
  <c r="G33" i="2"/>
  <c r="F33" i="2"/>
  <c r="E33" i="2"/>
  <c r="O35" i="2"/>
  <c r="P35" i="2"/>
  <c r="Q35" i="2"/>
  <c r="R35" i="2"/>
  <c r="O36" i="2"/>
  <c r="P36" i="2"/>
  <c r="Q36" i="2"/>
  <c r="R36" i="2"/>
  <c r="P79" i="2" l="1"/>
  <c r="N81" i="2"/>
  <c r="O79" i="2"/>
  <c r="N83" i="2"/>
  <c r="D79" i="2"/>
  <c r="I79" i="2"/>
  <c r="Q79" i="2"/>
  <c r="N82" i="2"/>
  <c r="N80" i="2"/>
  <c r="I41" i="2"/>
  <c r="N36" i="2"/>
  <c r="N35" i="2"/>
  <c r="D33" i="2"/>
  <c r="D38" i="2"/>
  <c r="I89" i="2"/>
  <c r="D89" i="2"/>
  <c r="N79" i="2" l="1"/>
  <c r="R76" i="2"/>
  <c r="Q76" i="2"/>
  <c r="P76" i="2"/>
  <c r="O76" i="2"/>
  <c r="R75" i="2"/>
  <c r="Q75" i="2"/>
  <c r="P75" i="2"/>
  <c r="O75" i="2"/>
  <c r="R74" i="2"/>
  <c r="Q74" i="2"/>
  <c r="P74" i="2"/>
  <c r="O74" i="2"/>
  <c r="R73" i="2"/>
  <c r="Q73" i="2"/>
  <c r="P73" i="2"/>
  <c r="O73" i="2"/>
  <c r="R71" i="2"/>
  <c r="Q71" i="2"/>
  <c r="P71" i="2"/>
  <c r="O71" i="2"/>
  <c r="I71" i="2"/>
  <c r="D71" i="2"/>
  <c r="Q70" i="2"/>
  <c r="P70" i="2"/>
  <c r="O70" i="2"/>
  <c r="I70" i="2"/>
  <c r="D70" i="2"/>
  <c r="M69" i="2"/>
  <c r="H69" i="2"/>
  <c r="G69" i="2"/>
  <c r="F69" i="2"/>
  <c r="E69" i="2"/>
  <c r="I90" i="2"/>
  <c r="D90" i="2"/>
  <c r="I39" i="2"/>
  <c r="D40" i="2"/>
  <c r="R31" i="2"/>
  <c r="Q31" i="2"/>
  <c r="P31" i="2"/>
  <c r="O31" i="2"/>
  <c r="D31" i="2"/>
  <c r="R30" i="2"/>
  <c r="Q30" i="2"/>
  <c r="P30" i="2"/>
  <c r="O30" i="2"/>
  <c r="D30" i="2"/>
  <c r="R29" i="2"/>
  <c r="Q29" i="2"/>
  <c r="P29" i="2"/>
  <c r="O29" i="2"/>
  <c r="D29" i="2"/>
  <c r="R28" i="2"/>
  <c r="Q28" i="2"/>
  <c r="P28" i="2"/>
  <c r="O28" i="2"/>
  <c r="D28" i="2"/>
  <c r="M24" i="2"/>
  <c r="I26" i="2"/>
  <c r="H24" i="2"/>
  <c r="G24" i="2"/>
  <c r="F24" i="2"/>
  <c r="E24" i="2"/>
  <c r="D26" i="2"/>
  <c r="O26" i="2"/>
  <c r="P26" i="2"/>
  <c r="Q26" i="2"/>
  <c r="R26" i="2"/>
  <c r="D44" i="2" l="1"/>
  <c r="D27" i="2"/>
  <c r="Q69" i="2"/>
  <c r="O27" i="2"/>
  <c r="O72" i="2"/>
  <c r="P72" i="2"/>
  <c r="D69" i="2"/>
  <c r="Q72" i="2"/>
  <c r="R69" i="2"/>
  <c r="R72" i="2"/>
  <c r="N75" i="2"/>
  <c r="N73" i="2"/>
  <c r="N76" i="2"/>
  <c r="I69" i="2"/>
  <c r="N71" i="2"/>
  <c r="N70" i="2"/>
  <c r="O69" i="2"/>
  <c r="P69" i="2"/>
  <c r="N30" i="2"/>
  <c r="R27" i="2"/>
  <c r="Q27" i="2"/>
  <c r="P27" i="2"/>
  <c r="N31" i="2"/>
  <c r="N29" i="2"/>
  <c r="N28" i="2"/>
  <c r="N26" i="2"/>
  <c r="N69" i="2" l="1"/>
  <c r="N72" i="2"/>
  <c r="N27" i="2"/>
  <c r="R91" i="2" l="1"/>
  <c r="Q91" i="2"/>
  <c r="P91" i="2"/>
  <c r="O91" i="2"/>
  <c r="I91" i="2"/>
  <c r="D91" i="2"/>
  <c r="D95" i="2" s="1"/>
  <c r="R83" i="2"/>
  <c r="R80" i="2"/>
  <c r="I40" i="2"/>
  <c r="I44" i="2" s="1"/>
  <c r="R37" i="2"/>
  <c r="Q37" i="2"/>
  <c r="P37" i="2"/>
  <c r="O37" i="2"/>
  <c r="R34" i="2"/>
  <c r="Q34" i="2"/>
  <c r="P34" i="2"/>
  <c r="O34" i="2"/>
  <c r="R79" i="2" l="1"/>
  <c r="R89" i="2"/>
  <c r="O43" i="2"/>
  <c r="R44" i="2"/>
  <c r="Q44" i="2"/>
  <c r="O44" i="2"/>
  <c r="P44" i="2"/>
  <c r="Q89" i="2"/>
  <c r="Q43" i="2"/>
  <c r="P43" i="2"/>
  <c r="R43" i="2"/>
  <c r="O42" i="2"/>
  <c r="P42" i="2"/>
  <c r="Q42" i="2"/>
  <c r="R42" i="2"/>
  <c r="R90" i="2"/>
  <c r="N91" i="2"/>
  <c r="P90" i="2"/>
  <c r="Q90" i="2"/>
  <c r="O90" i="2"/>
  <c r="O89" i="2"/>
  <c r="P89" i="2"/>
  <c r="O38" i="2"/>
  <c r="Q39" i="2"/>
  <c r="R39" i="2"/>
  <c r="P38" i="2"/>
  <c r="O33" i="2"/>
  <c r="Q38" i="2"/>
  <c r="P33" i="2"/>
  <c r="R38" i="2"/>
  <c r="O39" i="2"/>
  <c r="Q33" i="2"/>
  <c r="P39" i="2"/>
  <c r="N37" i="2"/>
  <c r="N34" i="2"/>
  <c r="R33" i="2"/>
  <c r="I25" i="2"/>
  <c r="I24" i="2" s="1"/>
  <c r="D25" i="2"/>
  <c r="D24" i="2" s="1"/>
  <c r="I23" i="2"/>
  <c r="D23" i="2"/>
  <c r="I22" i="2"/>
  <c r="D22" i="2"/>
  <c r="I21" i="2"/>
  <c r="D21" i="2"/>
  <c r="I20" i="2"/>
  <c r="D20" i="2"/>
  <c r="I18" i="2"/>
  <c r="D18" i="2"/>
  <c r="I17" i="2"/>
  <c r="D17" i="2"/>
  <c r="I16" i="2"/>
  <c r="D16" i="2"/>
  <c r="I15" i="2"/>
  <c r="D15" i="2"/>
  <c r="I13" i="2"/>
  <c r="D13" i="2"/>
  <c r="I12" i="2"/>
  <c r="D12" i="2"/>
  <c r="I11" i="2"/>
  <c r="D11" i="2"/>
  <c r="I10" i="2"/>
  <c r="D55" i="2"/>
  <c r="I68" i="2"/>
  <c r="D68" i="2"/>
  <c r="I67" i="2"/>
  <c r="D67" i="2"/>
  <c r="I66" i="2"/>
  <c r="D66" i="2"/>
  <c r="I65" i="2"/>
  <c r="D65" i="2"/>
  <c r="I61" i="2"/>
  <c r="I63" i="2"/>
  <c r="I62" i="2"/>
  <c r="I60" i="2"/>
  <c r="I58" i="2"/>
  <c r="I57" i="2"/>
  <c r="I56" i="2"/>
  <c r="I55" i="2"/>
  <c r="D58" i="2"/>
  <c r="D57" i="2"/>
  <c r="D56" i="2"/>
  <c r="R68" i="2"/>
  <c r="Q68" i="2"/>
  <c r="P68" i="2"/>
  <c r="O68" i="2"/>
  <c r="R67" i="2"/>
  <c r="Q67" i="2"/>
  <c r="P67" i="2"/>
  <c r="O67" i="2"/>
  <c r="R66" i="2"/>
  <c r="Q66" i="2"/>
  <c r="P66" i="2"/>
  <c r="O66" i="2"/>
  <c r="R65" i="2"/>
  <c r="Q65" i="2"/>
  <c r="P65" i="2"/>
  <c r="O65" i="2"/>
  <c r="R63" i="2"/>
  <c r="Q63" i="2"/>
  <c r="P63" i="2"/>
  <c r="O63" i="2"/>
  <c r="R62" i="2"/>
  <c r="Q62" i="2"/>
  <c r="P62" i="2"/>
  <c r="O62" i="2"/>
  <c r="R61" i="2"/>
  <c r="Q61" i="2"/>
  <c r="P61" i="2"/>
  <c r="O61" i="2"/>
  <c r="R60" i="2"/>
  <c r="Q60" i="2"/>
  <c r="P60" i="2"/>
  <c r="O60" i="2"/>
  <c r="R58" i="2"/>
  <c r="Q58" i="2"/>
  <c r="P58" i="2"/>
  <c r="O58" i="2"/>
  <c r="R57" i="2"/>
  <c r="Q57" i="2"/>
  <c r="P57" i="2"/>
  <c r="O57" i="2"/>
  <c r="R56" i="2"/>
  <c r="Q56" i="2"/>
  <c r="P56" i="2"/>
  <c r="O56" i="2"/>
  <c r="R55" i="2"/>
  <c r="Q55" i="2"/>
  <c r="P55" i="2"/>
  <c r="O55" i="2"/>
  <c r="R40" i="2"/>
  <c r="Q40" i="2"/>
  <c r="P40" i="2"/>
  <c r="O40" i="2"/>
  <c r="R25" i="2"/>
  <c r="Q25" i="2"/>
  <c r="P25" i="2"/>
  <c r="O25" i="2"/>
  <c r="R23" i="2"/>
  <c r="Q23" i="2"/>
  <c r="P23" i="2"/>
  <c r="O23" i="2"/>
  <c r="R22" i="2"/>
  <c r="Q22" i="2"/>
  <c r="P22" i="2"/>
  <c r="O22" i="2"/>
  <c r="R21" i="2"/>
  <c r="Q21" i="2"/>
  <c r="P21" i="2"/>
  <c r="O21" i="2"/>
  <c r="R20" i="2"/>
  <c r="Q20" i="2"/>
  <c r="P20" i="2"/>
  <c r="O20" i="2"/>
  <c r="R18" i="2"/>
  <c r="Q18" i="2"/>
  <c r="P18" i="2"/>
  <c r="O18" i="2"/>
  <c r="R17" i="2"/>
  <c r="Q17" i="2"/>
  <c r="P17" i="2"/>
  <c r="O17" i="2"/>
  <c r="R16" i="2"/>
  <c r="Q16" i="2"/>
  <c r="P16" i="2"/>
  <c r="O16" i="2"/>
  <c r="R15" i="2"/>
  <c r="Q15" i="2"/>
  <c r="P15" i="2"/>
  <c r="O15" i="2"/>
  <c r="R13" i="2"/>
  <c r="Q13" i="2"/>
  <c r="P13" i="2"/>
  <c r="O13" i="2"/>
  <c r="R12" i="2"/>
  <c r="Q12" i="2"/>
  <c r="P12" i="2"/>
  <c r="O12" i="2"/>
  <c r="R11" i="2"/>
  <c r="Q11" i="2"/>
  <c r="P11" i="2"/>
  <c r="O11" i="2"/>
  <c r="R10" i="2"/>
  <c r="Q10" i="2"/>
  <c r="P10" i="2"/>
  <c r="O10" i="2"/>
  <c r="D94" i="2" l="1"/>
  <c r="D93" i="2"/>
  <c r="I93" i="2"/>
  <c r="I94" i="2"/>
  <c r="I42" i="2"/>
  <c r="D42" i="2"/>
  <c r="D43" i="2"/>
  <c r="I43" i="2"/>
  <c r="N89" i="2"/>
  <c r="N44" i="2"/>
  <c r="N90" i="2"/>
  <c r="N62" i="2"/>
  <c r="N56" i="2"/>
  <c r="N39" i="2"/>
  <c r="N38" i="2"/>
  <c r="N33" i="2"/>
  <c r="N57" i="2"/>
  <c r="N60" i="2"/>
  <c r="N67" i="2"/>
  <c r="N21" i="2"/>
  <c r="N12" i="2"/>
  <c r="N63" i="2"/>
  <c r="N23" i="2"/>
  <c r="N55" i="2"/>
  <c r="N65" i="2"/>
  <c r="N17" i="2"/>
  <c r="N22" i="2"/>
  <c r="N20" i="2"/>
  <c r="N68" i="2"/>
  <c r="N15" i="2"/>
  <c r="N61" i="2"/>
  <c r="N58" i="2"/>
  <c r="N66" i="2"/>
  <c r="N25" i="2"/>
  <c r="N18" i="2"/>
  <c r="N13" i="2"/>
  <c r="N16" i="2"/>
  <c r="N42" i="2" l="1"/>
  <c r="N43" i="2"/>
  <c r="M64" i="2"/>
  <c r="L64" i="2"/>
  <c r="K64" i="2"/>
  <c r="J64" i="2"/>
  <c r="I64" i="2"/>
  <c r="H64" i="2"/>
  <c r="G64" i="2"/>
  <c r="F64" i="2"/>
  <c r="E64" i="2"/>
  <c r="D64" i="2"/>
  <c r="M59" i="2"/>
  <c r="I59" i="2"/>
  <c r="H59" i="2"/>
  <c r="G59" i="2"/>
  <c r="F59" i="2"/>
  <c r="E59" i="2"/>
  <c r="D59" i="2"/>
  <c r="M54" i="2"/>
  <c r="M92" i="2" s="1"/>
  <c r="L54" i="2"/>
  <c r="L92" i="2" s="1"/>
  <c r="K54" i="2"/>
  <c r="J54" i="2"/>
  <c r="I54" i="2"/>
  <c r="H54" i="2"/>
  <c r="G54" i="2"/>
  <c r="F54" i="2"/>
  <c r="E54" i="2"/>
  <c r="E92" i="2" s="1"/>
  <c r="D54" i="2"/>
  <c r="D92" i="2" s="1"/>
  <c r="M19" i="2"/>
  <c r="L19" i="2"/>
  <c r="K19" i="2"/>
  <c r="J19" i="2"/>
  <c r="I19" i="2"/>
  <c r="H19" i="2"/>
  <c r="G19" i="2"/>
  <c r="F19" i="2"/>
  <c r="E19" i="2"/>
  <c r="D19" i="2"/>
  <c r="M14" i="2"/>
  <c r="L14" i="2"/>
  <c r="K14" i="2"/>
  <c r="J14" i="2"/>
  <c r="I14" i="2"/>
  <c r="H14" i="2"/>
  <c r="G14" i="2"/>
  <c r="F14" i="2"/>
  <c r="E14" i="2"/>
  <c r="D14" i="2"/>
  <c r="M9" i="2"/>
  <c r="M41" i="2" s="1"/>
  <c r="L9" i="2"/>
  <c r="K9" i="2"/>
  <c r="J9" i="2"/>
  <c r="I9" i="2"/>
  <c r="H9" i="2"/>
  <c r="G9" i="2"/>
  <c r="F9" i="2"/>
  <c r="E9" i="2"/>
  <c r="F92" i="2" l="1"/>
  <c r="G92" i="2"/>
  <c r="I92" i="2"/>
  <c r="H92" i="2"/>
  <c r="J92" i="2"/>
  <c r="K92" i="2"/>
  <c r="E41" i="2"/>
  <c r="F41" i="2"/>
  <c r="H41" i="2"/>
  <c r="G41" i="2"/>
  <c r="O94" i="2"/>
  <c r="R19" i="2"/>
  <c r="R95" i="2"/>
  <c r="O9" i="2"/>
  <c r="P9" i="2"/>
  <c r="R24" i="2"/>
  <c r="R9" i="2"/>
  <c r="Q14" i="2"/>
  <c r="O95" i="2"/>
  <c r="O59" i="2"/>
  <c r="Q9" i="2"/>
  <c r="P14" i="2"/>
  <c r="R14" i="2"/>
  <c r="P95" i="2"/>
  <c r="P59" i="2"/>
  <c r="N64" i="2"/>
  <c r="O14" i="2"/>
  <c r="P19" i="2"/>
  <c r="Q19" i="2"/>
  <c r="Q95" i="2"/>
  <c r="O54" i="2"/>
  <c r="Q59" i="2"/>
  <c r="P54" i="2"/>
  <c r="R59" i="2"/>
  <c r="P94" i="2"/>
  <c r="Q54" i="2"/>
  <c r="R54" i="2"/>
  <c r="O64" i="2"/>
  <c r="O93" i="2"/>
  <c r="P93" i="2"/>
  <c r="R94" i="2"/>
  <c r="P64" i="2"/>
  <c r="P24" i="2"/>
  <c r="Q93" i="2"/>
  <c r="Q64" i="2"/>
  <c r="Q94" i="2"/>
  <c r="O24" i="2"/>
  <c r="O19" i="2"/>
  <c r="Q24" i="2"/>
  <c r="R93" i="2"/>
  <c r="R64" i="2"/>
  <c r="N24" i="2"/>
  <c r="N94" i="2"/>
  <c r="N59" i="2"/>
  <c r="N54" i="2"/>
  <c r="N93" i="2"/>
  <c r="N14" i="2"/>
  <c r="N19" i="2"/>
  <c r="P41" i="2" l="1"/>
  <c r="Q41" i="2"/>
  <c r="O41" i="2"/>
  <c r="R41" i="2"/>
  <c r="P92" i="2"/>
  <c r="R92" i="2"/>
  <c r="Q92" i="2"/>
  <c r="N95" i="2"/>
  <c r="N92" i="2"/>
  <c r="N40" i="2" l="1"/>
  <c r="N11" i="2" l="1"/>
  <c r="D9" i="2"/>
  <c r="D41" i="2" s="1"/>
  <c r="N10" i="2"/>
  <c r="N41" i="2" l="1"/>
  <c r="N9" i="2"/>
</calcChain>
</file>

<file path=xl/sharedStrings.xml><?xml version="1.0" encoding="utf-8"?>
<sst xmlns="http://schemas.openxmlformats.org/spreadsheetml/2006/main" count="258" uniqueCount="72">
  <si>
    <t>Notes:</t>
  </si>
  <si>
    <t xml:space="preserve"> Other Total</t>
  </si>
  <si>
    <t>Perinatal Total</t>
  </si>
  <si>
    <t>Regular Total</t>
  </si>
  <si>
    <t>DMC COUNTY UR &amp; QA ADMIN</t>
  </si>
  <si>
    <t xml:space="preserve">ACA Optional </t>
  </si>
  <si>
    <t xml:space="preserve">Current </t>
  </si>
  <si>
    <t>Perinatal</t>
  </si>
  <si>
    <t>ACA Optional</t>
  </si>
  <si>
    <t>Regular</t>
  </si>
  <si>
    <t>DESCRIPTION</t>
  </si>
  <si>
    <t>NO.</t>
  </si>
  <si>
    <t>(Dollars In Thousands)</t>
  </si>
  <si>
    <t xml:space="preserve">   DRUG MEDI-CAL TOTAL</t>
  </si>
  <si>
    <t>DRUG MEDI-CAL COUNTY ADMIN</t>
  </si>
  <si>
    <t>NAME</t>
  </si>
  <si>
    <t>Cash Comparison</t>
  </si>
  <si>
    <t>Comparison of Fiscal Impacts of Policy Changes</t>
  </si>
  <si>
    <t>Drug Medi-Cal Program</t>
  </si>
  <si>
    <t>DEPARTMENT OF HEALTH CARE SERVICES</t>
  </si>
  <si>
    <t>DIFFERENCE (Diff), Incr./(Decr.)</t>
  </si>
  <si>
    <t>Diff TF</t>
  </si>
  <si>
    <t>Diff CF</t>
  </si>
  <si>
    <t>Diff CASELOAD</t>
  </si>
  <si>
    <t>DIFFERENCE (Diff) , Incr./(Decr.)</t>
  </si>
  <si>
    <t xml:space="preserve">Diff CASELOAD </t>
  </si>
  <si>
    <t>NARCOTIC TREATMENT PROGRAM</t>
  </si>
  <si>
    <t xml:space="preserve">RESIDENTIAL TREATMENT SERVICES </t>
  </si>
  <si>
    <t>OUTPATIENT DRUG FREE TREATMENT SERVICES</t>
  </si>
  <si>
    <t xml:space="preserve">INTENSIVE OUTPATIENT TREATMENT SERVICES </t>
  </si>
  <si>
    <t xml:space="preserve">OUTPATIENT DRUG FREE TREATMENT SERVICES </t>
  </si>
  <si>
    <t xml:space="preserve">Perinatal </t>
  </si>
  <si>
    <t>Amounts may differ due to rounding.</t>
  </si>
  <si>
    <t>Diff GF</t>
  </si>
  <si>
    <t>DRUG MEDI-CAL PROGRAM COST SETTLEMENT</t>
  </si>
  <si>
    <t>Diff FF</t>
  </si>
  <si>
    <t>RESIDENTIAL TREATMENT SERVICES</t>
  </si>
  <si>
    <t xml:space="preserve">*The Drug Medi-Cal Organized Delivery System Waiver estimate does not include caseload; the estimate is based on county specific rates and estimated utilization. </t>
  </si>
  <si>
    <t>DRUG MEDI-CAL ORGANIZED DELIVERY SYSTEM WAIVER*</t>
  </si>
  <si>
    <t>General Fund</t>
  </si>
  <si>
    <t>Other</t>
  </si>
  <si>
    <t>November 2019 POLICY CHANGE</t>
  </si>
  <si>
    <t>Fiscal Year 2019-20, November 2019 Estimate Compared to Appropriation</t>
  </si>
  <si>
    <t>Fiscal Year 2019-20 compared to Fiscal Year 2020-21, November 2019 Estimate</t>
  </si>
  <si>
    <t>May 2019 (M19) Appropriation Estimate for FY 2019-20</t>
  </si>
  <si>
    <t>M19 TF</t>
  </si>
  <si>
    <t>M19 GF</t>
  </si>
  <si>
    <t>M19 FF</t>
  </si>
  <si>
    <t>M19 CF</t>
  </si>
  <si>
    <t xml:space="preserve">M19 CASELOAD </t>
  </si>
  <si>
    <t>Nov 2019 (N19) Estimate for FY 2019-20</t>
  </si>
  <si>
    <t xml:space="preserve">N19 TF </t>
  </si>
  <si>
    <t>N19 GF</t>
  </si>
  <si>
    <t>N19 FF</t>
  </si>
  <si>
    <r>
      <t>N19 CF</t>
    </r>
    <r>
      <rPr>
        <b/>
        <vertAlign val="superscript"/>
        <sz val="12"/>
        <rFont val="Arial"/>
        <family val="2"/>
      </rPr>
      <t xml:space="preserve"> </t>
    </r>
  </si>
  <si>
    <t>N19 CASELOAD</t>
  </si>
  <si>
    <t xml:space="preserve">N19 CF </t>
  </si>
  <si>
    <t>Nov 2019 (N19) Estimate for FY 2020-21</t>
  </si>
  <si>
    <t>DRUG MEDI-CAL ANNUAL RATE ADJUSTMENT</t>
  </si>
  <si>
    <t>Regular 67</t>
  </si>
  <si>
    <t>Regular 69</t>
  </si>
  <si>
    <t>Regular 63</t>
  </si>
  <si>
    <t>Regular 70</t>
  </si>
  <si>
    <t>OA 7</t>
  </si>
  <si>
    <t>OA 32</t>
  </si>
  <si>
    <t>Base 64</t>
  </si>
  <si>
    <t>Base 65</t>
  </si>
  <si>
    <t>Base 66</t>
  </si>
  <si>
    <t>Base 68</t>
  </si>
  <si>
    <t>PHP Counties</t>
  </si>
  <si>
    <t>DRUG MEDI-CAL MAT BENEFIT**</t>
  </si>
  <si>
    <t>**The Drug Medi-Cal MAT Benefit policy change was not included in the Appropriation Estimate. In the November 2019 Estimate, the policy change was included to estimate the cost of additional medication assisted treatment (MAT) drugs under the state plan, effective July 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</si>
</sst>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5" formatCode="&quot;$&quot;#,##0_);\(&quot;$&quot;#,##0\)"/>
    <numFmt numFmtId="44" formatCode="_(&quot;$&quot;* #,##0.00_);_(&quot;$&quot;* \(#,##0.00\);_(&quot;$&quot;* &quot;-&quot;??_);_(@_)"/>
    <numFmt numFmtId="43" formatCode="_(* #,##0.00_);_(* \(#,##0.00\);_(* &quot;-&quot;??_);_(@_)"/>
    <numFmt numFmtId="164" formatCode="_(* #,##0_);_(* \(#,##0\);_(* &quot;-&quot;??_);_(@_)"/>
    <numFmt numFmtId="165" formatCode="_(&quot;$&quot;* #,##0_);_(&quot;$&quot;* \(#,##0\);_(&quot;$&quot;* &quot;-&quot;??_);_(@_)"/>
  </numFmts>
  <fonts count="16" x14ac:knownFonts="1">
    <font>
      <sz val="11"/>
      <color theme="1"/>
      <name val="Calibri"/>
      <family val="2"/>
      <scheme val="minor"/>
    </font>
    <font>
      <sz val="11"/>
      <color theme="1"/>
      <name val="Calibri"/>
      <family val="2"/>
      <scheme val="minor"/>
    </font>
    <font>
      <sz val="12"/>
      <name val="Arial"/>
      <family val="2"/>
    </font>
    <font>
      <b/>
      <sz val="12"/>
      <name val="Arial"/>
      <family val="2"/>
    </font>
    <font>
      <sz val="12"/>
      <color theme="1"/>
      <name val="Calibri"/>
      <family val="2"/>
      <scheme val="minor"/>
    </font>
    <font>
      <b/>
      <u/>
      <sz val="12"/>
      <name val="Arial"/>
      <family val="2"/>
    </font>
    <font>
      <b/>
      <sz val="12"/>
      <color theme="1"/>
      <name val="Calibri"/>
      <family val="2"/>
      <scheme val="minor"/>
    </font>
    <font>
      <b/>
      <vertAlign val="superscript"/>
      <sz val="12"/>
      <name val="Arial"/>
      <family val="2"/>
    </font>
    <font>
      <b/>
      <sz val="12"/>
      <color theme="1"/>
      <name val="Arial"/>
      <family val="2"/>
    </font>
    <font>
      <sz val="12"/>
      <name val="Calibri"/>
      <family val="2"/>
      <scheme val="minor"/>
    </font>
    <font>
      <b/>
      <sz val="12"/>
      <name val="Calibri"/>
      <family val="2"/>
      <scheme val="minor"/>
    </font>
    <font>
      <sz val="12"/>
      <color theme="1"/>
      <name val="Arial"/>
      <family val="2"/>
    </font>
    <font>
      <sz val="11"/>
      <name val="Arial"/>
      <family val="2"/>
    </font>
    <font>
      <b/>
      <sz val="11"/>
      <name val="Arial"/>
      <family val="2"/>
    </font>
    <font>
      <sz val="11"/>
      <color theme="1"/>
      <name val="Arial"/>
      <family val="2"/>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s>
  <borders count="33">
    <border>
      <left/>
      <right/>
      <top/>
      <bottom/>
      <diagonal/>
    </border>
    <border>
      <left/>
      <right style="thin">
        <color auto="1"/>
      </right>
      <top/>
      <bottom style="thin">
        <color auto="1"/>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theme="4" tint="0.39997558519241921"/>
      </top>
      <bottom style="thin">
        <color theme="4" tint="0.39997558519241921"/>
      </bottom>
      <diagonal/>
    </border>
    <border>
      <left/>
      <right/>
      <top style="thin">
        <color theme="4" tint="0.39997558519241921"/>
      </top>
      <bottom style="medium">
        <color indexed="64"/>
      </bottom>
      <diagonal/>
    </border>
    <border>
      <left style="thin">
        <color indexed="64"/>
      </left>
      <right/>
      <top style="thin">
        <color theme="4" tint="0.39997558519241921"/>
      </top>
      <bottom style="medium">
        <color indexed="64"/>
      </bottom>
      <diagonal/>
    </border>
    <border>
      <left style="thin">
        <color indexed="64"/>
      </left>
      <right/>
      <top style="thin">
        <color theme="4" tint="0.39997558519241921"/>
      </top>
      <bottom style="thin">
        <color theme="4" tint="0.39997558519241921"/>
      </bottom>
      <diagonal/>
    </border>
    <border>
      <left/>
      <right style="thin">
        <color auto="1"/>
      </right>
      <top style="thin">
        <color theme="4" tint="0.39997558519241921"/>
      </top>
      <bottom style="medium">
        <color indexed="64"/>
      </bottom>
      <diagonal/>
    </border>
    <border>
      <left/>
      <right style="thin">
        <color indexed="64"/>
      </right>
      <top style="thin">
        <color theme="4" tint="0.39997558519241921"/>
      </top>
      <bottom style="thin">
        <color theme="4" tint="0.39997558519241921"/>
      </bottom>
      <diagonal/>
    </border>
    <border>
      <left style="thin">
        <color indexed="64"/>
      </left>
      <right/>
      <top style="medium">
        <color indexed="64"/>
      </top>
      <bottom style="thin">
        <color theme="4" tint="0.39997558519241921"/>
      </bottom>
      <diagonal/>
    </border>
    <border>
      <left/>
      <right/>
      <top style="medium">
        <color indexed="64"/>
      </top>
      <bottom style="thin">
        <color theme="4" tint="0.39997558519241921"/>
      </bottom>
      <diagonal/>
    </border>
    <border>
      <left/>
      <right style="thin">
        <color indexed="64"/>
      </right>
      <top style="medium">
        <color indexed="64"/>
      </top>
      <bottom style="thin">
        <color theme="4" tint="0.39997558519241921"/>
      </bottom>
      <diagonal/>
    </border>
    <border>
      <left style="thin">
        <color indexed="64"/>
      </left>
      <right/>
      <top style="thin">
        <color theme="4" tint="0.39997558519241921"/>
      </top>
      <bottom/>
      <diagonal/>
    </border>
    <border>
      <left/>
      <right/>
      <top style="thin">
        <color theme="4" tint="0.39997558519241921"/>
      </top>
      <bottom/>
      <diagonal/>
    </border>
    <border>
      <left/>
      <right style="thin">
        <color indexed="64"/>
      </right>
      <top style="thin">
        <color theme="4" tint="0.39997558519241921"/>
      </top>
      <bottom/>
      <diagonal/>
    </border>
  </borders>
  <cellStyleXfs count="6">
    <xf numFmtId="0" fontId="0" fillId="0" borderId="0"/>
    <xf numFmtId="0" fontId="1" fillId="0" borderId="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209">
    <xf numFmtId="0" fontId="0" fillId="0" borderId="0" xfId="0"/>
    <xf numFmtId="0" fontId="3" fillId="0" borderId="0" xfId="1" applyFont="1" applyFill="1" applyAlignment="1" applyProtection="1">
      <alignment horizontal="centerContinuous"/>
    </xf>
    <xf numFmtId="0" fontId="2" fillId="0" borderId="0" xfId="1" applyFont="1" applyFill="1" applyAlignment="1" applyProtection="1">
      <alignment horizontal="centerContinuous"/>
    </xf>
    <xf numFmtId="5" fontId="2" fillId="0" borderId="0" xfId="2" applyNumberFormat="1" applyFont="1" applyFill="1" applyAlignment="1" applyProtection="1">
      <alignment horizontal="centerContinuous"/>
    </xf>
    <xf numFmtId="5" fontId="2" fillId="0" borderId="0" xfId="1" applyNumberFormat="1" applyFont="1" applyFill="1" applyAlignment="1" applyProtection="1">
      <alignment horizontal="centerContinuous"/>
    </xf>
    <xf numFmtId="165" fontId="2" fillId="0" borderId="0" xfId="1" applyNumberFormat="1" applyFont="1" applyFill="1" applyAlignment="1" applyProtection="1">
      <alignment horizontal="left"/>
    </xf>
    <xf numFmtId="5" fontId="4" fillId="0" borderId="0" xfId="1" applyNumberFormat="1" applyFont="1" applyAlignment="1" applyProtection="1"/>
    <xf numFmtId="49" fontId="2" fillId="0" borderId="0" xfId="1" applyNumberFormat="1" applyFont="1" applyFill="1" applyAlignment="1" applyProtection="1">
      <alignment horizontal="left"/>
    </xf>
    <xf numFmtId="5" fontId="11" fillId="0" borderId="0" xfId="1" applyNumberFormat="1" applyFont="1" applyAlignment="1" applyProtection="1"/>
    <xf numFmtId="0" fontId="3" fillId="0" borderId="0" xfId="1" applyFont="1" applyFill="1" applyAlignment="1" applyProtection="1">
      <alignment horizontal="centerContinuous"/>
      <protection locked="0"/>
    </xf>
    <xf numFmtId="0" fontId="4" fillId="0" borderId="0" xfId="1" applyFont="1" applyFill="1" applyProtection="1">
      <protection locked="0"/>
    </xf>
    <xf numFmtId="0" fontId="4" fillId="0" borderId="0" xfId="1" applyFont="1" applyProtection="1">
      <protection locked="0"/>
    </xf>
    <xf numFmtId="0" fontId="2" fillId="0" borderId="0" xfId="1" applyFont="1" applyFill="1" applyAlignment="1" applyProtection="1">
      <alignment horizontal="left"/>
      <protection locked="0"/>
    </xf>
    <xf numFmtId="0" fontId="5" fillId="0" borderId="5" xfId="1" applyFont="1" applyFill="1" applyBorder="1" applyAlignment="1" applyProtection="1">
      <alignment horizontal="left"/>
      <protection locked="0"/>
    </xf>
    <xf numFmtId="0" fontId="3" fillId="0" borderId="8" xfId="1" applyFont="1" applyFill="1" applyBorder="1" applyAlignment="1" applyProtection="1">
      <alignment horizontal="centerContinuous"/>
      <protection locked="0"/>
    </xf>
    <xf numFmtId="5" fontId="3" fillId="0" borderId="8" xfId="1" applyNumberFormat="1" applyFont="1" applyFill="1" applyBorder="1" applyAlignment="1" applyProtection="1">
      <alignment horizontal="centerContinuous"/>
      <protection locked="0"/>
    </xf>
    <xf numFmtId="0" fontId="6" fillId="0" borderId="0" xfId="1" applyFont="1" applyFill="1" applyProtection="1">
      <protection locked="0"/>
    </xf>
    <xf numFmtId="0" fontId="6" fillId="0" borderId="0" xfId="1" applyFont="1" applyProtection="1">
      <protection locked="0"/>
    </xf>
    <xf numFmtId="0" fontId="2" fillId="0" borderId="13" xfId="1" applyFont="1" applyFill="1" applyBorder="1" applyAlignment="1" applyProtection="1">
      <alignment horizontal="left"/>
      <protection locked="0"/>
    </xf>
    <xf numFmtId="0" fontId="3" fillId="0" borderId="13" xfId="1" applyFont="1" applyFill="1" applyBorder="1" applyAlignment="1" applyProtection="1">
      <alignment horizontal="left"/>
      <protection locked="0"/>
    </xf>
    <xf numFmtId="0" fontId="3" fillId="0" borderId="14" xfId="1" applyFont="1" applyFill="1" applyBorder="1" applyAlignment="1" applyProtection="1">
      <alignment horizontal="left"/>
      <protection locked="0"/>
    </xf>
    <xf numFmtId="5" fontId="3" fillId="0" borderId="12" xfId="1" applyNumberFormat="1" applyFont="1" applyFill="1" applyBorder="1" applyAlignment="1" applyProtection="1">
      <protection locked="0"/>
    </xf>
    <xf numFmtId="5" fontId="3" fillId="0" borderId="13" xfId="1" applyNumberFormat="1" applyFont="1" applyFill="1" applyBorder="1" applyAlignment="1" applyProtection="1">
      <protection locked="0"/>
    </xf>
    <xf numFmtId="164" fontId="3" fillId="0" borderId="14" xfId="3" applyNumberFormat="1" applyFont="1" applyFill="1" applyBorder="1" applyAlignment="1" applyProtection="1">
      <alignment horizontal="right" indent="1"/>
      <protection locked="0"/>
    </xf>
    <xf numFmtId="164" fontId="3" fillId="0" borderId="13" xfId="3" applyNumberFormat="1" applyFont="1" applyFill="1" applyBorder="1" applyAlignment="1" applyProtection="1">
      <alignment horizontal="right" indent="1"/>
      <protection locked="0"/>
    </xf>
    <xf numFmtId="0" fontId="2" fillId="0" borderId="0" xfId="1" applyFont="1" applyFill="1" applyBorder="1" applyAlignment="1" applyProtection="1">
      <protection locked="0"/>
    </xf>
    <xf numFmtId="0" fontId="2" fillId="0" borderId="4" xfId="1" applyFont="1" applyFill="1" applyBorder="1" applyProtection="1">
      <protection locked="0"/>
    </xf>
    <xf numFmtId="5" fontId="2" fillId="0" borderId="5" xfId="1" applyNumberFormat="1" applyFont="1" applyFill="1" applyBorder="1" applyAlignment="1" applyProtection="1">
      <protection locked="0"/>
    </xf>
    <xf numFmtId="5" fontId="2" fillId="0" borderId="0" xfId="1" applyNumberFormat="1" applyFont="1" applyFill="1" applyBorder="1" applyAlignment="1" applyProtection="1">
      <protection locked="0"/>
    </xf>
    <xf numFmtId="164" fontId="2" fillId="0" borderId="4" xfId="3" applyNumberFormat="1" applyFont="1" applyFill="1" applyBorder="1" applyAlignment="1" applyProtection="1">
      <alignment horizontal="right" indent="1"/>
      <protection locked="0"/>
    </xf>
    <xf numFmtId="164" fontId="2" fillId="0" borderId="0" xfId="3" applyNumberFormat="1" applyFont="1" applyFill="1" applyBorder="1" applyAlignment="1" applyProtection="1">
      <alignment horizontal="right" indent="1"/>
      <protection locked="0"/>
    </xf>
    <xf numFmtId="0" fontId="2" fillId="0" borderId="16" xfId="1" applyFont="1" applyFill="1" applyBorder="1" applyAlignment="1" applyProtection="1">
      <protection locked="0"/>
    </xf>
    <xf numFmtId="0" fontId="2" fillId="0" borderId="17" xfId="1" applyFont="1" applyFill="1" applyBorder="1" applyProtection="1">
      <protection locked="0"/>
    </xf>
    <xf numFmtId="5" fontId="2" fillId="0" borderId="15" xfId="1" applyNumberFormat="1" applyFont="1" applyFill="1" applyBorder="1" applyAlignment="1" applyProtection="1">
      <protection locked="0"/>
    </xf>
    <xf numFmtId="5" fontId="2" fillId="0" borderId="16" xfId="1" applyNumberFormat="1" applyFont="1" applyFill="1" applyBorder="1" applyAlignment="1" applyProtection="1">
      <protection locked="0"/>
    </xf>
    <xf numFmtId="164" fontId="2" fillId="0" borderId="17" xfId="3" applyNumberFormat="1" applyFont="1" applyFill="1" applyBorder="1" applyAlignment="1" applyProtection="1">
      <alignment horizontal="right" indent="1"/>
      <protection locked="0"/>
    </xf>
    <xf numFmtId="164" fontId="2" fillId="0" borderId="16" xfId="3" applyNumberFormat="1" applyFont="1" applyFill="1" applyBorder="1" applyAlignment="1" applyProtection="1">
      <alignment horizontal="right" indent="1"/>
      <protection locked="0"/>
    </xf>
    <xf numFmtId="0" fontId="4" fillId="0" borderId="0" xfId="1" applyFont="1" applyFill="1" applyBorder="1" applyProtection="1">
      <protection locked="0"/>
    </xf>
    <xf numFmtId="1" fontId="2" fillId="0" borderId="0" xfId="1" applyNumberFormat="1" applyFont="1" applyFill="1" applyBorder="1" applyAlignment="1" applyProtection="1">
      <alignment horizontal="left"/>
      <protection locked="0"/>
    </xf>
    <xf numFmtId="1" fontId="2" fillId="0" borderId="16" xfId="1" applyNumberFormat="1" applyFont="1" applyFill="1" applyBorder="1" applyAlignment="1" applyProtection="1">
      <alignment horizontal="left"/>
      <protection locked="0"/>
    </xf>
    <xf numFmtId="0" fontId="3" fillId="0" borderId="13" xfId="1" applyFont="1" applyFill="1" applyBorder="1" applyAlignment="1" applyProtection="1">
      <protection locked="0"/>
    </xf>
    <xf numFmtId="0" fontId="2" fillId="0" borderId="0" xfId="1" applyFont="1" applyFill="1" applyBorder="1" applyAlignment="1" applyProtection="1">
      <alignment horizontal="left"/>
      <protection locked="0"/>
    </xf>
    <xf numFmtId="0" fontId="2" fillId="0" borderId="0" xfId="1" applyFont="1" applyFill="1" applyBorder="1" applyProtection="1">
      <protection locked="0"/>
    </xf>
    <xf numFmtId="0" fontId="4" fillId="2" borderId="0" xfId="1" applyFont="1" applyFill="1" applyProtection="1">
      <protection locked="0"/>
    </xf>
    <xf numFmtId="0" fontId="2" fillId="0" borderId="16" xfId="1" applyFont="1" applyFill="1" applyBorder="1" applyAlignment="1" applyProtection="1">
      <alignment horizontal="left"/>
      <protection locked="0"/>
    </xf>
    <xf numFmtId="0" fontId="2" fillId="0" borderId="16" xfId="1" applyFont="1" applyFill="1" applyBorder="1" applyProtection="1">
      <protection locked="0"/>
    </xf>
    <xf numFmtId="164" fontId="2" fillId="0" borderId="14" xfId="3" applyNumberFormat="1" applyFont="1" applyFill="1" applyBorder="1" applyAlignment="1" applyProtection="1">
      <alignment horizontal="right" indent="1"/>
      <protection locked="0"/>
    </xf>
    <xf numFmtId="164" fontId="3" fillId="0" borderId="14" xfId="3" applyNumberFormat="1" applyFont="1" applyFill="1" applyBorder="1" applyAlignment="1" applyProtection="1">
      <protection locked="0"/>
    </xf>
    <xf numFmtId="164" fontId="2" fillId="0" borderId="0" xfId="3" applyNumberFormat="1" applyFont="1" applyFill="1" applyBorder="1" applyAlignment="1" applyProtection="1">
      <protection locked="0"/>
    </xf>
    <xf numFmtId="164" fontId="2" fillId="0" borderId="16" xfId="3" applyNumberFormat="1" applyFont="1" applyFill="1" applyBorder="1" applyAlignment="1" applyProtection="1">
      <protection locked="0"/>
    </xf>
    <xf numFmtId="0" fontId="3" fillId="0" borderId="19" xfId="1" applyFont="1" applyFill="1" applyBorder="1" applyProtection="1">
      <protection locked="0"/>
    </xf>
    <xf numFmtId="5" fontId="3" fillId="0" borderId="18" xfId="1" applyNumberFormat="1" applyFont="1" applyFill="1" applyBorder="1" applyAlignment="1" applyProtection="1">
      <protection locked="0"/>
    </xf>
    <xf numFmtId="5" fontId="3" fillId="0" borderId="19" xfId="1" applyNumberFormat="1" applyFont="1" applyFill="1" applyBorder="1" applyAlignment="1" applyProtection="1">
      <protection locked="0"/>
    </xf>
    <xf numFmtId="164" fontId="3" fillId="0" borderId="20" xfId="3" applyNumberFormat="1" applyFont="1" applyFill="1" applyBorder="1" applyAlignment="1" applyProtection="1">
      <alignment horizontal="right" indent="1"/>
      <protection locked="0"/>
    </xf>
    <xf numFmtId="164" fontId="3" fillId="0" borderId="19" xfId="3" applyNumberFormat="1" applyFont="1" applyFill="1" applyBorder="1" applyAlignment="1" applyProtection="1">
      <alignment horizontal="right" indent="1"/>
      <protection locked="0"/>
    </xf>
    <xf numFmtId="0" fontId="9" fillId="0" borderId="0" xfId="1" applyFont="1" applyFill="1" applyProtection="1">
      <protection locked="0"/>
    </xf>
    <xf numFmtId="0" fontId="9" fillId="0" borderId="0" xfId="1" applyFont="1" applyProtection="1">
      <protection locked="0"/>
    </xf>
    <xf numFmtId="0" fontId="2" fillId="0" borderId="19" xfId="1" applyFont="1" applyFill="1" applyBorder="1" applyAlignment="1" applyProtection="1">
      <alignment horizontal="left" wrapText="1"/>
      <protection locked="0"/>
    </xf>
    <xf numFmtId="165" fontId="10" fillId="0" borderId="0" xfId="1" applyNumberFormat="1" applyFont="1" applyBorder="1" applyProtection="1">
      <protection locked="0"/>
    </xf>
    <xf numFmtId="165" fontId="3" fillId="0" borderId="4" xfId="1" applyNumberFormat="1" applyFont="1" applyFill="1" applyBorder="1" applyAlignment="1" applyProtection="1">
      <alignment horizontal="left"/>
      <protection locked="0"/>
    </xf>
    <xf numFmtId="165" fontId="10" fillId="0" borderId="0" xfId="1" applyNumberFormat="1" applyFont="1" applyFill="1" applyProtection="1">
      <protection locked="0"/>
    </xf>
    <xf numFmtId="165" fontId="10" fillId="0" borderId="0" xfId="1" applyNumberFormat="1" applyFont="1" applyProtection="1">
      <protection locked="0"/>
    </xf>
    <xf numFmtId="165" fontId="3" fillId="0" borderId="14" xfId="1" applyNumberFormat="1" applyFont="1" applyFill="1" applyBorder="1" applyAlignment="1" applyProtection="1">
      <alignment horizontal="left" indent="3"/>
      <protection locked="0"/>
    </xf>
    <xf numFmtId="5" fontId="2" fillId="0" borderId="12" xfId="4" applyNumberFormat="1" applyFont="1" applyFill="1" applyBorder="1" applyAlignment="1" applyProtection="1">
      <protection locked="0"/>
    </xf>
    <xf numFmtId="5" fontId="2" fillId="0" borderId="13" xfId="4" applyNumberFormat="1" applyFont="1" applyFill="1" applyBorder="1" applyAlignment="1" applyProtection="1">
      <protection locked="0"/>
    </xf>
    <xf numFmtId="0" fontId="9" fillId="0" borderId="0" xfId="1" applyFont="1" applyBorder="1" applyProtection="1">
      <protection locked="0"/>
    </xf>
    <xf numFmtId="165" fontId="3" fillId="0" borderId="4" xfId="1" applyNumberFormat="1" applyFont="1" applyFill="1" applyBorder="1" applyAlignment="1" applyProtection="1">
      <alignment horizontal="left" indent="3"/>
      <protection locked="0"/>
    </xf>
    <xf numFmtId="5" fontId="2" fillId="0" borderId="5" xfId="4" applyNumberFormat="1" applyFont="1" applyFill="1" applyBorder="1" applyAlignment="1" applyProtection="1">
      <protection locked="0"/>
    </xf>
    <xf numFmtId="5" fontId="2" fillId="0" borderId="0" xfId="4" applyNumberFormat="1" applyFont="1" applyFill="1" applyBorder="1" applyAlignment="1" applyProtection="1">
      <protection locked="0"/>
    </xf>
    <xf numFmtId="0" fontId="9" fillId="0" borderId="0" xfId="1" applyFont="1" applyFill="1" applyBorder="1" applyProtection="1">
      <protection locked="0"/>
    </xf>
    <xf numFmtId="0" fontId="3" fillId="0" borderId="4" xfId="1" applyFont="1" applyFill="1" applyBorder="1" applyAlignment="1" applyProtection="1">
      <alignment horizontal="left" indent="3"/>
      <protection locked="0"/>
    </xf>
    <xf numFmtId="165" fontId="2" fillId="0" borderId="0" xfId="1" applyNumberFormat="1" applyFont="1" applyFill="1" applyAlignment="1" applyProtection="1">
      <alignment horizontal="left"/>
      <protection locked="0"/>
    </xf>
    <xf numFmtId="0" fontId="5" fillId="0" borderId="8" xfId="1" applyFont="1" applyFill="1" applyBorder="1" applyAlignment="1" applyProtection="1">
      <protection locked="0"/>
    </xf>
    <xf numFmtId="0" fontId="3" fillId="0" borderId="15" xfId="1" applyFont="1" applyFill="1" applyBorder="1" applyAlignment="1" applyProtection="1">
      <alignment horizontal="center"/>
      <protection locked="0"/>
    </xf>
    <xf numFmtId="0" fontId="3" fillId="0" borderId="2" xfId="1" applyFont="1" applyFill="1" applyBorder="1" applyAlignment="1" applyProtection="1">
      <alignment horizontal="center"/>
      <protection locked="0"/>
    </xf>
    <xf numFmtId="0" fontId="3" fillId="0" borderId="2" xfId="1" applyFont="1" applyFill="1" applyBorder="1" applyProtection="1">
      <protection locked="0"/>
    </xf>
    <xf numFmtId="164" fontId="4" fillId="0" borderId="0" xfId="1" applyNumberFormat="1" applyFont="1" applyFill="1" applyProtection="1">
      <protection locked="0"/>
    </xf>
    <xf numFmtId="0" fontId="2" fillId="0" borderId="5" xfId="1" applyFont="1" applyFill="1" applyBorder="1" applyAlignment="1" applyProtection="1">
      <alignment horizontal="left"/>
      <protection locked="0"/>
    </xf>
    <xf numFmtId="1" fontId="2" fillId="0" borderId="5" xfId="1" applyNumberFormat="1" applyFont="1" applyFill="1" applyBorder="1" applyAlignment="1" applyProtection="1">
      <alignment horizontal="left"/>
      <protection locked="0"/>
    </xf>
    <xf numFmtId="1" fontId="2" fillId="0" borderId="15" xfId="1" applyNumberFormat="1" applyFont="1" applyFill="1" applyBorder="1" applyAlignment="1" applyProtection="1">
      <alignment horizontal="left"/>
      <protection locked="0"/>
    </xf>
    <xf numFmtId="0" fontId="2" fillId="0" borderId="15" xfId="1" applyFont="1" applyFill="1" applyBorder="1" applyAlignment="1" applyProtection="1">
      <alignment horizontal="left"/>
      <protection locked="0"/>
    </xf>
    <xf numFmtId="164" fontId="2" fillId="0" borderId="4" xfId="3" applyNumberFormat="1" applyFont="1" applyFill="1" applyBorder="1" applyAlignment="1" applyProtection="1">
      <protection locked="0"/>
    </xf>
    <xf numFmtId="164" fontId="2" fillId="0" borderId="17" xfId="3" applyNumberFormat="1" applyFont="1" applyFill="1" applyBorder="1" applyAlignment="1" applyProtection="1">
      <protection locked="0"/>
    </xf>
    <xf numFmtId="164" fontId="3" fillId="0" borderId="13" xfId="3" applyNumberFormat="1" applyFont="1" applyFill="1" applyBorder="1" applyAlignment="1" applyProtection="1">
      <protection locked="0"/>
    </xf>
    <xf numFmtId="165" fontId="10" fillId="0" borderId="0" xfId="1" applyNumberFormat="1" applyFont="1" applyFill="1" applyBorder="1" applyProtection="1">
      <protection locked="0"/>
    </xf>
    <xf numFmtId="0" fontId="3" fillId="0" borderId="17" xfId="1" applyFont="1" applyFill="1" applyBorder="1" applyAlignment="1" applyProtection="1">
      <alignment horizontal="left" indent="3"/>
      <protection locked="0"/>
    </xf>
    <xf numFmtId="5" fontId="2" fillId="0" borderId="15" xfId="4" applyNumberFormat="1" applyFont="1" applyFill="1" applyBorder="1" applyAlignment="1" applyProtection="1">
      <protection locked="0"/>
    </xf>
    <xf numFmtId="5" fontId="2" fillId="0" borderId="16" xfId="4" applyNumberFormat="1" applyFont="1" applyFill="1" applyBorder="1" applyAlignment="1" applyProtection="1">
      <protection locked="0"/>
    </xf>
    <xf numFmtId="0" fontId="8" fillId="0" borderId="0" xfId="1" applyFont="1" applyAlignment="1" applyProtection="1">
      <alignment horizontal="left"/>
      <protection locked="0"/>
    </xf>
    <xf numFmtId="164" fontId="3" fillId="0" borderId="20" xfId="3" applyNumberFormat="1" applyFont="1" applyFill="1" applyBorder="1" applyAlignment="1" applyProtection="1">
      <protection locked="0"/>
    </xf>
    <xf numFmtId="0" fontId="11" fillId="0" borderId="0" xfId="1" applyFont="1" applyProtection="1"/>
    <xf numFmtId="49" fontId="2" fillId="0" borderId="0" xfId="1" applyNumberFormat="1" applyFont="1" applyFill="1" applyAlignment="1" applyProtection="1"/>
    <xf numFmtId="0" fontId="5" fillId="0" borderId="0" xfId="1" applyFont="1" applyFill="1" applyBorder="1" applyAlignment="1" applyProtection="1">
      <alignment horizontal="left"/>
      <protection locked="0"/>
    </xf>
    <xf numFmtId="0" fontId="3" fillId="0" borderId="0" xfId="1" applyFont="1" applyFill="1" applyBorder="1" applyAlignment="1" applyProtection="1">
      <alignment horizontal="left"/>
      <protection locked="0"/>
    </xf>
    <xf numFmtId="0" fontId="3" fillId="0" borderId="7" xfId="1" applyFont="1" applyFill="1" applyBorder="1" applyAlignment="1" applyProtection="1">
      <alignment horizontal="centerContinuous"/>
      <protection locked="0"/>
    </xf>
    <xf numFmtId="0" fontId="3" fillId="0" borderId="6" xfId="1" applyFont="1" applyFill="1" applyBorder="1" applyAlignment="1" applyProtection="1">
      <alignment horizontal="centerContinuous"/>
      <protection locked="0"/>
    </xf>
    <xf numFmtId="5" fontId="3" fillId="0" borderId="7" xfId="1" applyNumberFormat="1" applyFont="1" applyFill="1" applyBorder="1" applyAlignment="1" applyProtection="1">
      <alignment horizontal="centerContinuous"/>
      <protection locked="0"/>
    </xf>
    <xf numFmtId="5" fontId="3" fillId="0" borderId="6" xfId="1" applyNumberFormat="1" applyFont="1" applyFill="1" applyBorder="1" applyAlignment="1" applyProtection="1">
      <alignment horizontal="centerContinuous"/>
      <protection locked="0"/>
    </xf>
    <xf numFmtId="0" fontId="8" fillId="0" borderId="13" xfId="1" applyFont="1" applyFill="1" applyBorder="1" applyProtection="1">
      <protection locked="0"/>
    </xf>
    <xf numFmtId="0" fontId="2" fillId="0" borderId="13" xfId="1" applyFont="1" applyFill="1" applyBorder="1" applyAlignment="1" applyProtection="1">
      <protection locked="0"/>
    </xf>
    <xf numFmtId="5" fontId="12" fillId="0" borderId="5" xfId="1" applyNumberFormat="1" applyFont="1" applyFill="1" applyBorder="1" applyAlignment="1" applyProtection="1">
      <protection locked="0"/>
    </xf>
    <xf numFmtId="5" fontId="12" fillId="0" borderId="0" xfId="1" applyNumberFormat="1" applyFont="1" applyFill="1" applyBorder="1" applyAlignment="1" applyProtection="1">
      <protection locked="0"/>
    </xf>
    <xf numFmtId="164" fontId="12" fillId="0" borderId="4" xfId="3" applyNumberFormat="1" applyFont="1" applyFill="1" applyBorder="1" applyAlignment="1" applyProtection="1">
      <alignment horizontal="right" indent="1"/>
      <protection locked="0"/>
    </xf>
    <xf numFmtId="5" fontId="12" fillId="0" borderId="3" xfId="1" applyNumberFormat="1" applyFont="1" applyFill="1" applyBorder="1" applyAlignment="1" applyProtection="1">
      <protection locked="0"/>
    </xf>
    <xf numFmtId="5" fontId="12" fillId="0" borderId="2" xfId="1" applyNumberFormat="1" applyFont="1" applyFill="1" applyBorder="1" applyAlignment="1" applyProtection="1">
      <protection locked="0"/>
    </xf>
    <xf numFmtId="164" fontId="12" fillId="0" borderId="1" xfId="3" applyNumberFormat="1" applyFont="1" applyFill="1" applyBorder="1" applyAlignment="1" applyProtection="1">
      <alignment horizontal="right" indent="1"/>
      <protection locked="0"/>
    </xf>
    <xf numFmtId="165" fontId="3" fillId="0" borderId="19" xfId="1" applyNumberFormat="1" applyFont="1" applyFill="1" applyBorder="1" applyAlignment="1" applyProtection="1">
      <protection locked="0"/>
    </xf>
    <xf numFmtId="165" fontId="10" fillId="0" borderId="16" xfId="1" applyNumberFormat="1" applyFont="1" applyFill="1" applyBorder="1" applyProtection="1">
      <protection locked="0"/>
    </xf>
    <xf numFmtId="165" fontId="10" fillId="0" borderId="16" xfId="1" applyNumberFormat="1" applyFont="1" applyBorder="1" applyProtection="1">
      <protection locked="0"/>
    </xf>
    <xf numFmtId="0" fontId="4" fillId="3" borderId="0" xfId="1" applyFont="1" applyFill="1" applyProtection="1">
      <protection locked="0"/>
    </xf>
    <xf numFmtId="0" fontId="4" fillId="2" borderId="0" xfId="1" applyFont="1" applyFill="1" applyBorder="1" applyProtection="1">
      <protection locked="0"/>
    </xf>
    <xf numFmtId="5" fontId="13" fillId="0" borderId="5" xfId="1" applyNumberFormat="1" applyFont="1" applyFill="1" applyBorder="1" applyAlignment="1" applyProtection="1">
      <protection locked="0"/>
    </xf>
    <xf numFmtId="5" fontId="13" fillId="0" borderId="0" xfId="1" applyNumberFormat="1" applyFont="1" applyFill="1" applyBorder="1" applyAlignment="1" applyProtection="1">
      <protection locked="0"/>
    </xf>
    <xf numFmtId="164" fontId="13" fillId="0" borderId="4" xfId="3" applyNumberFormat="1" applyFont="1" applyFill="1" applyBorder="1" applyAlignment="1" applyProtection="1">
      <alignment horizontal="right" indent="1"/>
      <protection locked="0"/>
    </xf>
    <xf numFmtId="164" fontId="3" fillId="0" borderId="0" xfId="5" applyNumberFormat="1" applyFont="1" applyFill="1" applyBorder="1" applyAlignment="1" applyProtection="1">
      <protection locked="0"/>
    </xf>
    <xf numFmtId="0" fontId="6" fillId="0" borderId="0" xfId="1" applyFont="1" applyFill="1" applyAlignment="1" applyProtection="1">
      <alignment horizontal="left"/>
      <protection locked="0"/>
    </xf>
    <xf numFmtId="5" fontId="3" fillId="0" borderId="3" xfId="1" applyNumberFormat="1" applyFont="1" applyFill="1" applyBorder="1" applyAlignment="1" applyProtection="1">
      <alignment horizontal="center"/>
      <protection locked="0"/>
    </xf>
    <xf numFmtId="5" fontId="3" fillId="0" borderId="2" xfId="1" applyNumberFormat="1" applyFont="1" applyFill="1" applyBorder="1" applyAlignment="1" applyProtection="1">
      <alignment horizontal="center"/>
      <protection locked="0"/>
    </xf>
    <xf numFmtId="5" fontId="3" fillId="0" borderId="2" xfId="1" applyNumberFormat="1" applyFont="1" applyFill="1" applyBorder="1" applyAlignment="1" applyProtection="1">
      <alignment horizontal="center" wrapText="1"/>
      <protection locked="0"/>
    </xf>
    <xf numFmtId="0" fontId="3" fillId="0" borderId="1" xfId="1" applyFont="1" applyFill="1" applyBorder="1" applyAlignment="1" applyProtection="1">
      <alignment horizontal="center"/>
      <protection locked="0"/>
    </xf>
    <xf numFmtId="164" fontId="8" fillId="0" borderId="1" xfId="2" applyNumberFormat="1" applyFont="1" applyFill="1" applyBorder="1" applyAlignment="1" applyProtection="1">
      <alignment horizontal="center"/>
      <protection locked="0"/>
    </xf>
    <xf numFmtId="0" fontId="2" fillId="0" borderId="21" xfId="1" applyNumberFormat="1" applyFont="1" applyFill="1" applyBorder="1" applyAlignment="1" applyProtection="1">
      <protection locked="0"/>
    </xf>
    <xf numFmtId="0" fontId="2" fillId="0" borderId="22" xfId="1" applyNumberFormat="1" applyFont="1" applyFill="1" applyBorder="1" applyAlignment="1" applyProtection="1">
      <protection locked="0"/>
    </xf>
    <xf numFmtId="0" fontId="3" fillId="0" borderId="13" xfId="1" applyNumberFormat="1" applyFont="1" applyFill="1" applyBorder="1" applyAlignment="1" applyProtection="1">
      <protection locked="0"/>
    </xf>
    <xf numFmtId="0" fontId="3" fillId="0" borderId="0" xfId="1" applyNumberFormat="1" applyFont="1" applyFill="1" applyBorder="1" applyAlignment="1" applyProtection="1">
      <protection locked="0"/>
    </xf>
    <xf numFmtId="0" fontId="2" fillId="0" borderId="0" xfId="1" applyNumberFormat="1" applyFont="1" applyFill="1" applyBorder="1" applyAlignment="1" applyProtection="1">
      <protection locked="0"/>
    </xf>
    <xf numFmtId="164" fontId="3" fillId="0" borderId="0" xfId="1" applyNumberFormat="1" applyFont="1" applyFill="1" applyBorder="1" applyAlignment="1" applyProtection="1">
      <protection locked="0"/>
    </xf>
    <xf numFmtId="5" fontId="3" fillId="0" borderId="15" xfId="1" applyNumberFormat="1" applyFont="1" applyFill="1" applyBorder="1" applyAlignment="1" applyProtection="1">
      <alignment horizontal="center"/>
      <protection locked="0"/>
    </xf>
    <xf numFmtId="5" fontId="3" fillId="0" borderId="16" xfId="1" applyNumberFormat="1" applyFont="1" applyFill="1" applyBorder="1" applyAlignment="1" applyProtection="1">
      <alignment horizontal="center"/>
      <protection locked="0"/>
    </xf>
    <xf numFmtId="5" fontId="3" fillId="0" borderId="16" xfId="1" applyNumberFormat="1" applyFont="1" applyFill="1" applyBorder="1" applyAlignment="1" applyProtection="1">
      <alignment horizontal="center" wrapText="1"/>
      <protection locked="0"/>
    </xf>
    <xf numFmtId="0" fontId="3" fillId="0" borderId="17" xfId="1" applyFont="1" applyFill="1" applyBorder="1" applyAlignment="1" applyProtection="1">
      <alignment horizontal="center"/>
      <protection locked="0"/>
    </xf>
    <xf numFmtId="164" fontId="3" fillId="0" borderId="16" xfId="2" applyNumberFormat="1" applyFont="1" applyFill="1" applyBorder="1" applyAlignment="1" applyProtection="1">
      <alignment horizontal="center"/>
      <protection locked="0"/>
    </xf>
    <xf numFmtId="164" fontId="9" fillId="0" borderId="0" xfId="2" applyNumberFormat="1" applyFont="1" applyFill="1" applyAlignment="1" applyProtection="1">
      <alignment horizontal="centerContinuous"/>
    </xf>
    <xf numFmtId="0" fontId="10" fillId="0" borderId="0" xfId="1" applyFont="1" applyFill="1" applyProtection="1">
      <protection locked="0"/>
    </xf>
    <xf numFmtId="164" fontId="3" fillId="0" borderId="19" xfId="5" applyNumberFormat="1" applyFont="1" applyFill="1" applyBorder="1" applyAlignment="1" applyProtection="1">
      <protection locked="0"/>
    </xf>
    <xf numFmtId="164" fontId="2" fillId="0" borderId="14" xfId="5" applyNumberFormat="1" applyFont="1" applyFill="1" applyBorder="1" applyAlignment="1" applyProtection="1">
      <protection locked="0"/>
    </xf>
    <xf numFmtId="164" fontId="2" fillId="0" borderId="4" xfId="5" applyNumberFormat="1" applyFont="1" applyFill="1" applyBorder="1" applyAlignment="1" applyProtection="1">
      <protection locked="0"/>
    </xf>
    <xf numFmtId="164" fontId="2" fillId="0" borderId="16" xfId="5" applyNumberFormat="1" applyFont="1" applyFill="1" applyBorder="1" applyAlignment="1" applyProtection="1">
      <protection locked="0"/>
    </xf>
    <xf numFmtId="164" fontId="3" fillId="0" borderId="13" xfId="5" applyNumberFormat="1" applyFont="1" applyFill="1" applyBorder="1" applyAlignment="1" applyProtection="1">
      <protection locked="0"/>
    </xf>
    <xf numFmtId="164" fontId="2" fillId="0" borderId="13" xfId="5" applyNumberFormat="1" applyFont="1" applyFill="1" applyBorder="1" applyAlignment="1" applyProtection="1">
      <protection locked="0"/>
    </xf>
    <xf numFmtId="164" fontId="2" fillId="0" borderId="0" xfId="5" applyNumberFormat="1" applyFont="1" applyFill="1" applyBorder="1" applyAlignment="1" applyProtection="1">
      <protection locked="0"/>
    </xf>
    <xf numFmtId="164" fontId="2" fillId="0" borderId="17" xfId="5" applyNumberFormat="1" applyFont="1" applyFill="1" applyBorder="1" applyAlignment="1" applyProtection="1">
      <protection locked="0"/>
    </xf>
    <xf numFmtId="0" fontId="2" fillId="0" borderId="0" xfId="1" applyFont="1" applyFill="1" applyAlignment="1" applyProtection="1">
      <alignment horizontal="centerContinuous"/>
      <protection locked="0"/>
    </xf>
    <xf numFmtId="0" fontId="3" fillId="0" borderId="11" xfId="1" applyFont="1" applyFill="1" applyBorder="1" applyAlignment="1" applyProtection="1">
      <alignment horizontal="centerContinuous"/>
      <protection locked="0"/>
    </xf>
    <xf numFmtId="0" fontId="3" fillId="0" borderId="10" xfId="1" applyFont="1" applyFill="1" applyBorder="1" applyAlignment="1" applyProtection="1">
      <alignment horizontal="centerContinuous"/>
      <protection locked="0"/>
    </xf>
    <xf numFmtId="0" fontId="3" fillId="0" borderId="9" xfId="1" applyFont="1" applyFill="1" applyBorder="1" applyAlignment="1" applyProtection="1">
      <alignment horizontal="centerContinuous"/>
      <protection locked="0"/>
    </xf>
    <xf numFmtId="0" fontId="4" fillId="0" borderId="14" xfId="1" applyFont="1" applyFill="1" applyBorder="1" applyProtection="1">
      <protection locked="0"/>
    </xf>
    <xf numFmtId="0" fontId="3" fillId="0" borderId="20" xfId="1" applyFont="1" applyFill="1" applyBorder="1" applyProtection="1">
      <protection locked="0"/>
    </xf>
    <xf numFmtId="165" fontId="3" fillId="0" borderId="0" xfId="1" applyNumberFormat="1" applyFont="1" applyFill="1" applyBorder="1" applyAlignment="1" applyProtection="1">
      <alignment horizontal="left"/>
      <protection locked="0"/>
    </xf>
    <xf numFmtId="165" fontId="3" fillId="0" borderId="13" xfId="1" applyNumberFormat="1" applyFont="1" applyFill="1" applyBorder="1" applyAlignment="1" applyProtection="1">
      <alignment horizontal="left"/>
      <protection locked="0"/>
    </xf>
    <xf numFmtId="165" fontId="10" fillId="0" borderId="13" xfId="1" applyNumberFormat="1" applyFont="1" applyFill="1" applyBorder="1" applyProtection="1">
      <protection locked="0"/>
    </xf>
    <xf numFmtId="5" fontId="4" fillId="0" borderId="0" xfId="1" applyNumberFormat="1" applyFont="1" applyFill="1" applyAlignment="1" applyProtection="1">
      <protection locked="0"/>
    </xf>
    <xf numFmtId="164" fontId="4" fillId="0" borderId="0" xfId="2" applyNumberFormat="1" applyFont="1" applyFill="1" applyProtection="1">
      <protection locked="0"/>
    </xf>
    <xf numFmtId="0" fontId="3" fillId="0" borderId="0" xfId="1" applyFont="1" applyFill="1" applyAlignment="1" applyProtection="1">
      <protection locked="0"/>
    </xf>
    <xf numFmtId="49" fontId="2" fillId="0" borderId="0" xfId="1" applyNumberFormat="1" applyFont="1" applyFill="1" applyAlignment="1" applyProtection="1">
      <alignment horizontal="left"/>
      <protection locked="0"/>
    </xf>
    <xf numFmtId="49" fontId="12" fillId="0" borderId="0" xfId="1" applyNumberFormat="1" applyFont="1" applyFill="1" applyAlignment="1" applyProtection="1">
      <alignment horizontal="left"/>
      <protection locked="0"/>
    </xf>
    <xf numFmtId="49" fontId="12" fillId="0" borderId="0" xfId="1" applyNumberFormat="1" applyFont="1" applyFill="1" applyAlignment="1" applyProtection="1">
      <alignment horizontal="left" wrapText="1"/>
      <protection locked="0"/>
    </xf>
    <xf numFmtId="0" fontId="14" fillId="0" borderId="0" xfId="1" applyFont="1" applyFill="1" applyAlignment="1" applyProtection="1">
      <alignment horizontal="right"/>
      <protection locked="0"/>
    </xf>
    <xf numFmtId="0" fontId="14" fillId="0" borderId="0" xfId="1" applyFont="1" applyFill="1" applyProtection="1">
      <protection locked="0"/>
    </xf>
    <xf numFmtId="5" fontId="14" fillId="0" borderId="0" xfId="1" applyNumberFormat="1" applyFont="1" applyFill="1" applyAlignment="1" applyProtection="1">
      <protection locked="0"/>
    </xf>
    <xf numFmtId="5" fontId="11" fillId="0" borderId="0" xfId="1" applyNumberFormat="1" applyFont="1" applyFill="1" applyAlignment="1" applyProtection="1">
      <protection locked="0"/>
    </xf>
    <xf numFmtId="0" fontId="11" fillId="0" borderId="0" xfId="1" applyFont="1" applyFill="1" applyAlignment="1" applyProtection="1">
      <protection locked="0"/>
    </xf>
    <xf numFmtId="164" fontId="2" fillId="0" borderId="0" xfId="2" applyNumberFormat="1" applyFont="1" applyFill="1" applyAlignment="1" applyProtection="1">
      <protection locked="0"/>
    </xf>
    <xf numFmtId="0" fontId="2" fillId="0" borderId="0" xfId="1" applyFont="1" applyFill="1" applyProtection="1">
      <protection locked="0"/>
    </xf>
    <xf numFmtId="5" fontId="2" fillId="0" borderId="0" xfId="2" applyNumberFormat="1" applyFont="1" applyFill="1" applyAlignment="1" applyProtection="1">
      <protection locked="0"/>
    </xf>
    <xf numFmtId="5" fontId="2" fillId="0" borderId="0" xfId="1" applyNumberFormat="1" applyFont="1" applyFill="1" applyAlignment="1" applyProtection="1">
      <protection locked="0"/>
    </xf>
    <xf numFmtId="0" fontId="5" fillId="0" borderId="7" xfId="1" applyFont="1" applyFill="1" applyBorder="1" applyAlignment="1" applyProtection="1">
      <protection locked="0"/>
    </xf>
    <xf numFmtId="0" fontId="5" fillId="0" borderId="6" xfId="1" applyFont="1" applyFill="1" applyBorder="1" applyAlignment="1" applyProtection="1">
      <protection locked="0"/>
    </xf>
    <xf numFmtId="0" fontId="3" fillId="0" borderId="14" xfId="1" applyFont="1" applyFill="1" applyBorder="1" applyAlignment="1" applyProtection="1">
      <protection locked="0"/>
    </xf>
    <xf numFmtId="0" fontId="2" fillId="0" borderId="14" xfId="1" applyFont="1" applyFill="1" applyBorder="1" applyProtection="1">
      <protection locked="0"/>
    </xf>
    <xf numFmtId="0" fontId="2" fillId="0" borderId="27" xfId="1" applyNumberFormat="1" applyFont="1" applyFill="1" applyBorder="1" applyAlignment="1" applyProtection="1">
      <alignment horizontal="left"/>
      <protection locked="0"/>
    </xf>
    <xf numFmtId="0" fontId="3" fillId="0" borderId="28" xfId="1" applyNumberFormat="1" applyFont="1" applyFill="1" applyBorder="1" applyAlignment="1" applyProtection="1">
      <alignment horizontal="left"/>
      <protection locked="0"/>
    </xf>
    <xf numFmtId="0" fontId="3" fillId="0" borderId="29" xfId="1" applyNumberFormat="1" applyFont="1" applyFill="1" applyBorder="1" applyAlignment="1" applyProtection="1">
      <alignment horizontal="left"/>
      <protection locked="0"/>
    </xf>
    <xf numFmtId="5" fontId="3" fillId="0" borderId="27" xfId="1" applyNumberFormat="1" applyFont="1" applyFill="1" applyBorder="1" applyAlignment="1" applyProtection="1">
      <protection locked="0"/>
    </xf>
    <xf numFmtId="5" fontId="3" fillId="0" borderId="28" xfId="1" applyNumberFormat="1" applyFont="1" applyFill="1" applyBorder="1" applyAlignment="1" applyProtection="1">
      <protection locked="0"/>
    </xf>
    <xf numFmtId="164" fontId="3" fillId="0" borderId="29" xfId="3" applyNumberFormat="1" applyFont="1" applyFill="1" applyBorder="1" applyAlignment="1" applyProtection="1">
      <alignment horizontal="right" indent="1"/>
      <protection locked="0"/>
    </xf>
    <xf numFmtId="0" fontId="2" fillId="0" borderId="24" xfId="1" applyNumberFormat="1" applyFont="1" applyFill="1" applyBorder="1" applyAlignment="1" applyProtection="1">
      <alignment horizontal="left"/>
      <protection locked="0"/>
    </xf>
    <xf numFmtId="5" fontId="2" fillId="0" borderId="24" xfId="1" applyNumberFormat="1" applyFont="1" applyFill="1" applyBorder="1" applyAlignment="1" applyProtection="1">
      <protection locked="0"/>
    </xf>
    <xf numFmtId="5" fontId="2" fillId="0" borderId="21" xfId="1" applyNumberFormat="1" applyFont="1" applyFill="1" applyBorder="1" applyAlignment="1" applyProtection="1">
      <protection locked="0"/>
    </xf>
    <xf numFmtId="164" fontId="2" fillId="0" borderId="26" xfId="3" applyNumberFormat="1" applyFont="1" applyFill="1" applyBorder="1" applyAlignment="1" applyProtection="1">
      <alignment horizontal="right" indent="1"/>
      <protection locked="0"/>
    </xf>
    <xf numFmtId="0" fontId="2" fillId="0" borderId="30" xfId="1" applyNumberFormat="1" applyFont="1" applyFill="1" applyBorder="1" applyAlignment="1" applyProtection="1">
      <alignment horizontal="left"/>
      <protection locked="0"/>
    </xf>
    <xf numFmtId="0" fontId="2" fillId="0" borderId="31" xfId="1" applyNumberFormat="1" applyFont="1" applyFill="1" applyBorder="1" applyAlignment="1" applyProtection="1">
      <protection locked="0"/>
    </xf>
    <xf numFmtId="5" fontId="2" fillId="0" borderId="30" xfId="1" applyNumberFormat="1" applyFont="1" applyFill="1" applyBorder="1" applyAlignment="1" applyProtection="1">
      <protection locked="0"/>
    </xf>
    <xf numFmtId="5" fontId="2" fillId="0" borderId="31" xfId="1" applyNumberFormat="1" applyFont="1" applyFill="1" applyBorder="1" applyAlignment="1" applyProtection="1">
      <protection locked="0"/>
    </xf>
    <xf numFmtId="0" fontId="2" fillId="0" borderId="0" xfId="1" applyNumberFormat="1" applyFont="1" applyFill="1" applyBorder="1" applyAlignment="1" applyProtection="1">
      <alignment horizontal="left"/>
      <protection locked="0"/>
    </xf>
    <xf numFmtId="0" fontId="2" fillId="0" borderId="4" xfId="1" applyNumberFormat="1" applyFont="1" applyFill="1" applyBorder="1" applyAlignment="1" applyProtection="1">
      <protection locked="0"/>
    </xf>
    <xf numFmtId="164" fontId="2" fillId="0" borderId="32" xfId="3" applyNumberFormat="1" applyFont="1" applyFill="1" applyBorder="1" applyAlignment="1" applyProtection="1">
      <alignment horizontal="right" indent="1"/>
      <protection locked="0"/>
    </xf>
    <xf numFmtId="5" fontId="2" fillId="0" borderId="23" xfId="1" applyNumberFormat="1" applyFont="1" applyFill="1" applyBorder="1" applyAlignment="1" applyProtection="1">
      <protection locked="0"/>
    </xf>
    <xf numFmtId="5" fontId="2" fillId="0" borderId="22" xfId="1" applyNumberFormat="1" applyFont="1" applyFill="1" applyBorder="1" applyAlignment="1" applyProtection="1">
      <protection locked="0"/>
    </xf>
    <xf numFmtId="164" fontId="2" fillId="0" borderId="25" xfId="3" applyNumberFormat="1" applyFont="1" applyFill="1" applyBorder="1" applyAlignment="1" applyProtection="1">
      <alignment horizontal="right" indent="1"/>
      <protection locked="0"/>
    </xf>
    <xf numFmtId="165" fontId="3" fillId="0" borderId="18" xfId="1" applyNumberFormat="1" applyFont="1" applyFill="1" applyBorder="1" applyAlignment="1" applyProtection="1">
      <alignment horizontal="left"/>
      <protection locked="0"/>
    </xf>
    <xf numFmtId="165" fontId="10" fillId="0" borderId="19" xfId="1" applyNumberFormat="1" applyFont="1" applyFill="1" applyBorder="1" applyProtection="1">
      <protection locked="0"/>
    </xf>
    <xf numFmtId="165" fontId="3" fillId="0" borderId="5" xfId="1" applyNumberFormat="1" applyFont="1" applyFill="1" applyBorder="1" applyAlignment="1" applyProtection="1">
      <alignment horizontal="left"/>
      <protection locked="0"/>
    </xf>
    <xf numFmtId="0" fontId="9" fillId="0" borderId="16" xfId="1" applyFont="1" applyFill="1" applyBorder="1" applyProtection="1">
      <protection locked="0"/>
    </xf>
    <xf numFmtId="165" fontId="12" fillId="0" borderId="0" xfId="1" applyNumberFormat="1" applyFont="1" applyFill="1" applyAlignment="1" applyProtection="1">
      <alignment horizontal="left"/>
      <protection locked="0"/>
    </xf>
    <xf numFmtId="0" fontId="1" fillId="0" borderId="0" xfId="1" applyProtection="1">
      <protection locked="0"/>
    </xf>
    <xf numFmtId="0" fontId="11" fillId="0" borderId="0" xfId="1" applyFont="1" applyAlignment="1" applyProtection="1">
      <alignment horizontal="right"/>
      <protection locked="0" hidden="1"/>
    </xf>
    <xf numFmtId="0" fontId="11" fillId="0" borderId="0" xfId="1" applyFont="1" applyAlignment="1" applyProtection="1">
      <protection locked="0" hidden="1"/>
    </xf>
    <xf numFmtId="5" fontId="11" fillId="0" borderId="0" xfId="1" applyNumberFormat="1" applyFont="1" applyAlignment="1" applyProtection="1">
      <protection locked="0" hidden="1"/>
    </xf>
    <xf numFmtId="164" fontId="2" fillId="0" borderId="0" xfId="2" applyNumberFormat="1" applyFont="1" applyAlignment="1" applyProtection="1">
      <protection locked="0" hidden="1"/>
    </xf>
    <xf numFmtId="0" fontId="4" fillId="0" borderId="0" xfId="1" applyFont="1" applyAlignment="1" applyProtection="1">
      <alignment horizontal="left"/>
      <protection locked="0" hidden="1"/>
    </xf>
    <xf numFmtId="0" fontId="4" fillId="0" borderId="0" xfId="1" applyFont="1" applyProtection="1">
      <protection locked="0" hidden="1"/>
    </xf>
    <xf numFmtId="5" fontId="4" fillId="0" borderId="0" xfId="1" applyNumberFormat="1" applyFont="1" applyAlignment="1" applyProtection="1">
      <protection locked="0" hidden="1"/>
    </xf>
    <xf numFmtId="164" fontId="4" fillId="0" borderId="0" xfId="2" applyNumberFormat="1" applyFont="1" applyProtection="1">
      <protection locked="0" hidden="1"/>
    </xf>
    <xf numFmtId="5" fontId="15" fillId="0" borderId="0" xfId="1" applyNumberFormat="1" applyFont="1" applyAlignment="1" applyProtection="1"/>
    <xf numFmtId="0" fontId="15" fillId="0" borderId="0" xfId="1" applyFont="1" applyProtection="1"/>
    <xf numFmtId="164" fontId="2" fillId="0" borderId="0" xfId="2" applyNumberFormat="1" applyFont="1" applyProtection="1"/>
    <xf numFmtId="49" fontId="12" fillId="0" borderId="0" xfId="1" applyNumberFormat="1" applyFont="1" applyFill="1" applyAlignment="1" applyProtection="1">
      <alignment horizontal="left" wrapText="1"/>
    </xf>
    <xf numFmtId="49" fontId="12" fillId="0" borderId="0" xfId="1" applyNumberFormat="1" applyFont="1" applyFill="1" applyAlignment="1" applyProtection="1">
      <alignment horizontal="left" wrapText="1"/>
      <protection locked="0"/>
    </xf>
  </cellXfs>
  <cellStyles count="6">
    <cellStyle name="Comma" xfId="5" builtinId="3"/>
    <cellStyle name="Comma 17 7 2" xfId="2"/>
    <cellStyle name="Comma 2" xfId="3"/>
    <cellStyle name="Currency 10 7 2" xfId="4"/>
    <cellStyle name="Normal" xfId="0" builtinId="0"/>
    <cellStyle name="Normal 16 7 2" xfId="1"/>
  </cellStyles>
  <dxfs count="22">
    <dxf>
      <numFmt numFmtId="164" formatCode="_(* #,##0_);_(* \(#,##0\);_(* &quot;-&quot;??_);_(@_)"/>
      <fill>
        <patternFill patternType="none">
          <fgColor indexed="64"/>
          <bgColor auto="1"/>
        </patternFill>
      </fill>
      <protection locked="0" hidden="0"/>
    </dxf>
    <dxf>
      <numFmt numFmtId="9" formatCode="&quot;$&quot;#,##0_);\(&quot;$&quot;#,##0\)"/>
      <fill>
        <patternFill patternType="none">
          <fgColor indexed="64"/>
          <bgColor auto="1"/>
        </patternFill>
      </fill>
      <protection locked="0" hidden="0"/>
    </dxf>
    <dxf>
      <numFmt numFmtId="9" formatCode="&quot;$&quot;#,##0_);\(&quot;$&quot;#,##0\)"/>
      <fill>
        <patternFill patternType="none">
          <fgColor indexed="64"/>
          <bgColor auto="1"/>
        </patternFill>
      </fill>
      <protection locked="0" hidden="0"/>
    </dxf>
    <dxf>
      <numFmt numFmtId="9" formatCode="&quot;$&quot;#,##0_);\(&quot;$&quot;#,##0\)"/>
      <fill>
        <patternFill patternType="none">
          <fgColor indexed="64"/>
          <bgColor auto="1"/>
        </patternFill>
      </fill>
      <protection locked="0" hidden="0"/>
    </dxf>
    <dxf>
      <numFmt numFmtId="9" formatCode="&quot;$&quot;#,##0_);\(&quot;$&quot;#,##0\)"/>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fill>
        <patternFill patternType="none">
          <fgColor indexed="64"/>
          <bgColor auto="1"/>
        </patternFill>
      </fill>
      <protection locked="0" hidden="0"/>
    </dxf>
    <dxf>
      <border outline="0">
        <left style="thin">
          <color indexed="64"/>
        </left>
        <right style="thin">
          <color auto="1"/>
        </right>
        <bottom style="medium">
          <color indexed="64"/>
        </bottom>
      </border>
    </dxf>
    <dxf>
      <fill>
        <patternFill patternType="none">
          <fgColor indexed="64"/>
          <bgColor auto="1"/>
        </patternFill>
      </fill>
      <protection locked="0" hidden="0"/>
    </dxf>
    <dxf>
      <border outline="0">
        <bottom style="thin">
          <color indexed="64"/>
        </bottom>
      </border>
    </dxf>
    <dxf>
      <font>
        <strike val="0"/>
        <outline val="0"/>
        <shadow val="0"/>
        <sz val="12"/>
        <color auto="1"/>
      </font>
      <fill>
        <patternFill patternType="none">
          <fgColor indexed="64"/>
          <bgColor auto="1"/>
        </patternFill>
      </fill>
      <protection locked="0" hidden="0"/>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ables/table1.xml><?xml version="1.0" encoding="utf-8"?>
<table xmlns="http://schemas.openxmlformats.org/spreadsheetml/2006/main" id="1" name="Table1" displayName="Table1" ref="A8:R44" totalsRowShown="0" headerRowDxfId="21" dataDxfId="19" headerRowBorderDxfId="20" tableBorderDxfId="18">
  <autoFilter ref="A8:R4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name="NO." dataDxfId="17"/>
    <tableColumn id="2" name="NAME" dataDxfId="16"/>
    <tableColumn id="3" name="DESCRIPTION" dataDxfId="15"/>
    <tableColumn id="4" name="M19 TF" dataDxfId="14"/>
    <tableColumn id="5" name="M19 GF" dataDxfId="13"/>
    <tableColumn id="6" name="M19 FF" dataDxfId="12"/>
    <tableColumn id="7" name="M19 CF" dataDxfId="11"/>
    <tableColumn id="8" name="M19 CASELOAD " dataDxfId="10"/>
    <tableColumn id="9" name="N19 TF " dataDxfId="9"/>
    <tableColumn id="10" name="N19 GF" dataDxfId="8"/>
    <tableColumn id="11" name="N19 FF" dataDxfId="7"/>
    <tableColumn id="12" name="N19 CF " dataDxfId="6"/>
    <tableColumn id="13" name="N19 CASELOAD" dataDxfId="5"/>
    <tableColumn id="14" name="Diff TF" dataDxfId="4">
      <calculatedColumnFormula>I9-D9</calculatedColumnFormula>
    </tableColumn>
    <tableColumn id="15" name="Diff GF" dataDxfId="3">
      <calculatedColumnFormula>J9-E9</calculatedColumnFormula>
    </tableColumn>
    <tableColumn id="16" name="Diff FF" dataDxfId="2">
      <calculatedColumnFormula>K9-F9</calculatedColumnFormula>
    </tableColumn>
    <tableColumn id="17" name="Diff CF" dataDxfId="1">
      <calculatedColumnFormula>L9-G9</calculatedColumnFormula>
    </tableColumn>
    <tableColumn id="18" name="Diff CASELOAD" dataDxfId="0">
      <calculatedColumnFormula>M9-H9</calculatedColumnFormula>
    </tableColumn>
  </tableColumns>
  <tableStyleInfo showFirstColumn="0" showLastColumn="0" showRowStripes="0" showColumnStripes="0"/>
  <extLst>
    <ext xmlns:x14="http://schemas.microsoft.com/office/spreadsheetml/2009/9/main" uri="{504A1905-F514-4f6f-8877-14C23A59335A}">
      <x14:table altText="Drug Medi-Cal Fiscal Year 2016-2017 Cash Comparison " altTextSummary="Drug Medi-Cal comparison between Medi-Cal Local Assistance Estimate cycles (November 2016 vs May 2017)by funding type, policy change, service type, and Medi-Cal eligibility typ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FF"/>
    <pageSetUpPr fitToPage="1"/>
  </sheetPr>
  <dimension ref="A1:BH230"/>
  <sheetViews>
    <sheetView tabSelected="1" zoomScale="80" zoomScaleNormal="80" zoomScaleSheetLayoutView="80" zoomScalePageLayoutView="50" workbookViewId="0">
      <selection activeCell="K6" sqref="K6"/>
    </sheetView>
  </sheetViews>
  <sheetFormatPr defaultColWidth="0" defaultRowHeight="15.75" zeroHeight="1" x14ac:dyDescent="0.25"/>
  <cols>
    <col min="1" max="1" width="12.7109375" style="200" customWidth="1"/>
    <col min="2" max="2" width="22.140625" style="201" customWidth="1"/>
    <col min="3" max="3" width="32.42578125" style="201" bestFit="1" customWidth="1"/>
    <col min="4" max="4" width="16.5703125" style="202" bestFit="1" customWidth="1"/>
    <col min="5" max="5" width="15.140625" style="202" bestFit="1" customWidth="1"/>
    <col min="6" max="6" width="16.5703125" style="202" bestFit="1" customWidth="1"/>
    <col min="7" max="7" width="16.7109375" style="202" bestFit="1" customWidth="1"/>
    <col min="8" max="8" width="18.42578125" style="201" bestFit="1" customWidth="1"/>
    <col min="9" max="9" width="16.5703125" style="202" bestFit="1" customWidth="1"/>
    <col min="10" max="10" width="16.5703125" style="202" customWidth="1"/>
    <col min="11" max="11" width="16.140625" style="202" bestFit="1" customWidth="1"/>
    <col min="12" max="12" width="15.140625" style="202" bestFit="1" customWidth="1"/>
    <col min="13" max="13" width="18.140625" style="201" bestFit="1" customWidth="1"/>
    <col min="14" max="14" width="17.5703125" style="202" bestFit="1" customWidth="1"/>
    <col min="15" max="15" width="16.7109375" style="202" bestFit="1" customWidth="1"/>
    <col min="16" max="17" width="16.140625" style="202" bestFit="1" customWidth="1"/>
    <col min="18" max="18" width="19.140625" style="203" bestFit="1" customWidth="1"/>
    <col min="19" max="20" width="9.140625" style="10" hidden="1" customWidth="1"/>
    <col min="21" max="21" width="12.140625" style="10" hidden="1" customWidth="1"/>
    <col min="22" max="59" width="0" style="10" hidden="1" customWidth="1"/>
    <col min="60" max="60" width="0" style="11" hidden="1" customWidth="1"/>
    <col min="61" max="16384" width="9.140625" style="11" hidden="1"/>
  </cols>
  <sheetData>
    <row r="1" spans="1:18" s="55" customFormat="1" x14ac:dyDescent="0.25">
      <c r="A1" s="9" t="s">
        <v>19</v>
      </c>
      <c r="B1" s="1"/>
      <c r="C1" s="1"/>
      <c r="D1" s="1"/>
      <c r="E1" s="1"/>
      <c r="F1" s="1"/>
      <c r="G1" s="1"/>
      <c r="H1" s="1"/>
      <c r="I1" s="1"/>
      <c r="J1" s="1"/>
      <c r="K1" s="1"/>
      <c r="L1" s="1"/>
      <c r="M1" s="1"/>
      <c r="N1" s="1"/>
      <c r="O1" s="1"/>
      <c r="P1" s="1"/>
      <c r="Q1" s="1"/>
      <c r="R1" s="1"/>
    </row>
    <row r="2" spans="1:18" s="55" customFormat="1" x14ac:dyDescent="0.25">
      <c r="A2" s="9" t="s">
        <v>18</v>
      </c>
      <c r="B2" s="1"/>
      <c r="C2" s="1"/>
      <c r="D2" s="1"/>
      <c r="E2" s="1"/>
      <c r="F2" s="1"/>
      <c r="G2" s="1"/>
      <c r="H2" s="1"/>
      <c r="I2" s="1"/>
      <c r="J2" s="1"/>
      <c r="K2" s="1"/>
      <c r="L2" s="1"/>
      <c r="M2" s="1"/>
      <c r="N2" s="1"/>
      <c r="O2" s="1"/>
      <c r="P2" s="1"/>
      <c r="Q2" s="1"/>
      <c r="R2" s="1"/>
    </row>
    <row r="3" spans="1:18" s="55" customFormat="1" x14ac:dyDescent="0.25">
      <c r="A3" s="9" t="s">
        <v>17</v>
      </c>
      <c r="B3" s="1"/>
      <c r="C3" s="1"/>
      <c r="D3" s="1"/>
      <c r="E3" s="1"/>
      <c r="F3" s="1"/>
      <c r="G3" s="1"/>
      <c r="H3" s="1"/>
      <c r="I3" s="1"/>
      <c r="J3" s="1"/>
      <c r="K3" s="1"/>
      <c r="L3" s="1"/>
      <c r="M3" s="1"/>
      <c r="N3" s="1"/>
      <c r="O3" s="1"/>
      <c r="P3" s="1"/>
      <c r="Q3" s="1"/>
      <c r="R3" s="1"/>
    </row>
    <row r="4" spans="1:18" s="55" customFormat="1" x14ac:dyDescent="0.25">
      <c r="A4" s="9" t="s">
        <v>16</v>
      </c>
      <c r="B4" s="1"/>
      <c r="C4" s="1"/>
      <c r="D4" s="1"/>
      <c r="E4" s="1"/>
      <c r="F4" s="1"/>
      <c r="G4" s="1"/>
      <c r="H4" s="1"/>
      <c r="I4" s="1"/>
      <c r="J4" s="1"/>
      <c r="K4" s="1"/>
      <c r="L4" s="1"/>
      <c r="M4" s="1"/>
      <c r="N4" s="1"/>
      <c r="O4" s="1"/>
      <c r="P4" s="1"/>
      <c r="Q4" s="1"/>
      <c r="R4" s="1"/>
    </row>
    <row r="5" spans="1:18" s="55" customFormat="1" x14ac:dyDescent="0.25">
      <c r="A5" s="12" t="s">
        <v>12</v>
      </c>
      <c r="B5" s="142"/>
      <c r="C5" s="2"/>
      <c r="D5" s="3"/>
      <c r="E5" s="3"/>
      <c r="F5" s="3"/>
      <c r="G5" s="4"/>
      <c r="H5" s="2"/>
      <c r="I5" s="4"/>
      <c r="J5" s="4"/>
      <c r="K5" s="4"/>
      <c r="L5" s="4"/>
      <c r="M5" s="2"/>
      <c r="N5" s="4"/>
      <c r="O5" s="4"/>
      <c r="P5" s="4"/>
      <c r="Q5" s="4"/>
      <c r="R5" s="132"/>
    </row>
    <row r="6" spans="1:18" s="55" customFormat="1" x14ac:dyDescent="0.25">
      <c r="A6" s="143" t="s">
        <v>42</v>
      </c>
      <c r="B6" s="144"/>
      <c r="C6" s="144"/>
      <c r="D6" s="144"/>
      <c r="E6" s="144"/>
      <c r="F6" s="144"/>
      <c r="G6" s="144"/>
      <c r="H6" s="144"/>
      <c r="I6" s="144"/>
      <c r="J6" s="144"/>
      <c r="K6" s="144"/>
      <c r="L6" s="144"/>
      <c r="M6" s="144"/>
      <c r="N6" s="144"/>
      <c r="O6" s="144"/>
      <c r="P6" s="144"/>
      <c r="Q6" s="144"/>
      <c r="R6" s="145"/>
    </row>
    <row r="7" spans="1:18" s="133" customFormat="1" x14ac:dyDescent="0.25">
      <c r="A7" s="13" t="s">
        <v>41</v>
      </c>
      <c r="B7" s="92"/>
      <c r="C7" s="93"/>
      <c r="D7" s="14" t="s">
        <v>44</v>
      </c>
      <c r="E7" s="94"/>
      <c r="F7" s="94"/>
      <c r="G7" s="94"/>
      <c r="H7" s="95"/>
      <c r="I7" s="14" t="s">
        <v>50</v>
      </c>
      <c r="J7" s="94"/>
      <c r="K7" s="94"/>
      <c r="L7" s="94"/>
      <c r="M7" s="95"/>
      <c r="N7" s="15" t="s">
        <v>20</v>
      </c>
      <c r="O7" s="96"/>
      <c r="P7" s="96"/>
      <c r="Q7" s="96"/>
      <c r="R7" s="97"/>
    </row>
    <row r="8" spans="1:18" s="133" customFormat="1" ht="16.5" thickBot="1" x14ac:dyDescent="0.3">
      <c r="A8" s="74" t="s">
        <v>11</v>
      </c>
      <c r="B8" s="74" t="s">
        <v>15</v>
      </c>
      <c r="C8" s="75" t="s">
        <v>10</v>
      </c>
      <c r="D8" s="127" t="s">
        <v>45</v>
      </c>
      <c r="E8" s="128" t="s">
        <v>46</v>
      </c>
      <c r="F8" s="128" t="s">
        <v>47</v>
      </c>
      <c r="G8" s="129" t="s">
        <v>48</v>
      </c>
      <c r="H8" s="130" t="s">
        <v>49</v>
      </c>
      <c r="I8" s="127" t="s">
        <v>51</v>
      </c>
      <c r="J8" s="128" t="s">
        <v>52</v>
      </c>
      <c r="K8" s="128" t="s">
        <v>53</v>
      </c>
      <c r="L8" s="129" t="s">
        <v>54</v>
      </c>
      <c r="M8" s="130" t="s">
        <v>55</v>
      </c>
      <c r="N8" s="127" t="s">
        <v>21</v>
      </c>
      <c r="O8" s="128" t="s">
        <v>33</v>
      </c>
      <c r="P8" s="128" t="s">
        <v>35</v>
      </c>
      <c r="Q8" s="129" t="s">
        <v>22</v>
      </c>
      <c r="R8" s="131" t="s">
        <v>23</v>
      </c>
    </row>
    <row r="9" spans="1:18" x14ac:dyDescent="0.25">
      <c r="A9" s="18" t="s">
        <v>65</v>
      </c>
      <c r="B9" s="19" t="s">
        <v>26</v>
      </c>
      <c r="C9" s="20"/>
      <c r="D9" s="111">
        <f>SUM(D10:D13)</f>
        <v>117452</v>
      </c>
      <c r="E9" s="112">
        <f t="shared" ref="E9:M9" si="0">SUM(E10:E13)</f>
        <v>4607</v>
      </c>
      <c r="F9" s="112">
        <f t="shared" si="0"/>
        <v>81226</v>
      </c>
      <c r="G9" s="112">
        <f t="shared" si="0"/>
        <v>31619</v>
      </c>
      <c r="H9" s="113">
        <f t="shared" si="0"/>
        <v>6059</v>
      </c>
      <c r="I9" s="111">
        <f t="shared" si="0"/>
        <v>42781</v>
      </c>
      <c r="J9" s="112">
        <f t="shared" si="0"/>
        <v>1657</v>
      </c>
      <c r="K9" s="112">
        <f t="shared" si="0"/>
        <v>29477</v>
      </c>
      <c r="L9" s="112">
        <f t="shared" si="0"/>
        <v>11647</v>
      </c>
      <c r="M9" s="113">
        <f t="shared" si="0"/>
        <v>2442</v>
      </c>
      <c r="N9" s="111">
        <f t="shared" ref="N9:Q25" si="1">I9-D9</f>
        <v>-74671</v>
      </c>
      <c r="O9" s="112">
        <f t="shared" si="1"/>
        <v>-2950</v>
      </c>
      <c r="P9" s="112">
        <f t="shared" si="1"/>
        <v>-51749</v>
      </c>
      <c r="Q9" s="112">
        <f t="shared" si="1"/>
        <v>-19972</v>
      </c>
      <c r="R9" s="113">
        <f t="shared" ref="R9:R25" si="2">M9-H9</f>
        <v>-3617</v>
      </c>
    </row>
    <row r="10" spans="1:18" x14ac:dyDescent="0.25">
      <c r="A10" s="25" t="s">
        <v>65</v>
      </c>
      <c r="B10" s="25" t="s">
        <v>9</v>
      </c>
      <c r="C10" s="26" t="s">
        <v>6</v>
      </c>
      <c r="D10" s="100">
        <f>SUM(E10:G10)</f>
        <v>62960</v>
      </c>
      <c r="E10" s="101">
        <v>0</v>
      </c>
      <c r="F10" s="101">
        <v>31484</v>
      </c>
      <c r="G10" s="101">
        <v>31476</v>
      </c>
      <c r="H10" s="102">
        <v>1126</v>
      </c>
      <c r="I10" s="100">
        <f t="shared" ref="I10:I13" si="3">SUM(J10:L10)</f>
        <v>23109</v>
      </c>
      <c r="J10" s="101">
        <v>0</v>
      </c>
      <c r="K10" s="101">
        <v>11556</v>
      </c>
      <c r="L10" s="101">
        <v>11553</v>
      </c>
      <c r="M10" s="102">
        <v>494</v>
      </c>
      <c r="N10" s="100">
        <f>I10-D10</f>
        <v>-39851</v>
      </c>
      <c r="O10" s="101">
        <f t="shared" si="1"/>
        <v>0</v>
      </c>
      <c r="P10" s="101">
        <f t="shared" si="1"/>
        <v>-19928</v>
      </c>
      <c r="Q10" s="101">
        <f t="shared" si="1"/>
        <v>-19923</v>
      </c>
      <c r="R10" s="102">
        <f t="shared" si="2"/>
        <v>-632</v>
      </c>
    </row>
    <row r="11" spans="1:18" x14ac:dyDescent="0.25">
      <c r="A11" s="25" t="s">
        <v>65</v>
      </c>
      <c r="B11" s="25" t="s">
        <v>9</v>
      </c>
      <c r="C11" s="26" t="s">
        <v>8</v>
      </c>
      <c r="D11" s="100">
        <f t="shared" ref="D11:D13" si="4">SUM(E11:G11)</f>
        <v>54126</v>
      </c>
      <c r="E11" s="101">
        <v>4600</v>
      </c>
      <c r="F11" s="101">
        <v>49526</v>
      </c>
      <c r="G11" s="101">
        <v>0</v>
      </c>
      <c r="H11" s="102">
        <v>4899</v>
      </c>
      <c r="I11" s="100">
        <f t="shared" si="3"/>
        <v>19432</v>
      </c>
      <c r="J11" s="101">
        <v>1652</v>
      </c>
      <c r="K11" s="101">
        <v>17780</v>
      </c>
      <c r="L11" s="101">
        <v>0</v>
      </c>
      <c r="M11" s="102">
        <v>1920</v>
      </c>
      <c r="N11" s="100">
        <f t="shared" si="1"/>
        <v>-34694</v>
      </c>
      <c r="O11" s="101">
        <f t="shared" si="1"/>
        <v>-2948</v>
      </c>
      <c r="P11" s="101">
        <f t="shared" si="1"/>
        <v>-31746</v>
      </c>
      <c r="Q11" s="101">
        <f t="shared" si="1"/>
        <v>0</v>
      </c>
      <c r="R11" s="102">
        <f t="shared" si="2"/>
        <v>-2979</v>
      </c>
    </row>
    <row r="12" spans="1:18" x14ac:dyDescent="0.25">
      <c r="A12" s="25" t="s">
        <v>65</v>
      </c>
      <c r="B12" s="25" t="s">
        <v>7</v>
      </c>
      <c r="C12" s="26" t="s">
        <v>6</v>
      </c>
      <c r="D12" s="100">
        <f t="shared" si="4"/>
        <v>286</v>
      </c>
      <c r="E12" s="101">
        <v>0</v>
      </c>
      <c r="F12" s="101">
        <v>143</v>
      </c>
      <c r="G12" s="101">
        <v>143</v>
      </c>
      <c r="H12" s="102">
        <v>23</v>
      </c>
      <c r="I12" s="100">
        <f t="shared" si="3"/>
        <v>187</v>
      </c>
      <c r="J12" s="101">
        <v>0</v>
      </c>
      <c r="K12" s="101">
        <v>93</v>
      </c>
      <c r="L12" s="101">
        <v>94</v>
      </c>
      <c r="M12" s="102">
        <v>20</v>
      </c>
      <c r="N12" s="100">
        <f>I12-D12</f>
        <v>-99</v>
      </c>
      <c r="O12" s="101">
        <f t="shared" si="1"/>
        <v>0</v>
      </c>
      <c r="P12" s="101">
        <f t="shared" si="1"/>
        <v>-50</v>
      </c>
      <c r="Q12" s="101">
        <f t="shared" si="1"/>
        <v>-49</v>
      </c>
      <c r="R12" s="102">
        <f t="shared" si="2"/>
        <v>-3</v>
      </c>
    </row>
    <row r="13" spans="1:18" ht="16.5" thickBot="1" x14ac:dyDescent="0.3">
      <c r="A13" s="31" t="s">
        <v>65</v>
      </c>
      <c r="B13" s="31" t="s">
        <v>7</v>
      </c>
      <c r="C13" s="32" t="s">
        <v>5</v>
      </c>
      <c r="D13" s="103">
        <f t="shared" si="4"/>
        <v>80</v>
      </c>
      <c r="E13" s="104">
        <v>7</v>
      </c>
      <c r="F13" s="104">
        <v>73</v>
      </c>
      <c r="G13" s="104">
        <v>0</v>
      </c>
      <c r="H13" s="105">
        <v>11</v>
      </c>
      <c r="I13" s="103">
        <f t="shared" si="3"/>
        <v>53</v>
      </c>
      <c r="J13" s="104">
        <v>5</v>
      </c>
      <c r="K13" s="104">
        <v>48</v>
      </c>
      <c r="L13" s="104">
        <v>0</v>
      </c>
      <c r="M13" s="105">
        <v>8</v>
      </c>
      <c r="N13" s="103">
        <f t="shared" si="1"/>
        <v>-27</v>
      </c>
      <c r="O13" s="104">
        <f t="shared" si="1"/>
        <v>-2</v>
      </c>
      <c r="P13" s="104">
        <f t="shared" si="1"/>
        <v>-25</v>
      </c>
      <c r="Q13" s="104">
        <f t="shared" si="1"/>
        <v>0</v>
      </c>
      <c r="R13" s="105">
        <f t="shared" si="2"/>
        <v>-3</v>
      </c>
    </row>
    <row r="14" spans="1:18" s="37" customFormat="1" x14ac:dyDescent="0.25">
      <c r="A14" s="99" t="s">
        <v>66</v>
      </c>
      <c r="B14" s="98" t="s">
        <v>28</v>
      </c>
      <c r="C14" s="146"/>
      <c r="D14" s="21">
        <f t="shared" ref="D14:M14" si="5">SUM(D15:D18)</f>
        <v>13068</v>
      </c>
      <c r="E14" s="22">
        <f t="shared" si="5"/>
        <v>535</v>
      </c>
      <c r="F14" s="22">
        <f t="shared" si="5"/>
        <v>9278</v>
      </c>
      <c r="G14" s="22">
        <f t="shared" si="5"/>
        <v>3255</v>
      </c>
      <c r="H14" s="23">
        <f t="shared" si="5"/>
        <v>2201</v>
      </c>
      <c r="I14" s="21">
        <f t="shared" si="5"/>
        <v>4399</v>
      </c>
      <c r="J14" s="22">
        <f t="shared" si="5"/>
        <v>202</v>
      </c>
      <c r="K14" s="22">
        <f t="shared" si="5"/>
        <v>3225</v>
      </c>
      <c r="L14" s="22">
        <f t="shared" si="5"/>
        <v>972</v>
      </c>
      <c r="M14" s="23">
        <f t="shared" si="5"/>
        <v>1050</v>
      </c>
      <c r="N14" s="21">
        <f t="shared" si="1"/>
        <v>-8669</v>
      </c>
      <c r="O14" s="22">
        <f t="shared" si="1"/>
        <v>-333</v>
      </c>
      <c r="P14" s="22">
        <f t="shared" si="1"/>
        <v>-6053</v>
      </c>
      <c r="Q14" s="22">
        <f t="shared" si="1"/>
        <v>-2283</v>
      </c>
      <c r="R14" s="24">
        <f t="shared" si="2"/>
        <v>-1151</v>
      </c>
    </row>
    <row r="15" spans="1:18" s="37" customFormat="1" x14ac:dyDescent="0.25">
      <c r="A15" s="38" t="s">
        <v>66</v>
      </c>
      <c r="B15" s="25" t="s">
        <v>9</v>
      </c>
      <c r="C15" s="26" t="s">
        <v>6</v>
      </c>
      <c r="D15" s="27">
        <f t="shared" ref="D15:D18" si="6">SUM(E15:G15)</f>
        <v>6672</v>
      </c>
      <c r="E15" s="28">
        <v>0</v>
      </c>
      <c r="F15" s="28">
        <v>3466</v>
      </c>
      <c r="G15" s="28">
        <v>3206</v>
      </c>
      <c r="H15" s="29">
        <v>391</v>
      </c>
      <c r="I15" s="27">
        <f t="shared" ref="I15:I18" si="7">SUM(J15:L15)</f>
        <v>1991</v>
      </c>
      <c r="J15" s="28">
        <v>0</v>
      </c>
      <c r="K15" s="28">
        <v>1027</v>
      </c>
      <c r="L15" s="28">
        <v>964</v>
      </c>
      <c r="M15" s="29">
        <v>155</v>
      </c>
      <c r="N15" s="27">
        <f t="shared" si="1"/>
        <v>-4681</v>
      </c>
      <c r="O15" s="28">
        <f t="shared" si="1"/>
        <v>0</v>
      </c>
      <c r="P15" s="28">
        <f t="shared" si="1"/>
        <v>-2439</v>
      </c>
      <c r="Q15" s="28">
        <f t="shared" si="1"/>
        <v>-2242</v>
      </c>
      <c r="R15" s="30">
        <f t="shared" si="2"/>
        <v>-236</v>
      </c>
    </row>
    <row r="16" spans="1:18" s="37" customFormat="1" x14ac:dyDescent="0.25">
      <c r="A16" s="38" t="s">
        <v>66</v>
      </c>
      <c r="B16" s="25" t="s">
        <v>9</v>
      </c>
      <c r="C16" s="26" t="s">
        <v>8</v>
      </c>
      <c r="D16" s="27">
        <f t="shared" si="6"/>
        <v>6260</v>
      </c>
      <c r="E16" s="28">
        <v>532</v>
      </c>
      <c r="F16" s="28">
        <v>5728</v>
      </c>
      <c r="G16" s="28">
        <v>0</v>
      </c>
      <c r="H16" s="29">
        <v>1782</v>
      </c>
      <c r="I16" s="27">
        <f t="shared" si="7"/>
        <v>2381</v>
      </c>
      <c r="J16" s="28">
        <v>202</v>
      </c>
      <c r="K16" s="28">
        <v>2179</v>
      </c>
      <c r="L16" s="28">
        <v>0</v>
      </c>
      <c r="M16" s="29">
        <v>889</v>
      </c>
      <c r="N16" s="27">
        <f t="shared" si="1"/>
        <v>-3879</v>
      </c>
      <c r="O16" s="28">
        <f t="shared" si="1"/>
        <v>-330</v>
      </c>
      <c r="P16" s="28">
        <f t="shared" si="1"/>
        <v>-3549</v>
      </c>
      <c r="Q16" s="28">
        <f t="shared" si="1"/>
        <v>0</v>
      </c>
      <c r="R16" s="30">
        <f t="shared" si="2"/>
        <v>-893</v>
      </c>
    </row>
    <row r="17" spans="1:59" s="37" customFormat="1" x14ac:dyDescent="0.25">
      <c r="A17" s="38" t="s">
        <v>66</v>
      </c>
      <c r="B17" s="41" t="s">
        <v>7</v>
      </c>
      <c r="C17" s="26" t="s">
        <v>6</v>
      </c>
      <c r="D17" s="27">
        <f t="shared" si="6"/>
        <v>98</v>
      </c>
      <c r="E17" s="28">
        <v>0</v>
      </c>
      <c r="F17" s="28">
        <v>49</v>
      </c>
      <c r="G17" s="28">
        <v>49</v>
      </c>
      <c r="H17" s="29">
        <v>17</v>
      </c>
      <c r="I17" s="27">
        <f t="shared" si="7"/>
        <v>16</v>
      </c>
      <c r="J17" s="28">
        <v>0</v>
      </c>
      <c r="K17" s="28">
        <v>8</v>
      </c>
      <c r="L17" s="28">
        <v>8</v>
      </c>
      <c r="M17" s="29">
        <v>3</v>
      </c>
      <c r="N17" s="27">
        <f t="shared" si="1"/>
        <v>-82</v>
      </c>
      <c r="O17" s="28">
        <f t="shared" si="1"/>
        <v>0</v>
      </c>
      <c r="P17" s="28">
        <f t="shared" si="1"/>
        <v>-41</v>
      </c>
      <c r="Q17" s="28">
        <f t="shared" si="1"/>
        <v>-41</v>
      </c>
      <c r="R17" s="30">
        <f t="shared" si="2"/>
        <v>-14</v>
      </c>
    </row>
    <row r="18" spans="1:59" s="37" customFormat="1" ht="16.5" thickBot="1" x14ac:dyDescent="0.3">
      <c r="A18" s="39" t="s">
        <v>66</v>
      </c>
      <c r="B18" s="31" t="s">
        <v>7</v>
      </c>
      <c r="C18" s="32" t="s">
        <v>5</v>
      </c>
      <c r="D18" s="33">
        <f t="shared" si="6"/>
        <v>38</v>
      </c>
      <c r="E18" s="34">
        <v>3</v>
      </c>
      <c r="F18" s="34">
        <v>35</v>
      </c>
      <c r="G18" s="34">
        <v>0</v>
      </c>
      <c r="H18" s="35">
        <v>11</v>
      </c>
      <c r="I18" s="33">
        <f t="shared" si="7"/>
        <v>11</v>
      </c>
      <c r="J18" s="34">
        <v>0</v>
      </c>
      <c r="K18" s="34">
        <v>11</v>
      </c>
      <c r="L18" s="34">
        <v>0</v>
      </c>
      <c r="M18" s="35">
        <v>3</v>
      </c>
      <c r="N18" s="33">
        <f t="shared" si="1"/>
        <v>-27</v>
      </c>
      <c r="O18" s="34">
        <f t="shared" si="1"/>
        <v>-3</v>
      </c>
      <c r="P18" s="34">
        <f t="shared" si="1"/>
        <v>-24</v>
      </c>
      <c r="Q18" s="34">
        <f t="shared" si="1"/>
        <v>0</v>
      </c>
      <c r="R18" s="36">
        <f t="shared" si="2"/>
        <v>-8</v>
      </c>
    </row>
    <row r="19" spans="1:59" s="37" customFormat="1" ht="15.6" customHeight="1" x14ac:dyDescent="0.25">
      <c r="A19" s="18" t="s">
        <v>67</v>
      </c>
      <c r="B19" s="19" t="s">
        <v>29</v>
      </c>
      <c r="C19" s="20"/>
      <c r="D19" s="21">
        <f t="shared" ref="D19:M19" si="8">SUM(D20:D23)</f>
        <v>3412</v>
      </c>
      <c r="E19" s="22">
        <f t="shared" si="8"/>
        <v>865</v>
      </c>
      <c r="F19" s="22">
        <f t="shared" si="8"/>
        <v>2410</v>
      </c>
      <c r="G19" s="22">
        <f t="shared" si="8"/>
        <v>137</v>
      </c>
      <c r="H19" s="23">
        <f t="shared" si="8"/>
        <v>264</v>
      </c>
      <c r="I19" s="21">
        <f t="shared" si="8"/>
        <v>1214</v>
      </c>
      <c r="J19" s="22">
        <f t="shared" si="8"/>
        <v>297</v>
      </c>
      <c r="K19" s="22">
        <f t="shared" si="8"/>
        <v>893</v>
      </c>
      <c r="L19" s="22">
        <f t="shared" si="8"/>
        <v>24</v>
      </c>
      <c r="M19" s="23">
        <f t="shared" si="8"/>
        <v>117</v>
      </c>
      <c r="N19" s="21">
        <f t="shared" si="1"/>
        <v>-2198</v>
      </c>
      <c r="O19" s="22">
        <f t="shared" si="1"/>
        <v>-568</v>
      </c>
      <c r="P19" s="22">
        <f t="shared" si="1"/>
        <v>-1517</v>
      </c>
      <c r="Q19" s="22">
        <f t="shared" si="1"/>
        <v>-113</v>
      </c>
      <c r="R19" s="24">
        <f t="shared" si="2"/>
        <v>-147</v>
      </c>
    </row>
    <row r="20" spans="1:59" s="37" customFormat="1" x14ac:dyDescent="0.25">
      <c r="A20" s="41" t="s">
        <v>67</v>
      </c>
      <c r="B20" s="25" t="s">
        <v>9</v>
      </c>
      <c r="C20" s="42" t="s">
        <v>6</v>
      </c>
      <c r="D20" s="27">
        <f t="shared" ref="D20:D23" si="9">SUM(E20:G20)</f>
        <v>1455</v>
      </c>
      <c r="E20" s="28">
        <v>722</v>
      </c>
      <c r="F20" s="28">
        <v>733</v>
      </c>
      <c r="G20" s="28">
        <v>0</v>
      </c>
      <c r="H20" s="29">
        <v>37</v>
      </c>
      <c r="I20" s="27">
        <f t="shared" ref="I20:I23" si="10">SUM(J20:L20)</f>
        <v>481</v>
      </c>
      <c r="J20" s="28">
        <v>240</v>
      </c>
      <c r="K20" s="28">
        <v>241</v>
      </c>
      <c r="L20" s="28">
        <v>0</v>
      </c>
      <c r="M20" s="29">
        <v>14</v>
      </c>
      <c r="N20" s="27">
        <f t="shared" si="1"/>
        <v>-974</v>
      </c>
      <c r="O20" s="28">
        <f t="shared" si="1"/>
        <v>-482</v>
      </c>
      <c r="P20" s="28">
        <f t="shared" si="1"/>
        <v>-492</v>
      </c>
      <c r="Q20" s="28">
        <f t="shared" si="1"/>
        <v>0</v>
      </c>
      <c r="R20" s="30">
        <f t="shared" si="2"/>
        <v>-23</v>
      </c>
    </row>
    <row r="21" spans="1:59" s="43" customFormat="1" x14ac:dyDescent="0.25">
      <c r="A21" s="41" t="s">
        <v>67</v>
      </c>
      <c r="B21" s="25" t="s">
        <v>9</v>
      </c>
      <c r="C21" s="42" t="s">
        <v>8</v>
      </c>
      <c r="D21" s="27">
        <f t="shared" si="9"/>
        <v>1616</v>
      </c>
      <c r="E21" s="28">
        <v>138</v>
      </c>
      <c r="F21" s="28">
        <v>1478</v>
      </c>
      <c r="G21" s="28">
        <v>0</v>
      </c>
      <c r="H21" s="29">
        <v>209</v>
      </c>
      <c r="I21" s="27">
        <f t="shared" si="10"/>
        <v>671</v>
      </c>
      <c r="J21" s="28">
        <v>56</v>
      </c>
      <c r="K21" s="28">
        <v>615</v>
      </c>
      <c r="L21" s="28">
        <v>0</v>
      </c>
      <c r="M21" s="29">
        <v>99</v>
      </c>
      <c r="N21" s="27">
        <f t="shared" si="1"/>
        <v>-945</v>
      </c>
      <c r="O21" s="28">
        <f t="shared" si="1"/>
        <v>-82</v>
      </c>
      <c r="P21" s="28">
        <f t="shared" si="1"/>
        <v>-863</v>
      </c>
      <c r="Q21" s="28">
        <f t="shared" si="1"/>
        <v>0</v>
      </c>
      <c r="R21" s="30">
        <f t="shared" si="2"/>
        <v>-110</v>
      </c>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row>
    <row r="22" spans="1:59" s="10" customFormat="1" x14ac:dyDescent="0.25">
      <c r="A22" s="41" t="s">
        <v>67</v>
      </c>
      <c r="B22" s="25" t="s">
        <v>7</v>
      </c>
      <c r="C22" s="42" t="s">
        <v>6</v>
      </c>
      <c r="D22" s="27">
        <f t="shared" si="9"/>
        <v>273</v>
      </c>
      <c r="E22" s="28">
        <v>0</v>
      </c>
      <c r="F22" s="28">
        <v>136</v>
      </c>
      <c r="G22" s="28">
        <v>137</v>
      </c>
      <c r="H22" s="29">
        <v>13</v>
      </c>
      <c r="I22" s="27">
        <f t="shared" si="10"/>
        <v>48</v>
      </c>
      <c r="J22" s="28">
        <v>0</v>
      </c>
      <c r="K22" s="28">
        <v>24</v>
      </c>
      <c r="L22" s="28">
        <v>24</v>
      </c>
      <c r="M22" s="29">
        <v>3</v>
      </c>
      <c r="N22" s="27">
        <f t="shared" si="1"/>
        <v>-225</v>
      </c>
      <c r="O22" s="28">
        <f t="shared" si="1"/>
        <v>0</v>
      </c>
      <c r="P22" s="28">
        <f t="shared" si="1"/>
        <v>-112</v>
      </c>
      <c r="Q22" s="28">
        <f t="shared" si="1"/>
        <v>-113</v>
      </c>
      <c r="R22" s="30">
        <f t="shared" si="2"/>
        <v>-10</v>
      </c>
    </row>
    <row r="23" spans="1:59" s="10" customFormat="1" ht="16.5" thickBot="1" x14ac:dyDescent="0.3">
      <c r="A23" s="44" t="s">
        <v>67</v>
      </c>
      <c r="B23" s="31" t="s">
        <v>7</v>
      </c>
      <c r="C23" s="45" t="s">
        <v>5</v>
      </c>
      <c r="D23" s="33">
        <f t="shared" si="9"/>
        <v>68</v>
      </c>
      <c r="E23" s="34">
        <v>5</v>
      </c>
      <c r="F23" s="34">
        <v>63</v>
      </c>
      <c r="G23" s="34">
        <v>0</v>
      </c>
      <c r="H23" s="35">
        <v>5</v>
      </c>
      <c r="I23" s="33">
        <f t="shared" si="10"/>
        <v>14</v>
      </c>
      <c r="J23" s="34">
        <v>1</v>
      </c>
      <c r="K23" s="34">
        <v>13</v>
      </c>
      <c r="L23" s="34">
        <v>0</v>
      </c>
      <c r="M23" s="35">
        <v>1</v>
      </c>
      <c r="N23" s="33">
        <f t="shared" si="1"/>
        <v>-54</v>
      </c>
      <c r="O23" s="34">
        <f t="shared" si="1"/>
        <v>-4</v>
      </c>
      <c r="P23" s="34">
        <f t="shared" si="1"/>
        <v>-50</v>
      </c>
      <c r="Q23" s="34">
        <f t="shared" si="1"/>
        <v>0</v>
      </c>
      <c r="R23" s="36">
        <f t="shared" si="2"/>
        <v>-4</v>
      </c>
    </row>
    <row r="24" spans="1:59" s="10" customFormat="1" x14ac:dyDescent="0.25">
      <c r="A24" s="18" t="s">
        <v>68</v>
      </c>
      <c r="B24" s="19" t="s">
        <v>36</v>
      </c>
      <c r="C24" s="20"/>
      <c r="D24" s="21">
        <f t="shared" ref="D24:M24" si="11">SUM(D25:D26)</f>
        <v>1136</v>
      </c>
      <c r="E24" s="22">
        <f t="shared" si="11"/>
        <v>19</v>
      </c>
      <c r="F24" s="22">
        <f t="shared" si="11"/>
        <v>662</v>
      </c>
      <c r="G24" s="22">
        <f t="shared" si="11"/>
        <v>455</v>
      </c>
      <c r="H24" s="23">
        <f t="shared" si="11"/>
        <v>26</v>
      </c>
      <c r="I24" s="21">
        <f t="shared" si="11"/>
        <v>928</v>
      </c>
      <c r="J24" s="22">
        <f t="shared" si="11"/>
        <v>19</v>
      </c>
      <c r="K24" s="22">
        <f t="shared" si="11"/>
        <v>555</v>
      </c>
      <c r="L24" s="22">
        <f t="shared" si="11"/>
        <v>354</v>
      </c>
      <c r="M24" s="47">
        <f t="shared" si="11"/>
        <v>23</v>
      </c>
      <c r="N24" s="21">
        <f t="shared" si="1"/>
        <v>-208</v>
      </c>
      <c r="O24" s="22">
        <f t="shared" si="1"/>
        <v>0</v>
      </c>
      <c r="P24" s="22">
        <f t="shared" si="1"/>
        <v>-107</v>
      </c>
      <c r="Q24" s="22">
        <f t="shared" si="1"/>
        <v>-101</v>
      </c>
      <c r="R24" s="83">
        <f t="shared" si="2"/>
        <v>-3</v>
      </c>
    </row>
    <row r="25" spans="1:59" s="10" customFormat="1" x14ac:dyDescent="0.25">
      <c r="A25" s="41" t="s">
        <v>68</v>
      </c>
      <c r="B25" s="25" t="s">
        <v>7</v>
      </c>
      <c r="C25" s="26" t="s">
        <v>6</v>
      </c>
      <c r="D25" s="27">
        <f t="shared" ref="D25:D26" si="12">SUM(E25:G25)</f>
        <v>910</v>
      </c>
      <c r="E25" s="28">
        <v>0</v>
      </c>
      <c r="F25" s="28">
        <v>455</v>
      </c>
      <c r="G25" s="28">
        <v>455</v>
      </c>
      <c r="H25" s="29">
        <v>16</v>
      </c>
      <c r="I25" s="27">
        <f t="shared" ref="I25:I26" si="13">SUM(J25:L25)</f>
        <v>709</v>
      </c>
      <c r="J25" s="28">
        <v>0</v>
      </c>
      <c r="K25" s="28">
        <v>355</v>
      </c>
      <c r="L25" s="28">
        <v>354</v>
      </c>
      <c r="M25" s="29">
        <v>13</v>
      </c>
      <c r="N25" s="27">
        <f t="shared" si="1"/>
        <v>-201</v>
      </c>
      <c r="O25" s="28">
        <f t="shared" si="1"/>
        <v>0</v>
      </c>
      <c r="P25" s="28">
        <f t="shared" si="1"/>
        <v>-100</v>
      </c>
      <c r="Q25" s="28">
        <f t="shared" si="1"/>
        <v>-101</v>
      </c>
      <c r="R25" s="48">
        <f t="shared" si="2"/>
        <v>-3</v>
      </c>
    </row>
    <row r="26" spans="1:59" s="10" customFormat="1" ht="16.5" thickBot="1" x14ac:dyDescent="0.3">
      <c r="A26" s="41" t="s">
        <v>68</v>
      </c>
      <c r="B26" s="25" t="s">
        <v>7</v>
      </c>
      <c r="C26" s="26" t="s">
        <v>8</v>
      </c>
      <c r="D26" s="27">
        <f t="shared" si="12"/>
        <v>226</v>
      </c>
      <c r="E26" s="28">
        <v>19</v>
      </c>
      <c r="F26" s="28">
        <v>207</v>
      </c>
      <c r="G26" s="28">
        <v>0</v>
      </c>
      <c r="H26" s="29">
        <v>10</v>
      </c>
      <c r="I26" s="27">
        <f t="shared" si="13"/>
        <v>219</v>
      </c>
      <c r="J26" s="28">
        <v>19</v>
      </c>
      <c r="K26" s="28">
        <v>200</v>
      </c>
      <c r="L26" s="28">
        <v>0</v>
      </c>
      <c r="M26" s="29">
        <v>10</v>
      </c>
      <c r="N26" s="27">
        <f>I26-D26</f>
        <v>-7</v>
      </c>
      <c r="O26" s="28">
        <f>J26-E26</f>
        <v>0</v>
      </c>
      <c r="P26" s="28">
        <f>K26-F26</f>
        <v>-7</v>
      </c>
      <c r="Q26" s="28">
        <f>L26-G26</f>
        <v>0</v>
      </c>
      <c r="R26" s="48">
        <f>M26-H26</f>
        <v>0</v>
      </c>
    </row>
    <row r="27" spans="1:59" s="10" customFormat="1" x14ac:dyDescent="0.25">
      <c r="A27" s="18" t="s">
        <v>61</v>
      </c>
      <c r="B27" s="19" t="s">
        <v>38</v>
      </c>
      <c r="C27" s="20"/>
      <c r="D27" s="21">
        <f t="shared" ref="D27:M27" si="14">SUM(D28:D32)</f>
        <v>342512</v>
      </c>
      <c r="E27" s="22">
        <f t="shared" si="14"/>
        <v>46643</v>
      </c>
      <c r="F27" s="22">
        <f t="shared" si="14"/>
        <v>254728</v>
      </c>
      <c r="G27" s="22">
        <f t="shared" si="14"/>
        <v>41141</v>
      </c>
      <c r="H27" s="23">
        <f t="shared" si="14"/>
        <v>0</v>
      </c>
      <c r="I27" s="21">
        <f t="shared" si="14"/>
        <v>426980</v>
      </c>
      <c r="J27" s="22">
        <f t="shared" si="14"/>
        <v>54102</v>
      </c>
      <c r="K27" s="22">
        <f t="shared" si="14"/>
        <v>323960</v>
      </c>
      <c r="L27" s="22">
        <f t="shared" si="14"/>
        <v>48918</v>
      </c>
      <c r="M27" s="23">
        <f t="shared" si="14"/>
        <v>0</v>
      </c>
      <c r="N27" s="21">
        <f t="shared" ref="N27:N31" si="15">I27-D27</f>
        <v>84468</v>
      </c>
      <c r="O27" s="22">
        <f t="shared" ref="O27:O31" si="16">J27-E27</f>
        <v>7459</v>
      </c>
      <c r="P27" s="22">
        <f t="shared" ref="P27:P31" si="17">K27-F27</f>
        <v>69232</v>
      </c>
      <c r="Q27" s="22">
        <f t="shared" ref="Q27:Q31" si="18">L27-G27</f>
        <v>7777</v>
      </c>
      <c r="R27" s="24">
        <f t="shared" ref="R27:R31" si="19">M27-H27</f>
        <v>0</v>
      </c>
      <c r="S27" s="37"/>
    </row>
    <row r="28" spans="1:59" s="37" customFormat="1" x14ac:dyDescent="0.25">
      <c r="A28" s="41" t="s">
        <v>61</v>
      </c>
      <c r="B28" s="25" t="s">
        <v>9</v>
      </c>
      <c r="C28" s="42" t="s">
        <v>6</v>
      </c>
      <c r="D28" s="27">
        <f t="shared" ref="D28:D32" si="20">SUM(E28:G28)</f>
        <v>140540</v>
      </c>
      <c r="E28" s="28">
        <v>33846</v>
      </c>
      <c r="F28" s="28">
        <v>70734</v>
      </c>
      <c r="G28" s="28">
        <v>35960</v>
      </c>
      <c r="H28" s="29">
        <v>0</v>
      </c>
      <c r="I28" s="27">
        <f t="shared" ref="I28:I32" si="21">SUM(J28:L28)</f>
        <v>161446</v>
      </c>
      <c r="J28" s="28">
        <v>37133</v>
      </c>
      <c r="K28" s="28">
        <f>79562+1844</f>
        <v>81406</v>
      </c>
      <c r="L28" s="28">
        <v>42907</v>
      </c>
      <c r="M28" s="29">
        <v>0</v>
      </c>
      <c r="N28" s="27">
        <f t="shared" si="15"/>
        <v>20906</v>
      </c>
      <c r="O28" s="28">
        <f t="shared" si="16"/>
        <v>3287</v>
      </c>
      <c r="P28" s="28">
        <f t="shared" si="17"/>
        <v>10672</v>
      </c>
      <c r="Q28" s="28">
        <f t="shared" si="18"/>
        <v>6947</v>
      </c>
      <c r="R28" s="30">
        <f t="shared" si="19"/>
        <v>0</v>
      </c>
    </row>
    <row r="29" spans="1:59" s="10" customFormat="1" x14ac:dyDescent="0.25">
      <c r="A29" s="41" t="s">
        <v>61</v>
      </c>
      <c r="B29" s="25" t="s">
        <v>9</v>
      </c>
      <c r="C29" s="42" t="s">
        <v>8</v>
      </c>
      <c r="D29" s="27">
        <f t="shared" si="20"/>
        <v>199393</v>
      </c>
      <c r="E29" s="28">
        <v>12744</v>
      </c>
      <c r="F29" s="28">
        <v>182445</v>
      </c>
      <c r="G29" s="28">
        <v>4204</v>
      </c>
      <c r="H29" s="29">
        <v>0</v>
      </c>
      <c r="I29" s="27">
        <f t="shared" si="21"/>
        <v>262035</v>
      </c>
      <c r="J29" s="28">
        <v>16856</v>
      </c>
      <c r="K29" s="28">
        <f>239762</f>
        <v>239762</v>
      </c>
      <c r="L29" s="28">
        <v>5417</v>
      </c>
      <c r="M29" s="29">
        <v>0</v>
      </c>
      <c r="N29" s="27">
        <f t="shared" si="15"/>
        <v>62642</v>
      </c>
      <c r="O29" s="28">
        <f t="shared" si="16"/>
        <v>4112</v>
      </c>
      <c r="P29" s="28">
        <f t="shared" si="17"/>
        <v>57317</v>
      </c>
      <c r="Q29" s="28">
        <f t="shared" si="18"/>
        <v>1213</v>
      </c>
      <c r="R29" s="30">
        <f t="shared" si="19"/>
        <v>0</v>
      </c>
    </row>
    <row r="30" spans="1:59" s="10" customFormat="1" x14ac:dyDescent="0.25">
      <c r="A30" s="41" t="s">
        <v>61</v>
      </c>
      <c r="B30" s="25" t="s">
        <v>7</v>
      </c>
      <c r="C30" s="42" t="s">
        <v>6</v>
      </c>
      <c r="D30" s="27">
        <f t="shared" si="20"/>
        <v>1954</v>
      </c>
      <c r="E30" s="28">
        <v>0</v>
      </c>
      <c r="F30" s="28">
        <v>977</v>
      </c>
      <c r="G30" s="28">
        <v>977</v>
      </c>
      <c r="H30" s="29">
        <v>0</v>
      </c>
      <c r="I30" s="27">
        <f t="shared" si="21"/>
        <v>986</v>
      </c>
      <c r="J30" s="28">
        <v>0</v>
      </c>
      <c r="K30" s="28">
        <v>493</v>
      </c>
      <c r="L30" s="28">
        <v>493</v>
      </c>
      <c r="M30" s="29">
        <v>0</v>
      </c>
      <c r="N30" s="27">
        <f t="shared" si="15"/>
        <v>-968</v>
      </c>
      <c r="O30" s="28">
        <f t="shared" si="16"/>
        <v>0</v>
      </c>
      <c r="P30" s="28">
        <f t="shared" si="17"/>
        <v>-484</v>
      </c>
      <c r="Q30" s="28">
        <f t="shared" si="18"/>
        <v>-484</v>
      </c>
      <c r="R30" s="30">
        <f t="shared" si="19"/>
        <v>0</v>
      </c>
    </row>
    <row r="31" spans="1:59" s="10" customFormat="1" x14ac:dyDescent="0.25">
      <c r="A31" s="41" t="s">
        <v>61</v>
      </c>
      <c r="B31" s="25" t="s">
        <v>7</v>
      </c>
      <c r="C31" s="26" t="s">
        <v>5</v>
      </c>
      <c r="D31" s="27">
        <f t="shared" si="20"/>
        <v>625</v>
      </c>
      <c r="E31" s="28">
        <v>53</v>
      </c>
      <c r="F31" s="28">
        <v>572</v>
      </c>
      <c r="G31" s="28">
        <v>0</v>
      </c>
      <c r="H31" s="29">
        <v>0</v>
      </c>
      <c r="I31" s="27">
        <f t="shared" si="21"/>
        <v>2513</v>
      </c>
      <c r="J31" s="28">
        <v>214</v>
      </c>
      <c r="K31" s="28">
        <v>2299</v>
      </c>
      <c r="L31" s="28">
        <v>0</v>
      </c>
      <c r="M31" s="29">
        <v>0</v>
      </c>
      <c r="N31" s="27">
        <f t="shared" si="15"/>
        <v>1888</v>
      </c>
      <c r="O31" s="28">
        <f t="shared" si="16"/>
        <v>161</v>
      </c>
      <c r="P31" s="28">
        <f t="shared" si="17"/>
        <v>1727</v>
      </c>
      <c r="Q31" s="28">
        <f t="shared" si="18"/>
        <v>0</v>
      </c>
      <c r="R31" s="30">
        <f t="shared" si="19"/>
        <v>0</v>
      </c>
    </row>
    <row r="32" spans="1:59" s="10" customFormat="1" ht="16.5" thickBot="1" x14ac:dyDescent="0.3">
      <c r="A32" s="41" t="s">
        <v>61</v>
      </c>
      <c r="B32" s="25" t="s">
        <v>40</v>
      </c>
      <c r="C32" s="42" t="s">
        <v>39</v>
      </c>
      <c r="D32" s="27">
        <f t="shared" si="20"/>
        <v>0</v>
      </c>
      <c r="E32" s="28">
        <v>0</v>
      </c>
      <c r="F32" s="28">
        <v>0</v>
      </c>
      <c r="G32" s="28">
        <v>0</v>
      </c>
      <c r="H32" s="29">
        <v>0</v>
      </c>
      <c r="I32" s="27">
        <f t="shared" si="21"/>
        <v>0</v>
      </c>
      <c r="J32" s="28">
        <v>-101</v>
      </c>
      <c r="K32" s="28">
        <v>0</v>
      </c>
      <c r="L32" s="28">
        <v>101</v>
      </c>
      <c r="M32" s="29">
        <v>0</v>
      </c>
      <c r="N32" s="27">
        <f>I32-D32</f>
        <v>0</v>
      </c>
      <c r="O32" s="28">
        <f>J32-E32</f>
        <v>-101</v>
      </c>
      <c r="P32" s="28">
        <f>K32-F32</f>
        <v>0</v>
      </c>
      <c r="Q32" s="28">
        <f>L32-G32</f>
        <v>101</v>
      </c>
      <c r="R32" s="30">
        <f>M32-H32</f>
        <v>0</v>
      </c>
    </row>
    <row r="33" spans="1:59" s="10" customFormat="1" x14ac:dyDescent="0.25">
      <c r="A33" s="18" t="s">
        <v>59</v>
      </c>
      <c r="B33" s="19" t="s">
        <v>58</v>
      </c>
      <c r="C33" s="20"/>
      <c r="D33" s="21">
        <f t="shared" ref="D33:M33" si="22">SUM(D34:D37)</f>
        <v>1813.3263000000002</v>
      </c>
      <c r="E33" s="22">
        <f t="shared" si="22"/>
        <v>68.645699999999991</v>
      </c>
      <c r="F33" s="22">
        <f t="shared" si="22"/>
        <v>1243.3356000000001</v>
      </c>
      <c r="G33" s="22">
        <f t="shared" si="22"/>
        <v>501.34499999999997</v>
      </c>
      <c r="H33" s="23">
        <f t="shared" si="22"/>
        <v>0</v>
      </c>
      <c r="I33" s="21">
        <f>SUM(I34:I37)</f>
        <v>1472.25</v>
      </c>
      <c r="J33" s="22">
        <f t="shared" si="22"/>
        <v>159.75</v>
      </c>
      <c r="K33" s="22">
        <f t="shared" si="22"/>
        <v>993.75</v>
      </c>
      <c r="L33" s="22">
        <f t="shared" si="22"/>
        <v>318.75</v>
      </c>
      <c r="M33" s="23">
        <f t="shared" si="22"/>
        <v>0</v>
      </c>
      <c r="N33" s="21">
        <f t="shared" ref="N33:N37" si="23">I33-D33</f>
        <v>-341.07630000000017</v>
      </c>
      <c r="O33" s="22">
        <f t="shared" ref="O33:O37" si="24">J33-E33</f>
        <v>91.104300000000009</v>
      </c>
      <c r="P33" s="22">
        <f t="shared" ref="P33:P37" si="25">K33-F33</f>
        <v>-249.58560000000011</v>
      </c>
      <c r="Q33" s="22">
        <f t="shared" ref="Q33:Q37" si="26">L33-G33</f>
        <v>-182.59499999999997</v>
      </c>
      <c r="R33" s="83">
        <f t="shared" ref="R33:R37" si="27">M33-H33</f>
        <v>0</v>
      </c>
    </row>
    <row r="34" spans="1:59" s="10" customFormat="1" x14ac:dyDescent="0.25">
      <c r="A34" s="41" t="s">
        <v>59</v>
      </c>
      <c r="B34" s="25" t="s">
        <v>9</v>
      </c>
      <c r="C34" s="26" t="s">
        <v>6</v>
      </c>
      <c r="D34" s="27">
        <f t="shared" ref="D34:D37" si="28">SUM(E34:G34)</f>
        <v>1006.5464999999999</v>
      </c>
      <c r="E34" s="28">
        <v>0</v>
      </c>
      <c r="F34" s="28">
        <f>656*0.7713</f>
        <v>505.97280000000001</v>
      </c>
      <c r="G34" s="28">
        <f>649*0.7713</f>
        <v>500.57369999999997</v>
      </c>
      <c r="H34" s="29">
        <v>0</v>
      </c>
      <c r="I34" s="27">
        <f t="shared" ref="I34:I39" si="29">SUM(J34:L34)</f>
        <v>688.5</v>
      </c>
      <c r="J34" s="28">
        <f>143*0.75</f>
        <v>107.25</v>
      </c>
      <c r="K34" s="28">
        <f>461*0.75</f>
        <v>345.75</v>
      </c>
      <c r="L34" s="28">
        <f>314*0.75</f>
        <v>235.5</v>
      </c>
      <c r="M34" s="29">
        <v>0</v>
      </c>
      <c r="N34" s="27">
        <f t="shared" si="23"/>
        <v>-318.04649999999992</v>
      </c>
      <c r="O34" s="28">
        <f t="shared" si="24"/>
        <v>107.25</v>
      </c>
      <c r="P34" s="28">
        <f t="shared" si="25"/>
        <v>-160.22280000000001</v>
      </c>
      <c r="Q34" s="28">
        <f t="shared" si="26"/>
        <v>-265.07369999999997</v>
      </c>
      <c r="R34" s="48">
        <f t="shared" si="27"/>
        <v>0</v>
      </c>
    </row>
    <row r="35" spans="1:59" s="10" customFormat="1" x14ac:dyDescent="0.25">
      <c r="A35" s="41" t="s">
        <v>59</v>
      </c>
      <c r="B35" s="25" t="s">
        <v>9</v>
      </c>
      <c r="C35" s="26" t="s">
        <v>8</v>
      </c>
      <c r="D35" s="27">
        <f t="shared" si="28"/>
        <v>798.29550000000006</v>
      </c>
      <c r="E35" s="28">
        <f>88*0.7713</f>
        <v>67.874399999999994</v>
      </c>
      <c r="F35" s="28">
        <f>947*0.7713</f>
        <v>730.42110000000002</v>
      </c>
      <c r="G35" s="28">
        <v>0</v>
      </c>
      <c r="H35" s="29">
        <v>0</v>
      </c>
      <c r="I35" s="27">
        <f t="shared" si="29"/>
        <v>573</v>
      </c>
      <c r="J35" s="28">
        <f>65*0.75</f>
        <v>48.75</v>
      </c>
      <c r="K35" s="28">
        <f>699*0.75</f>
        <v>524.25</v>
      </c>
      <c r="L35" s="28">
        <v>0</v>
      </c>
      <c r="M35" s="29">
        <v>0</v>
      </c>
      <c r="N35" s="27">
        <f t="shared" ref="N35:R36" si="30">I35-D35</f>
        <v>-225.29550000000006</v>
      </c>
      <c r="O35" s="28">
        <f t="shared" si="30"/>
        <v>-19.124399999999994</v>
      </c>
      <c r="P35" s="28">
        <f t="shared" si="30"/>
        <v>-206.17110000000002</v>
      </c>
      <c r="Q35" s="28">
        <f t="shared" si="30"/>
        <v>0</v>
      </c>
      <c r="R35" s="48">
        <f t="shared" si="30"/>
        <v>0</v>
      </c>
    </row>
    <row r="36" spans="1:59" s="10" customFormat="1" x14ac:dyDescent="0.25">
      <c r="A36" s="41" t="s">
        <v>59</v>
      </c>
      <c r="B36" s="25" t="s">
        <v>7</v>
      </c>
      <c r="C36" s="26" t="s">
        <v>6</v>
      </c>
      <c r="D36" s="27">
        <f t="shared" si="28"/>
        <v>1.5426</v>
      </c>
      <c r="E36" s="28">
        <v>0</v>
      </c>
      <c r="F36" s="28">
        <f>1*0.7713</f>
        <v>0.77129999999999999</v>
      </c>
      <c r="G36" s="28">
        <f>1*0.7713</f>
        <v>0.77129999999999999</v>
      </c>
      <c r="H36" s="29">
        <v>0</v>
      </c>
      <c r="I36" s="27">
        <f t="shared" si="29"/>
        <v>166.5</v>
      </c>
      <c r="J36" s="28">
        <v>0</v>
      </c>
      <c r="K36" s="28">
        <f>111*0.75</f>
        <v>83.25</v>
      </c>
      <c r="L36" s="28">
        <f>111*0.75</f>
        <v>83.25</v>
      </c>
      <c r="M36" s="29">
        <v>0</v>
      </c>
      <c r="N36" s="27">
        <f t="shared" si="30"/>
        <v>164.95740000000001</v>
      </c>
      <c r="O36" s="28">
        <f t="shared" si="30"/>
        <v>0</v>
      </c>
      <c r="P36" s="28">
        <f t="shared" si="30"/>
        <v>82.478700000000003</v>
      </c>
      <c r="Q36" s="28">
        <f t="shared" si="30"/>
        <v>82.478700000000003</v>
      </c>
      <c r="R36" s="48">
        <f t="shared" si="30"/>
        <v>0</v>
      </c>
    </row>
    <row r="37" spans="1:59" s="10" customFormat="1" ht="16.5" thickBot="1" x14ac:dyDescent="0.3">
      <c r="A37" s="44" t="s">
        <v>59</v>
      </c>
      <c r="B37" s="25" t="s">
        <v>7</v>
      </c>
      <c r="C37" s="32" t="s">
        <v>5</v>
      </c>
      <c r="D37" s="33">
        <f t="shared" si="28"/>
        <v>6.9417</v>
      </c>
      <c r="E37" s="34">
        <f>1*0.7713</f>
        <v>0.77129999999999999</v>
      </c>
      <c r="F37" s="34">
        <f>8*0.7713</f>
        <v>6.1703999999999999</v>
      </c>
      <c r="G37" s="34">
        <v>0</v>
      </c>
      <c r="H37" s="35">
        <v>0</v>
      </c>
      <c r="I37" s="33">
        <f t="shared" si="29"/>
        <v>44.25</v>
      </c>
      <c r="J37" s="34">
        <v>3.75</v>
      </c>
      <c r="K37" s="34">
        <f>54*0.75</f>
        <v>40.5</v>
      </c>
      <c r="L37" s="34">
        <v>0</v>
      </c>
      <c r="M37" s="35">
        <v>0</v>
      </c>
      <c r="N37" s="33">
        <f t="shared" si="23"/>
        <v>37.308300000000003</v>
      </c>
      <c r="O37" s="34">
        <f t="shared" si="24"/>
        <v>2.9786999999999999</v>
      </c>
      <c r="P37" s="34">
        <f t="shared" si="25"/>
        <v>34.329599999999999</v>
      </c>
      <c r="Q37" s="34">
        <f t="shared" si="26"/>
        <v>0</v>
      </c>
      <c r="R37" s="49">
        <f t="shared" si="27"/>
        <v>0</v>
      </c>
    </row>
    <row r="38" spans="1:59" s="10" customFormat="1" ht="16.5" thickBot="1" x14ac:dyDescent="0.3">
      <c r="A38" s="18" t="s">
        <v>62</v>
      </c>
      <c r="B38" s="19" t="s">
        <v>34</v>
      </c>
      <c r="C38" s="20"/>
      <c r="D38" s="21">
        <f>SUM(Table1[[#This Row],[M19 GF]:[M19 CF]])</f>
        <v>0</v>
      </c>
      <c r="E38" s="22">
        <v>0</v>
      </c>
      <c r="F38" s="22">
        <v>0</v>
      </c>
      <c r="G38" s="22">
        <v>0</v>
      </c>
      <c r="H38" s="46">
        <v>0</v>
      </c>
      <c r="I38" s="51">
        <f t="shared" si="29"/>
        <v>-222</v>
      </c>
      <c r="J38" s="22">
        <v>0</v>
      </c>
      <c r="K38" s="22">
        <v>-137</v>
      </c>
      <c r="L38" s="22">
        <v>-85</v>
      </c>
      <c r="M38" s="47">
        <v>0</v>
      </c>
      <c r="N38" s="21">
        <f t="shared" ref="N38" si="31">I38-D38</f>
        <v>-222</v>
      </c>
      <c r="O38" s="22">
        <f t="shared" ref="O38" si="32">J38-E38</f>
        <v>0</v>
      </c>
      <c r="P38" s="22">
        <f t="shared" ref="P38" si="33">K38-F38</f>
        <v>-137</v>
      </c>
      <c r="Q38" s="22">
        <f t="shared" ref="Q38" si="34">L38-G38</f>
        <v>-85</v>
      </c>
      <c r="R38" s="83">
        <f t="shared" ref="R38" si="35">M38-H38</f>
        <v>0</v>
      </c>
    </row>
    <row r="39" spans="1:59" s="10" customFormat="1" ht="16.5" thickBot="1" x14ac:dyDescent="0.3">
      <c r="A39" s="18" t="s">
        <v>63</v>
      </c>
      <c r="B39" s="19" t="s">
        <v>14</v>
      </c>
      <c r="C39" s="20"/>
      <c r="D39" s="51">
        <f>SUM(E39:G39)</f>
        <v>50708</v>
      </c>
      <c r="E39" s="22">
        <v>960</v>
      </c>
      <c r="F39" s="22">
        <v>25352</v>
      </c>
      <c r="G39" s="22">
        <v>24396</v>
      </c>
      <c r="H39" s="46">
        <v>0</v>
      </c>
      <c r="I39" s="51">
        <f t="shared" si="29"/>
        <v>77746</v>
      </c>
      <c r="J39" s="22">
        <v>1295</v>
      </c>
      <c r="K39" s="22">
        <v>38872</v>
      </c>
      <c r="L39" s="22">
        <v>37579</v>
      </c>
      <c r="M39" s="47">
        <v>0</v>
      </c>
      <c r="N39" s="21">
        <f t="shared" ref="N39" si="36">I39-D39</f>
        <v>27038</v>
      </c>
      <c r="O39" s="22">
        <f t="shared" ref="O39" si="37">J39-E39</f>
        <v>335</v>
      </c>
      <c r="P39" s="22">
        <f t="shared" ref="P39" si="38">K39-F39</f>
        <v>13520</v>
      </c>
      <c r="Q39" s="22">
        <f t="shared" ref="Q39" si="39">L39-G39</f>
        <v>13183</v>
      </c>
      <c r="R39" s="83">
        <f t="shared" ref="R39" si="40">M39-H39</f>
        <v>0</v>
      </c>
    </row>
    <row r="40" spans="1:59" s="56" customFormat="1" ht="16.5" thickBot="1" x14ac:dyDescent="0.3">
      <c r="A40" s="57" t="s">
        <v>64</v>
      </c>
      <c r="B40" s="50" t="s">
        <v>4</v>
      </c>
      <c r="C40" s="147"/>
      <c r="D40" s="51">
        <f>SUM(E40:G40)</f>
        <v>2951</v>
      </c>
      <c r="E40" s="52">
        <v>0</v>
      </c>
      <c r="F40" s="52">
        <v>2029</v>
      </c>
      <c r="G40" s="52">
        <v>922</v>
      </c>
      <c r="H40" s="53">
        <v>0</v>
      </c>
      <c r="I40" s="51">
        <f>SUM(J40:M40)</f>
        <v>5957</v>
      </c>
      <c r="J40" s="52">
        <v>0</v>
      </c>
      <c r="K40" s="52">
        <v>4096</v>
      </c>
      <c r="L40" s="52">
        <v>1861</v>
      </c>
      <c r="M40" s="53">
        <v>0</v>
      </c>
      <c r="N40" s="51">
        <f t="shared" ref="N40:N44" si="41">I40-D40</f>
        <v>3006</v>
      </c>
      <c r="O40" s="52">
        <f t="shared" ref="O40:O44" si="42">J40-E40</f>
        <v>0</v>
      </c>
      <c r="P40" s="52">
        <f t="shared" ref="P40:P44" si="43">K40-F40</f>
        <v>2067</v>
      </c>
      <c r="Q40" s="52">
        <f t="shared" ref="Q40:Q44" si="44">L40-G40</f>
        <v>939</v>
      </c>
      <c r="R40" s="54">
        <f t="shared" ref="R40:R44" si="45">M40-H40</f>
        <v>0</v>
      </c>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row>
    <row r="41" spans="1:59" s="61" customFormat="1" ht="15" customHeight="1" thickBot="1" x14ac:dyDescent="0.3">
      <c r="A41" s="148"/>
      <c r="B41" s="84"/>
      <c r="C41" s="59" t="s">
        <v>13</v>
      </c>
      <c r="D41" s="51">
        <f t="shared" ref="D41:M41" si="46">D9+D14+D19+D24+D27+D33+D38+D39+D40</f>
        <v>533052.32630000007</v>
      </c>
      <c r="E41" s="52">
        <f t="shared" si="46"/>
        <v>53697.645700000001</v>
      </c>
      <c r="F41" s="52">
        <f t="shared" si="46"/>
        <v>376928.33559999999</v>
      </c>
      <c r="G41" s="52">
        <f t="shared" si="46"/>
        <v>102426.345</v>
      </c>
      <c r="H41" s="114">
        <f t="shared" si="46"/>
        <v>8550</v>
      </c>
      <c r="I41" s="51">
        <f>I9+I14+I19+I24+I27+I33+I38+I39+I40</f>
        <v>561255.25</v>
      </c>
      <c r="J41" s="52">
        <f>J9+J14+J19+J24+J27+J33+J38+J39+J40</f>
        <v>57731.75</v>
      </c>
      <c r="K41" s="52">
        <f>K9+K14+K19+K24+K27+K33+K38+K39+K40</f>
        <v>401934.75</v>
      </c>
      <c r="L41" s="52">
        <f>L9+L14+L19+L24+L27+L33+L38+L39+L40</f>
        <v>101588.75</v>
      </c>
      <c r="M41" s="126">
        <f t="shared" si="46"/>
        <v>3632</v>
      </c>
      <c r="N41" s="51">
        <f t="shared" si="41"/>
        <v>28202.923699999927</v>
      </c>
      <c r="O41" s="52">
        <f t="shared" si="42"/>
        <v>4034.1042999999991</v>
      </c>
      <c r="P41" s="52">
        <f t="shared" si="43"/>
        <v>25006.414400000009</v>
      </c>
      <c r="Q41" s="52">
        <f t="shared" si="44"/>
        <v>-837.59500000000116</v>
      </c>
      <c r="R41" s="89">
        <f t="shared" si="45"/>
        <v>-4918</v>
      </c>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row>
    <row r="42" spans="1:59" s="61" customFormat="1" ht="15" customHeight="1" x14ac:dyDescent="0.25">
      <c r="A42" s="149"/>
      <c r="B42" s="150"/>
      <c r="C42" s="62" t="s">
        <v>3</v>
      </c>
      <c r="D42" s="63">
        <f>D10+D11+D15+D16+D20+D21+D28+D29+D34+D35</f>
        <v>474826.842</v>
      </c>
      <c r="E42" s="64">
        <f t="shared" ref="E42:H42" si="47">E10+E11+E15+E16+E20+E21+E28+E29+E34+E35</f>
        <v>52649.874400000001</v>
      </c>
      <c r="F42" s="64">
        <f t="shared" si="47"/>
        <v>346830.39389999997</v>
      </c>
      <c r="G42" s="64">
        <f t="shared" si="47"/>
        <v>75346.573699999994</v>
      </c>
      <c r="H42" s="139">
        <f t="shared" si="47"/>
        <v>8444</v>
      </c>
      <c r="I42" s="63">
        <f>I10+I11+I15+I16+I20+I21+I28+I29+I34+I35</f>
        <v>472807.5</v>
      </c>
      <c r="J42" s="64">
        <f t="shared" ref="J42:M42" si="48">J10+J11+J15+J16+J20+J21+J28+J29+J34+J35</f>
        <v>56295</v>
      </c>
      <c r="K42" s="64">
        <f t="shared" si="48"/>
        <v>355436</v>
      </c>
      <c r="L42" s="64">
        <f t="shared" si="48"/>
        <v>61076.5</v>
      </c>
      <c r="M42" s="139">
        <f t="shared" si="48"/>
        <v>3571</v>
      </c>
      <c r="N42" s="67">
        <f t="shared" si="41"/>
        <v>-2019.3420000000042</v>
      </c>
      <c r="O42" s="28">
        <f t="shared" si="42"/>
        <v>3645.1255999999994</v>
      </c>
      <c r="P42" s="68">
        <f t="shared" si="43"/>
        <v>8605.6061000000336</v>
      </c>
      <c r="Q42" s="68">
        <f t="shared" si="44"/>
        <v>-14270.073699999994</v>
      </c>
      <c r="R42" s="81">
        <f t="shared" si="45"/>
        <v>-4873</v>
      </c>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row>
    <row r="43" spans="1:59" s="56" customFormat="1" ht="15" customHeight="1" x14ac:dyDescent="0.25">
      <c r="A43" s="41"/>
      <c r="B43" s="69"/>
      <c r="C43" s="66" t="s">
        <v>2</v>
      </c>
      <c r="D43" s="67">
        <f>D12+D13+D17+D18+D22+D23+D25+D26+D30+D31+D36+D37</f>
        <v>4566.4843000000001</v>
      </c>
      <c r="E43" s="68">
        <f t="shared" ref="E43:H43" si="49">E12+E13+E17+E18+E22+E23+E25+E26+E30+E31+E36+E37</f>
        <v>87.771299999999997</v>
      </c>
      <c r="F43" s="68">
        <f t="shared" si="49"/>
        <v>2716.9416999999999</v>
      </c>
      <c r="G43" s="68">
        <f t="shared" si="49"/>
        <v>1761.7713000000001</v>
      </c>
      <c r="H43" s="140">
        <f t="shared" si="49"/>
        <v>106</v>
      </c>
      <c r="I43" s="67">
        <f>I12+I13+I17+I18+I22+I23+I25+I26+I30+I31+I36+I37</f>
        <v>4966.75</v>
      </c>
      <c r="J43" s="68">
        <f t="shared" ref="J43:M43" si="50">J12+J13+J17+J18+J22+J23+J25+J26+J30+J31+J36+J37</f>
        <v>242.75</v>
      </c>
      <c r="K43" s="68">
        <f t="shared" si="50"/>
        <v>3667.75</v>
      </c>
      <c r="L43" s="68">
        <f t="shared" si="50"/>
        <v>1056.25</v>
      </c>
      <c r="M43" s="140">
        <f t="shared" si="50"/>
        <v>61</v>
      </c>
      <c r="N43" s="67">
        <f t="shared" si="41"/>
        <v>400.26569999999992</v>
      </c>
      <c r="O43" s="28">
        <f t="shared" si="42"/>
        <v>154.9787</v>
      </c>
      <c r="P43" s="68">
        <f t="shared" si="43"/>
        <v>950.80830000000014</v>
      </c>
      <c r="Q43" s="68">
        <f t="shared" si="44"/>
        <v>-705.52130000000011</v>
      </c>
      <c r="R43" s="81">
        <f t="shared" si="45"/>
        <v>-45</v>
      </c>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row>
    <row r="44" spans="1:59" s="55" customFormat="1" ht="15" customHeight="1" thickBot="1" x14ac:dyDescent="0.3">
      <c r="A44" s="41"/>
      <c r="B44" s="69"/>
      <c r="C44" s="70" t="s">
        <v>1</v>
      </c>
      <c r="D44" s="33">
        <f>D32+D38+D39+D40</f>
        <v>53659</v>
      </c>
      <c r="E44" s="34">
        <f t="shared" ref="E44:H44" si="51">E32+E38+E39+E40</f>
        <v>960</v>
      </c>
      <c r="F44" s="34">
        <f t="shared" si="51"/>
        <v>27381</v>
      </c>
      <c r="G44" s="34">
        <f t="shared" si="51"/>
        <v>25318</v>
      </c>
      <c r="H44" s="141">
        <f t="shared" si="51"/>
        <v>0</v>
      </c>
      <c r="I44" s="33">
        <f>I32+I38+I39+I40</f>
        <v>83481</v>
      </c>
      <c r="J44" s="34">
        <f t="shared" ref="J44:M44" si="52">J32+J38+J39+J40</f>
        <v>1194</v>
      </c>
      <c r="K44" s="34">
        <f t="shared" si="52"/>
        <v>42831</v>
      </c>
      <c r="L44" s="34">
        <f t="shared" si="52"/>
        <v>39456</v>
      </c>
      <c r="M44" s="141">
        <f t="shared" si="52"/>
        <v>0</v>
      </c>
      <c r="N44" s="86">
        <f t="shared" si="41"/>
        <v>29822</v>
      </c>
      <c r="O44" s="34">
        <f t="shared" si="42"/>
        <v>234</v>
      </c>
      <c r="P44" s="87">
        <f t="shared" si="43"/>
        <v>15450</v>
      </c>
      <c r="Q44" s="87">
        <f t="shared" si="44"/>
        <v>14138</v>
      </c>
      <c r="R44" s="82">
        <f t="shared" si="45"/>
        <v>0</v>
      </c>
    </row>
    <row r="45" spans="1:59" x14ac:dyDescent="0.25">
      <c r="A45" s="115" t="s">
        <v>0</v>
      </c>
      <c r="B45" s="10"/>
      <c r="C45" s="10"/>
      <c r="D45" s="151"/>
      <c r="E45" s="151"/>
      <c r="F45" s="151"/>
      <c r="G45" s="151"/>
      <c r="H45" s="151"/>
      <c r="I45" s="151"/>
      <c r="J45" s="151"/>
      <c r="K45" s="151"/>
      <c r="L45" s="151"/>
      <c r="M45" s="10"/>
      <c r="N45" s="151"/>
      <c r="O45" s="151"/>
      <c r="P45" s="151"/>
      <c r="Q45" s="151"/>
      <c r="R45" s="152"/>
    </row>
    <row r="46" spans="1:59" ht="15.6" customHeight="1" x14ac:dyDescent="0.25">
      <c r="A46" s="71" t="s">
        <v>32</v>
      </c>
      <c r="B46" s="10"/>
      <c r="C46" s="153"/>
      <c r="D46" s="154"/>
      <c r="E46" s="154"/>
      <c r="F46" s="151"/>
      <c r="G46" s="154"/>
      <c r="H46" s="154"/>
      <c r="I46" s="154"/>
      <c r="J46" s="154"/>
      <c r="K46" s="154"/>
      <c r="L46" s="154"/>
      <c r="M46" s="154"/>
      <c r="N46" s="154"/>
      <c r="O46" s="154"/>
      <c r="P46" s="154"/>
      <c r="Q46" s="154"/>
      <c r="R46" s="154"/>
    </row>
    <row r="47" spans="1:59" ht="15.6" customHeight="1" x14ac:dyDescent="0.25">
      <c r="A47" s="208" t="s">
        <v>37</v>
      </c>
      <c r="B47" s="208"/>
      <c r="C47" s="208"/>
      <c r="D47" s="208"/>
      <c r="E47" s="208"/>
      <c r="F47" s="208"/>
      <c r="G47" s="208"/>
      <c r="H47" s="208"/>
      <c r="I47" s="208"/>
      <c r="J47" s="208"/>
      <c r="K47" s="208"/>
      <c r="L47" s="208"/>
      <c r="M47" s="208"/>
      <c r="N47" s="208"/>
      <c r="O47" s="208"/>
      <c r="P47" s="208"/>
      <c r="Q47" s="208"/>
      <c r="R47" s="154"/>
    </row>
    <row r="48" spans="1:59" ht="15.6" customHeight="1" x14ac:dyDescent="0.25">
      <c r="A48" s="155"/>
      <c r="B48" s="156"/>
      <c r="C48" s="156"/>
      <c r="D48" s="156"/>
      <c r="E48" s="156"/>
      <c r="F48" s="156"/>
      <c r="G48" s="156"/>
      <c r="H48" s="156"/>
      <c r="I48" s="156"/>
      <c r="J48" s="156"/>
      <c r="K48" s="156"/>
      <c r="L48" s="156"/>
      <c r="M48" s="156"/>
      <c r="N48" s="156"/>
      <c r="O48" s="156"/>
      <c r="P48" s="156"/>
      <c r="Q48" s="156"/>
      <c r="R48" s="154"/>
    </row>
    <row r="49" spans="1:59" x14ac:dyDescent="0.25">
      <c r="A49" s="157"/>
      <c r="B49" s="158"/>
      <c r="C49" s="158"/>
      <c r="D49" s="159"/>
      <c r="E49" s="159"/>
      <c r="F49" s="159"/>
      <c r="G49" s="159"/>
      <c r="H49" s="158"/>
      <c r="I49" s="160"/>
      <c r="J49" s="160"/>
      <c r="K49" s="160"/>
      <c r="L49" s="160"/>
      <c r="M49" s="161"/>
      <c r="N49" s="160"/>
      <c r="O49" s="160"/>
      <c r="P49" s="160"/>
      <c r="Q49" s="160"/>
      <c r="R49" s="162"/>
    </row>
    <row r="50" spans="1:59" x14ac:dyDescent="0.25">
      <c r="A50" s="12" t="s">
        <v>12</v>
      </c>
      <c r="B50" s="163"/>
      <c r="C50" s="12"/>
      <c r="D50" s="164"/>
      <c r="E50" s="164"/>
      <c r="F50" s="164"/>
      <c r="G50" s="165"/>
      <c r="H50" s="163"/>
      <c r="I50" s="165"/>
      <c r="J50" s="165"/>
      <c r="K50" s="165"/>
      <c r="L50" s="165"/>
      <c r="M50" s="163"/>
      <c r="N50" s="165"/>
      <c r="O50" s="165"/>
      <c r="P50" s="165"/>
      <c r="Q50" s="165"/>
      <c r="R50" s="152"/>
    </row>
    <row r="51" spans="1:59" x14ac:dyDescent="0.25">
      <c r="A51" s="143" t="s">
        <v>43</v>
      </c>
      <c r="B51" s="144"/>
      <c r="C51" s="144"/>
      <c r="D51" s="144"/>
      <c r="E51" s="144"/>
      <c r="F51" s="144"/>
      <c r="G51" s="144"/>
      <c r="H51" s="144"/>
      <c r="I51" s="144"/>
      <c r="J51" s="144"/>
      <c r="K51" s="144"/>
      <c r="L51" s="144"/>
      <c r="M51" s="144"/>
      <c r="N51" s="144"/>
      <c r="O51" s="144"/>
      <c r="P51" s="144"/>
      <c r="Q51" s="144"/>
      <c r="R51" s="145"/>
    </row>
    <row r="52" spans="1:59" s="17" customFormat="1" x14ac:dyDescent="0.25">
      <c r="A52" s="72" t="s">
        <v>41</v>
      </c>
      <c r="B52" s="166"/>
      <c r="C52" s="167"/>
      <c r="D52" s="14" t="s">
        <v>50</v>
      </c>
      <c r="E52" s="94"/>
      <c r="F52" s="94"/>
      <c r="G52" s="94"/>
      <c r="H52" s="95"/>
      <c r="I52" s="14" t="s">
        <v>57</v>
      </c>
      <c r="J52" s="94"/>
      <c r="K52" s="94"/>
      <c r="L52" s="94"/>
      <c r="M52" s="95"/>
      <c r="N52" s="15" t="s">
        <v>24</v>
      </c>
      <c r="O52" s="96"/>
      <c r="P52" s="96"/>
      <c r="Q52" s="96"/>
      <c r="R52" s="97"/>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row>
    <row r="53" spans="1:59" s="17" customFormat="1" ht="16.5" thickBot="1" x14ac:dyDescent="0.3">
      <c r="A53" s="73" t="s">
        <v>11</v>
      </c>
      <c r="B53" s="74" t="s">
        <v>15</v>
      </c>
      <c r="C53" s="75" t="s">
        <v>10</v>
      </c>
      <c r="D53" s="116" t="s">
        <v>51</v>
      </c>
      <c r="E53" s="117" t="s">
        <v>52</v>
      </c>
      <c r="F53" s="117" t="s">
        <v>53</v>
      </c>
      <c r="G53" s="118" t="s">
        <v>56</v>
      </c>
      <c r="H53" s="119" t="s">
        <v>55</v>
      </c>
      <c r="I53" s="116" t="s">
        <v>51</v>
      </c>
      <c r="J53" s="117" t="s">
        <v>52</v>
      </c>
      <c r="K53" s="117" t="s">
        <v>53</v>
      </c>
      <c r="L53" s="118" t="s">
        <v>56</v>
      </c>
      <c r="M53" s="119" t="s">
        <v>55</v>
      </c>
      <c r="N53" s="116" t="s">
        <v>21</v>
      </c>
      <c r="O53" s="117" t="s">
        <v>33</v>
      </c>
      <c r="P53" s="117" t="s">
        <v>35</v>
      </c>
      <c r="Q53" s="118" t="s">
        <v>22</v>
      </c>
      <c r="R53" s="120" t="s">
        <v>25</v>
      </c>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row>
    <row r="54" spans="1:59" x14ac:dyDescent="0.25">
      <c r="A54" s="41" t="s">
        <v>65</v>
      </c>
      <c r="B54" s="40" t="s">
        <v>26</v>
      </c>
      <c r="C54" s="168"/>
      <c r="D54" s="21">
        <f>SUM(D55:D58)</f>
        <v>42781</v>
      </c>
      <c r="E54" s="22">
        <f t="shared" ref="E54:M54" si="53">SUM(E55:E58)</f>
        <v>1657</v>
      </c>
      <c r="F54" s="22">
        <f t="shared" si="53"/>
        <v>29477</v>
      </c>
      <c r="G54" s="22">
        <f t="shared" si="53"/>
        <v>11647</v>
      </c>
      <c r="H54" s="23">
        <f t="shared" si="53"/>
        <v>2442</v>
      </c>
      <c r="I54" s="21">
        <f t="shared" si="53"/>
        <v>44901</v>
      </c>
      <c r="J54" s="22">
        <f t="shared" si="53"/>
        <v>2017</v>
      </c>
      <c r="K54" s="22">
        <f t="shared" si="53"/>
        <v>30522</v>
      </c>
      <c r="L54" s="22">
        <f t="shared" si="53"/>
        <v>12362</v>
      </c>
      <c r="M54" s="23">
        <f t="shared" si="53"/>
        <v>2545</v>
      </c>
      <c r="N54" s="21">
        <f t="shared" ref="N54:N95" si="54">I54-D54</f>
        <v>2120</v>
      </c>
      <c r="O54" s="22">
        <f t="shared" ref="O54:O95" si="55">J54-E54</f>
        <v>360</v>
      </c>
      <c r="P54" s="22">
        <f t="shared" ref="P54:P95" si="56">K54-F54</f>
        <v>1045</v>
      </c>
      <c r="Q54" s="22">
        <f t="shared" ref="Q54:Q95" si="57">L54-G54</f>
        <v>715</v>
      </c>
      <c r="R54" s="23">
        <f t="shared" ref="R54:R95" si="58">M54-H54</f>
        <v>103</v>
      </c>
      <c r="S54" s="76"/>
    </row>
    <row r="55" spans="1:59" x14ac:dyDescent="0.25">
      <c r="A55" s="41" t="s">
        <v>65</v>
      </c>
      <c r="B55" s="121" t="s">
        <v>9</v>
      </c>
      <c r="C55" s="26" t="s">
        <v>6</v>
      </c>
      <c r="D55" s="27">
        <f>SUM(E55:G55)</f>
        <v>23109</v>
      </c>
      <c r="E55" s="101">
        <v>0</v>
      </c>
      <c r="F55" s="101">
        <v>11556</v>
      </c>
      <c r="G55" s="101">
        <v>11553</v>
      </c>
      <c r="H55" s="29">
        <v>494</v>
      </c>
      <c r="I55" s="27">
        <f t="shared" ref="I55:I58" si="59">SUM(J55:L55)</f>
        <v>24527</v>
      </c>
      <c r="J55" s="28">
        <v>0</v>
      </c>
      <c r="K55" s="28">
        <v>12265</v>
      </c>
      <c r="L55" s="28">
        <v>12262</v>
      </c>
      <c r="M55" s="29">
        <v>525</v>
      </c>
      <c r="N55" s="27">
        <f t="shared" si="54"/>
        <v>1418</v>
      </c>
      <c r="O55" s="28">
        <f t="shared" si="55"/>
        <v>0</v>
      </c>
      <c r="P55" s="28">
        <f t="shared" si="56"/>
        <v>709</v>
      </c>
      <c r="Q55" s="28">
        <f t="shared" si="57"/>
        <v>709</v>
      </c>
      <c r="R55" s="29">
        <f t="shared" si="58"/>
        <v>31</v>
      </c>
    </row>
    <row r="56" spans="1:59" x14ac:dyDescent="0.25">
      <c r="A56" s="41" t="s">
        <v>65</v>
      </c>
      <c r="B56" s="121" t="s">
        <v>9</v>
      </c>
      <c r="C56" s="26" t="s">
        <v>8</v>
      </c>
      <c r="D56" s="27">
        <f t="shared" ref="D56:D58" si="60">SUM(E56:G56)</f>
        <v>19432</v>
      </c>
      <c r="E56" s="101">
        <v>1652</v>
      </c>
      <c r="F56" s="101">
        <v>17780</v>
      </c>
      <c r="G56" s="101">
        <v>0</v>
      </c>
      <c r="H56" s="29">
        <v>1920</v>
      </c>
      <c r="I56" s="27">
        <f t="shared" si="59"/>
        <v>20118</v>
      </c>
      <c r="J56" s="28">
        <v>2011</v>
      </c>
      <c r="K56" s="28">
        <v>18107</v>
      </c>
      <c r="L56" s="28">
        <v>0</v>
      </c>
      <c r="M56" s="29">
        <v>1989</v>
      </c>
      <c r="N56" s="27">
        <f t="shared" si="54"/>
        <v>686</v>
      </c>
      <c r="O56" s="28">
        <f t="shared" si="55"/>
        <v>359</v>
      </c>
      <c r="P56" s="28">
        <f t="shared" si="56"/>
        <v>327</v>
      </c>
      <c r="Q56" s="28">
        <f t="shared" si="57"/>
        <v>0</v>
      </c>
      <c r="R56" s="29">
        <f t="shared" si="58"/>
        <v>69</v>
      </c>
    </row>
    <row r="57" spans="1:59" x14ac:dyDescent="0.25">
      <c r="A57" s="41" t="s">
        <v>65</v>
      </c>
      <c r="B57" s="121" t="s">
        <v>7</v>
      </c>
      <c r="C57" s="26" t="s">
        <v>6</v>
      </c>
      <c r="D57" s="27">
        <f t="shared" si="60"/>
        <v>187</v>
      </c>
      <c r="E57" s="101">
        <v>0</v>
      </c>
      <c r="F57" s="101">
        <v>93</v>
      </c>
      <c r="G57" s="101">
        <v>94</v>
      </c>
      <c r="H57" s="29">
        <v>20</v>
      </c>
      <c r="I57" s="27">
        <f t="shared" si="59"/>
        <v>199</v>
      </c>
      <c r="J57" s="28">
        <v>0</v>
      </c>
      <c r="K57" s="28">
        <v>99</v>
      </c>
      <c r="L57" s="28">
        <v>100</v>
      </c>
      <c r="M57" s="29">
        <v>22</v>
      </c>
      <c r="N57" s="27">
        <f t="shared" si="54"/>
        <v>12</v>
      </c>
      <c r="O57" s="28">
        <f t="shared" si="55"/>
        <v>0</v>
      </c>
      <c r="P57" s="28">
        <f t="shared" si="56"/>
        <v>6</v>
      </c>
      <c r="Q57" s="28">
        <f t="shared" si="57"/>
        <v>6</v>
      </c>
      <c r="R57" s="29">
        <f t="shared" si="58"/>
        <v>2</v>
      </c>
    </row>
    <row r="58" spans="1:59" ht="16.5" thickBot="1" x14ac:dyDescent="0.3">
      <c r="A58" s="44" t="s">
        <v>65</v>
      </c>
      <c r="B58" s="122" t="s">
        <v>7</v>
      </c>
      <c r="C58" s="32" t="s">
        <v>5</v>
      </c>
      <c r="D58" s="33">
        <f t="shared" si="60"/>
        <v>53</v>
      </c>
      <c r="E58" s="104">
        <v>5</v>
      </c>
      <c r="F58" s="104">
        <v>48</v>
      </c>
      <c r="G58" s="104">
        <v>0</v>
      </c>
      <c r="H58" s="35">
        <v>8</v>
      </c>
      <c r="I58" s="33">
        <f t="shared" si="59"/>
        <v>57</v>
      </c>
      <c r="J58" s="34">
        <v>6</v>
      </c>
      <c r="K58" s="34">
        <v>51</v>
      </c>
      <c r="L58" s="34">
        <v>0</v>
      </c>
      <c r="M58" s="35">
        <v>9</v>
      </c>
      <c r="N58" s="33">
        <f t="shared" si="54"/>
        <v>4</v>
      </c>
      <c r="O58" s="34">
        <f t="shared" si="55"/>
        <v>1</v>
      </c>
      <c r="P58" s="34">
        <f t="shared" si="56"/>
        <v>3</v>
      </c>
      <c r="Q58" s="34">
        <f t="shared" si="57"/>
        <v>0</v>
      </c>
      <c r="R58" s="35">
        <f t="shared" si="58"/>
        <v>1</v>
      </c>
    </row>
    <row r="59" spans="1:59" x14ac:dyDescent="0.25">
      <c r="A59" s="18" t="s">
        <v>66</v>
      </c>
      <c r="B59" s="123" t="s">
        <v>30</v>
      </c>
      <c r="C59" s="169"/>
      <c r="D59" s="21">
        <f>SUM(D60:D63)</f>
        <v>4399</v>
      </c>
      <c r="E59" s="22">
        <f t="shared" ref="E59:M59" si="61">SUM(E60:E63)</f>
        <v>202</v>
      </c>
      <c r="F59" s="22">
        <f t="shared" si="61"/>
        <v>3225</v>
      </c>
      <c r="G59" s="22">
        <f t="shared" si="61"/>
        <v>972</v>
      </c>
      <c r="H59" s="23">
        <f t="shared" si="61"/>
        <v>1050</v>
      </c>
      <c r="I59" s="21">
        <f t="shared" si="61"/>
        <v>4764</v>
      </c>
      <c r="J59" s="22">
        <f t="shared" si="61"/>
        <v>260</v>
      </c>
      <c r="K59" s="22">
        <f t="shared" si="61"/>
        <v>3443</v>
      </c>
      <c r="L59" s="22">
        <f t="shared" si="61"/>
        <v>1061</v>
      </c>
      <c r="M59" s="23">
        <f t="shared" si="61"/>
        <v>2655</v>
      </c>
      <c r="N59" s="21">
        <f t="shared" si="54"/>
        <v>365</v>
      </c>
      <c r="O59" s="22">
        <f t="shared" si="55"/>
        <v>58</v>
      </c>
      <c r="P59" s="22">
        <f t="shared" si="56"/>
        <v>218</v>
      </c>
      <c r="Q59" s="22">
        <f t="shared" si="57"/>
        <v>89</v>
      </c>
      <c r="R59" s="23">
        <f t="shared" si="58"/>
        <v>1605</v>
      </c>
    </row>
    <row r="60" spans="1:59" s="37" customFormat="1" x14ac:dyDescent="0.25">
      <c r="A60" s="77" t="s">
        <v>66</v>
      </c>
      <c r="B60" s="121" t="s">
        <v>9</v>
      </c>
      <c r="C60" s="26" t="s">
        <v>6</v>
      </c>
      <c r="D60" s="27">
        <f t="shared" ref="D60:D63" si="62">SUM(E60:G60)</f>
        <v>1991</v>
      </c>
      <c r="E60" s="28">
        <v>0</v>
      </c>
      <c r="F60" s="28">
        <v>1027</v>
      </c>
      <c r="G60" s="28">
        <v>964</v>
      </c>
      <c r="H60" s="29">
        <v>155</v>
      </c>
      <c r="I60" s="27">
        <f t="shared" ref="I60:I63" si="63">SUM(J60:L60)</f>
        <v>2147</v>
      </c>
      <c r="J60" s="28">
        <v>0</v>
      </c>
      <c r="K60" s="28">
        <v>1095</v>
      </c>
      <c r="L60" s="28">
        <v>1052</v>
      </c>
      <c r="M60" s="29">
        <v>1678</v>
      </c>
      <c r="N60" s="27">
        <f t="shared" si="54"/>
        <v>156</v>
      </c>
      <c r="O60" s="28">
        <f t="shared" si="55"/>
        <v>0</v>
      </c>
      <c r="P60" s="28">
        <f t="shared" si="56"/>
        <v>68</v>
      </c>
      <c r="Q60" s="28">
        <f t="shared" si="57"/>
        <v>88</v>
      </c>
      <c r="R60" s="29">
        <f t="shared" si="58"/>
        <v>1523</v>
      </c>
    </row>
    <row r="61" spans="1:59" s="37" customFormat="1" x14ac:dyDescent="0.25">
      <c r="A61" s="78" t="s">
        <v>66</v>
      </c>
      <c r="B61" s="121" t="s">
        <v>9</v>
      </c>
      <c r="C61" s="26" t="s">
        <v>8</v>
      </c>
      <c r="D61" s="27">
        <f t="shared" si="62"/>
        <v>2381</v>
      </c>
      <c r="E61" s="28">
        <v>202</v>
      </c>
      <c r="F61" s="28">
        <v>2179</v>
      </c>
      <c r="G61" s="28">
        <v>0</v>
      </c>
      <c r="H61" s="29">
        <v>889</v>
      </c>
      <c r="I61" s="27">
        <f>SUM(J61:L61)</f>
        <v>2589</v>
      </c>
      <c r="J61" s="28">
        <v>259</v>
      </c>
      <c r="K61" s="28">
        <v>2330</v>
      </c>
      <c r="L61" s="28">
        <v>0</v>
      </c>
      <c r="M61" s="29">
        <v>969</v>
      </c>
      <c r="N61" s="27">
        <f t="shared" si="54"/>
        <v>208</v>
      </c>
      <c r="O61" s="28">
        <f t="shared" si="55"/>
        <v>57</v>
      </c>
      <c r="P61" s="28">
        <f t="shared" si="56"/>
        <v>151</v>
      </c>
      <c r="Q61" s="28">
        <f t="shared" si="57"/>
        <v>0</v>
      </c>
      <c r="R61" s="29">
        <f t="shared" si="58"/>
        <v>80</v>
      </c>
    </row>
    <row r="62" spans="1:59" s="37" customFormat="1" x14ac:dyDescent="0.25">
      <c r="A62" s="78" t="s">
        <v>66</v>
      </c>
      <c r="B62" s="121" t="s">
        <v>7</v>
      </c>
      <c r="C62" s="26" t="s">
        <v>6</v>
      </c>
      <c r="D62" s="27">
        <f t="shared" si="62"/>
        <v>16</v>
      </c>
      <c r="E62" s="28">
        <v>0</v>
      </c>
      <c r="F62" s="28">
        <v>8</v>
      </c>
      <c r="G62" s="28">
        <v>8</v>
      </c>
      <c r="H62" s="29">
        <v>3</v>
      </c>
      <c r="I62" s="27">
        <f t="shared" si="63"/>
        <v>17</v>
      </c>
      <c r="J62" s="28">
        <v>0</v>
      </c>
      <c r="K62" s="28">
        <v>8</v>
      </c>
      <c r="L62" s="28">
        <v>9</v>
      </c>
      <c r="M62" s="29">
        <v>4</v>
      </c>
      <c r="N62" s="27">
        <f t="shared" si="54"/>
        <v>1</v>
      </c>
      <c r="O62" s="28">
        <f t="shared" si="55"/>
        <v>0</v>
      </c>
      <c r="P62" s="28">
        <f t="shared" si="56"/>
        <v>0</v>
      </c>
      <c r="Q62" s="28">
        <f t="shared" si="57"/>
        <v>1</v>
      </c>
      <c r="R62" s="29">
        <f t="shared" si="58"/>
        <v>1</v>
      </c>
    </row>
    <row r="63" spans="1:59" s="37" customFormat="1" ht="16.5" thickBot="1" x14ac:dyDescent="0.3">
      <c r="A63" s="79" t="s">
        <v>66</v>
      </c>
      <c r="B63" s="122" t="s">
        <v>7</v>
      </c>
      <c r="C63" s="32" t="s">
        <v>5</v>
      </c>
      <c r="D63" s="33">
        <f t="shared" si="62"/>
        <v>11</v>
      </c>
      <c r="E63" s="34">
        <v>0</v>
      </c>
      <c r="F63" s="34">
        <v>11</v>
      </c>
      <c r="G63" s="34">
        <v>0</v>
      </c>
      <c r="H63" s="35">
        <v>3</v>
      </c>
      <c r="I63" s="33">
        <f t="shared" si="63"/>
        <v>11</v>
      </c>
      <c r="J63" s="34">
        <v>1</v>
      </c>
      <c r="K63" s="34">
        <v>10</v>
      </c>
      <c r="L63" s="34">
        <v>0</v>
      </c>
      <c r="M63" s="35">
        <v>4</v>
      </c>
      <c r="N63" s="33">
        <f t="shared" si="54"/>
        <v>0</v>
      </c>
      <c r="O63" s="34">
        <f t="shared" si="55"/>
        <v>1</v>
      </c>
      <c r="P63" s="34">
        <f t="shared" si="56"/>
        <v>-1</v>
      </c>
      <c r="Q63" s="34">
        <f t="shared" si="57"/>
        <v>0</v>
      </c>
      <c r="R63" s="35">
        <f t="shared" si="58"/>
        <v>1</v>
      </c>
    </row>
    <row r="64" spans="1:59" s="37" customFormat="1" x14ac:dyDescent="0.25">
      <c r="A64" s="78" t="s">
        <v>67</v>
      </c>
      <c r="B64" s="124" t="s">
        <v>29</v>
      </c>
      <c r="C64" s="42"/>
      <c r="D64" s="21">
        <f>SUM(D65:D68)</f>
        <v>1214</v>
      </c>
      <c r="E64" s="22">
        <f t="shared" ref="E64:M64" si="64">SUM(E65:E68)</f>
        <v>297</v>
      </c>
      <c r="F64" s="22">
        <f t="shared" si="64"/>
        <v>893</v>
      </c>
      <c r="G64" s="22">
        <f t="shared" si="64"/>
        <v>24</v>
      </c>
      <c r="H64" s="23">
        <f t="shared" si="64"/>
        <v>117</v>
      </c>
      <c r="I64" s="21">
        <f t="shared" si="64"/>
        <v>1296</v>
      </c>
      <c r="J64" s="22">
        <f t="shared" si="64"/>
        <v>329</v>
      </c>
      <c r="K64" s="22">
        <f t="shared" si="64"/>
        <v>941</v>
      </c>
      <c r="L64" s="22">
        <f t="shared" si="64"/>
        <v>26</v>
      </c>
      <c r="M64" s="47">
        <f t="shared" si="64"/>
        <v>127</v>
      </c>
      <c r="N64" s="21">
        <f t="shared" si="54"/>
        <v>82</v>
      </c>
      <c r="O64" s="22">
        <f t="shared" si="55"/>
        <v>32</v>
      </c>
      <c r="P64" s="22">
        <f t="shared" si="56"/>
        <v>48</v>
      </c>
      <c r="Q64" s="22">
        <f t="shared" si="57"/>
        <v>2</v>
      </c>
      <c r="R64" s="47">
        <f t="shared" si="58"/>
        <v>10</v>
      </c>
    </row>
    <row r="65" spans="1:59" s="37" customFormat="1" x14ac:dyDescent="0.25">
      <c r="A65" s="78" t="s">
        <v>67</v>
      </c>
      <c r="B65" s="125" t="s">
        <v>9</v>
      </c>
      <c r="C65" s="42" t="s">
        <v>6</v>
      </c>
      <c r="D65" s="27">
        <f t="shared" ref="D65:D68" si="65">SUM(E65:G65)</f>
        <v>481</v>
      </c>
      <c r="E65" s="28">
        <v>240</v>
      </c>
      <c r="F65" s="28">
        <v>241</v>
      </c>
      <c r="G65" s="28">
        <v>0</v>
      </c>
      <c r="H65" s="29">
        <v>14</v>
      </c>
      <c r="I65" s="27">
        <f t="shared" ref="I65:I68" si="66">SUM(J65:L65)</f>
        <v>514</v>
      </c>
      <c r="J65" s="28">
        <v>257</v>
      </c>
      <c r="K65" s="28">
        <v>257</v>
      </c>
      <c r="L65" s="28">
        <v>0</v>
      </c>
      <c r="M65" s="29">
        <v>15</v>
      </c>
      <c r="N65" s="27">
        <f t="shared" si="54"/>
        <v>33</v>
      </c>
      <c r="O65" s="28">
        <f t="shared" si="55"/>
        <v>17</v>
      </c>
      <c r="P65" s="28">
        <f t="shared" si="56"/>
        <v>16</v>
      </c>
      <c r="Q65" s="28">
        <f t="shared" si="57"/>
        <v>0</v>
      </c>
      <c r="R65" s="81">
        <f t="shared" si="58"/>
        <v>1</v>
      </c>
    </row>
    <row r="66" spans="1:59" s="37" customFormat="1" x14ac:dyDescent="0.25">
      <c r="A66" s="78" t="s">
        <v>67</v>
      </c>
      <c r="B66" s="125" t="s">
        <v>9</v>
      </c>
      <c r="C66" s="42" t="s">
        <v>8</v>
      </c>
      <c r="D66" s="27">
        <f t="shared" si="65"/>
        <v>671</v>
      </c>
      <c r="E66" s="28">
        <v>56</v>
      </c>
      <c r="F66" s="28">
        <v>615</v>
      </c>
      <c r="G66" s="28">
        <v>0</v>
      </c>
      <c r="H66" s="29">
        <v>99</v>
      </c>
      <c r="I66" s="27">
        <f t="shared" si="66"/>
        <v>715</v>
      </c>
      <c r="J66" s="28">
        <v>71</v>
      </c>
      <c r="K66" s="28">
        <v>644</v>
      </c>
      <c r="L66" s="28">
        <v>0</v>
      </c>
      <c r="M66" s="29">
        <v>108</v>
      </c>
      <c r="N66" s="27">
        <f t="shared" si="54"/>
        <v>44</v>
      </c>
      <c r="O66" s="28">
        <f t="shared" si="55"/>
        <v>15</v>
      </c>
      <c r="P66" s="28">
        <f t="shared" si="56"/>
        <v>29</v>
      </c>
      <c r="Q66" s="28">
        <f t="shared" si="57"/>
        <v>0</v>
      </c>
      <c r="R66" s="81">
        <f t="shared" si="58"/>
        <v>9</v>
      </c>
    </row>
    <row r="67" spans="1:59" s="37" customFormat="1" x14ac:dyDescent="0.25">
      <c r="A67" s="78" t="s">
        <v>67</v>
      </c>
      <c r="B67" s="125" t="s">
        <v>31</v>
      </c>
      <c r="C67" s="42" t="s">
        <v>6</v>
      </c>
      <c r="D67" s="27">
        <f t="shared" si="65"/>
        <v>48</v>
      </c>
      <c r="E67" s="28">
        <v>0</v>
      </c>
      <c r="F67" s="28">
        <v>24</v>
      </c>
      <c r="G67" s="28">
        <v>24</v>
      </c>
      <c r="H67" s="29">
        <v>3</v>
      </c>
      <c r="I67" s="27">
        <f t="shared" si="66"/>
        <v>52</v>
      </c>
      <c r="J67" s="28">
        <v>0</v>
      </c>
      <c r="K67" s="28">
        <v>26</v>
      </c>
      <c r="L67" s="28">
        <v>26</v>
      </c>
      <c r="M67" s="29">
        <v>3</v>
      </c>
      <c r="N67" s="27">
        <f t="shared" si="54"/>
        <v>4</v>
      </c>
      <c r="O67" s="28">
        <f t="shared" si="55"/>
        <v>0</v>
      </c>
      <c r="P67" s="28">
        <f t="shared" si="56"/>
        <v>2</v>
      </c>
      <c r="Q67" s="28">
        <f t="shared" si="57"/>
        <v>2</v>
      </c>
      <c r="R67" s="81">
        <f t="shared" si="58"/>
        <v>0</v>
      </c>
    </row>
    <row r="68" spans="1:59" s="37" customFormat="1" ht="16.5" thickBot="1" x14ac:dyDescent="0.3">
      <c r="A68" s="79" t="s">
        <v>67</v>
      </c>
      <c r="B68" s="125" t="s">
        <v>7</v>
      </c>
      <c r="C68" s="42" t="s">
        <v>8</v>
      </c>
      <c r="D68" s="33">
        <f t="shared" si="65"/>
        <v>14</v>
      </c>
      <c r="E68" s="34">
        <v>1</v>
      </c>
      <c r="F68" s="34">
        <v>13</v>
      </c>
      <c r="G68" s="34">
        <v>0</v>
      </c>
      <c r="H68" s="35">
        <v>1</v>
      </c>
      <c r="I68" s="33">
        <f t="shared" si="66"/>
        <v>15</v>
      </c>
      <c r="J68" s="34">
        <v>1</v>
      </c>
      <c r="K68" s="34">
        <v>14</v>
      </c>
      <c r="L68" s="34">
        <v>0</v>
      </c>
      <c r="M68" s="35">
        <v>1</v>
      </c>
      <c r="N68" s="33">
        <f t="shared" si="54"/>
        <v>1</v>
      </c>
      <c r="O68" s="34">
        <f t="shared" si="55"/>
        <v>0</v>
      </c>
      <c r="P68" s="34">
        <f t="shared" si="56"/>
        <v>1</v>
      </c>
      <c r="Q68" s="34">
        <f t="shared" si="57"/>
        <v>0</v>
      </c>
      <c r="R68" s="82">
        <f t="shared" si="58"/>
        <v>0</v>
      </c>
    </row>
    <row r="69" spans="1:59" s="37" customFormat="1" ht="15.75" customHeight="1" x14ac:dyDescent="0.25">
      <c r="A69" s="77" t="s">
        <v>68</v>
      </c>
      <c r="B69" s="19" t="s">
        <v>27</v>
      </c>
      <c r="C69" s="19"/>
      <c r="D69" s="21">
        <f>SUM(D70:D71)</f>
        <v>928</v>
      </c>
      <c r="E69" s="22">
        <f t="shared" ref="E69:M69" si="67">SUM(E70:E71)</f>
        <v>19</v>
      </c>
      <c r="F69" s="22">
        <f t="shared" si="67"/>
        <v>555</v>
      </c>
      <c r="G69" s="22">
        <f t="shared" si="67"/>
        <v>354</v>
      </c>
      <c r="H69" s="23">
        <f t="shared" si="67"/>
        <v>23</v>
      </c>
      <c r="I69" s="21">
        <f t="shared" si="67"/>
        <v>1031</v>
      </c>
      <c r="J69" s="22">
        <f t="shared" si="67"/>
        <v>24</v>
      </c>
      <c r="K69" s="22">
        <f t="shared" si="67"/>
        <v>614</v>
      </c>
      <c r="L69" s="22">
        <f t="shared" si="67"/>
        <v>393</v>
      </c>
      <c r="M69" s="23">
        <f t="shared" si="67"/>
        <v>25</v>
      </c>
      <c r="N69" s="21">
        <f t="shared" si="54"/>
        <v>103</v>
      </c>
      <c r="O69" s="22">
        <f t="shared" si="55"/>
        <v>5</v>
      </c>
      <c r="P69" s="22">
        <f t="shared" si="56"/>
        <v>59</v>
      </c>
      <c r="Q69" s="22">
        <f t="shared" si="57"/>
        <v>39</v>
      </c>
      <c r="R69" s="23">
        <f t="shared" si="58"/>
        <v>2</v>
      </c>
    </row>
    <row r="70" spans="1:59" s="43" customFormat="1" x14ac:dyDescent="0.25">
      <c r="A70" s="77" t="s">
        <v>68</v>
      </c>
      <c r="B70" s="25" t="s">
        <v>7</v>
      </c>
      <c r="C70" s="42" t="s">
        <v>6</v>
      </c>
      <c r="D70" s="27">
        <f t="shared" ref="D70:D71" si="68">SUM(E70:G70)</f>
        <v>709</v>
      </c>
      <c r="E70" s="28">
        <v>0</v>
      </c>
      <c r="F70" s="28">
        <v>355</v>
      </c>
      <c r="G70" s="28">
        <v>354</v>
      </c>
      <c r="H70" s="29">
        <v>13</v>
      </c>
      <c r="I70" s="27">
        <f t="shared" ref="I70:I71" si="69">SUM(J70:L70)</f>
        <v>786</v>
      </c>
      <c r="J70" s="28">
        <v>0</v>
      </c>
      <c r="K70" s="28">
        <v>393</v>
      </c>
      <c r="L70" s="28">
        <v>393</v>
      </c>
      <c r="M70" s="29">
        <v>14</v>
      </c>
      <c r="N70" s="27">
        <f t="shared" si="54"/>
        <v>77</v>
      </c>
      <c r="O70" s="28">
        <f t="shared" si="55"/>
        <v>0</v>
      </c>
      <c r="P70" s="28">
        <f t="shared" si="56"/>
        <v>38</v>
      </c>
      <c r="Q70" s="28">
        <f t="shared" si="57"/>
        <v>39</v>
      </c>
      <c r="R70" s="29">
        <f>M70-H70</f>
        <v>1</v>
      </c>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row>
    <row r="71" spans="1:59" s="43" customFormat="1" ht="16.5" thickBot="1" x14ac:dyDescent="0.3">
      <c r="A71" s="80" t="s">
        <v>68</v>
      </c>
      <c r="B71" s="25" t="s">
        <v>7</v>
      </c>
      <c r="C71" s="42" t="s">
        <v>8</v>
      </c>
      <c r="D71" s="33">
        <f t="shared" si="68"/>
        <v>219</v>
      </c>
      <c r="E71" s="34">
        <v>19</v>
      </c>
      <c r="F71" s="34">
        <v>200</v>
      </c>
      <c r="G71" s="34">
        <v>0</v>
      </c>
      <c r="H71" s="35">
        <v>10</v>
      </c>
      <c r="I71" s="33">
        <f t="shared" si="69"/>
        <v>245</v>
      </c>
      <c r="J71" s="34">
        <v>24</v>
      </c>
      <c r="K71" s="34">
        <v>221</v>
      </c>
      <c r="L71" s="34">
        <v>0</v>
      </c>
      <c r="M71" s="35">
        <v>11</v>
      </c>
      <c r="N71" s="33">
        <f t="shared" si="54"/>
        <v>26</v>
      </c>
      <c r="O71" s="34">
        <f t="shared" si="55"/>
        <v>5</v>
      </c>
      <c r="P71" s="34">
        <f t="shared" si="56"/>
        <v>21</v>
      </c>
      <c r="Q71" s="34">
        <f t="shared" si="57"/>
        <v>0</v>
      </c>
      <c r="R71" s="35">
        <f t="shared" si="58"/>
        <v>1</v>
      </c>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row>
    <row r="72" spans="1:59" s="110" customFormat="1" x14ac:dyDescent="0.25">
      <c r="A72" s="170" t="s">
        <v>61</v>
      </c>
      <c r="B72" s="171" t="s">
        <v>38</v>
      </c>
      <c r="C72" s="172"/>
      <c r="D72" s="21">
        <f>SUM(D73:D78)</f>
        <v>426980</v>
      </c>
      <c r="E72" s="22">
        <f>SUM(E73:E78)</f>
        <v>54102</v>
      </c>
      <c r="F72" s="22">
        <f t="shared" ref="F72:H72" si="70">SUM(F73:F78)</f>
        <v>323960</v>
      </c>
      <c r="G72" s="22">
        <f t="shared" si="70"/>
        <v>48918</v>
      </c>
      <c r="H72" s="138">
        <f t="shared" si="70"/>
        <v>0</v>
      </c>
      <c r="I72" s="21">
        <f>SUM(I73:I78)</f>
        <v>485880</v>
      </c>
      <c r="J72" s="22">
        <f>SUM(J73:J78)</f>
        <v>62654</v>
      </c>
      <c r="K72" s="22">
        <f t="shared" ref="K72" si="71">SUM(K73:K78)</f>
        <v>363390</v>
      </c>
      <c r="L72" s="22">
        <f t="shared" ref="L72" si="72">SUM(L73:L78)</f>
        <v>59836</v>
      </c>
      <c r="M72" s="138">
        <f t="shared" ref="M72" si="73">SUM(M73:M78)</f>
        <v>0</v>
      </c>
      <c r="N72" s="173">
        <f t="shared" ref="N72:N91" si="74">I72-D72</f>
        <v>58900</v>
      </c>
      <c r="O72" s="174">
        <f t="shared" ref="O72:O91" si="75">J72-E72</f>
        <v>8552</v>
      </c>
      <c r="P72" s="174">
        <f t="shared" ref="P72:P91" si="76">K72-F72</f>
        <v>39430</v>
      </c>
      <c r="Q72" s="174">
        <f t="shared" ref="Q72:Q91" si="77">L72-G72</f>
        <v>10918</v>
      </c>
      <c r="R72" s="175">
        <f t="shared" ref="R72:R91" si="78">M72-H72</f>
        <v>0</v>
      </c>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row>
    <row r="73" spans="1:59" s="110" customFormat="1" x14ac:dyDescent="0.25">
      <c r="A73" s="176" t="s">
        <v>61</v>
      </c>
      <c r="B73" s="121" t="s">
        <v>9</v>
      </c>
      <c r="C73" s="121" t="s">
        <v>6</v>
      </c>
      <c r="D73" s="27">
        <f t="shared" ref="D73:D78" si="79">SUM(E73:G73)</f>
        <v>161446</v>
      </c>
      <c r="E73" s="28">
        <v>37133</v>
      </c>
      <c r="F73" s="28">
        <v>81406</v>
      </c>
      <c r="G73" s="28">
        <v>42907</v>
      </c>
      <c r="H73" s="29">
        <v>0</v>
      </c>
      <c r="I73" s="27">
        <f t="shared" ref="I73:I78" si="80">SUM(J73:L73)</f>
        <v>179763</v>
      </c>
      <c r="J73" s="28">
        <v>38571</v>
      </c>
      <c r="K73" s="28">
        <f>88588+1756</f>
        <v>90344</v>
      </c>
      <c r="L73" s="28">
        <v>50848</v>
      </c>
      <c r="M73" s="29">
        <v>0</v>
      </c>
      <c r="N73" s="177">
        <f t="shared" si="74"/>
        <v>18317</v>
      </c>
      <c r="O73" s="178">
        <f t="shared" si="75"/>
        <v>1438</v>
      </c>
      <c r="P73" s="178">
        <f t="shared" si="76"/>
        <v>8938</v>
      </c>
      <c r="Q73" s="178">
        <f t="shared" si="77"/>
        <v>7941</v>
      </c>
      <c r="R73" s="179">
        <f t="shared" si="78"/>
        <v>0</v>
      </c>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row>
    <row r="74" spans="1:59" s="110" customFormat="1" x14ac:dyDescent="0.25">
      <c r="A74" s="176" t="s">
        <v>61</v>
      </c>
      <c r="B74" s="121" t="s">
        <v>9</v>
      </c>
      <c r="C74" s="121" t="s">
        <v>8</v>
      </c>
      <c r="D74" s="27">
        <f t="shared" si="79"/>
        <v>262035</v>
      </c>
      <c r="E74" s="28">
        <v>16856</v>
      </c>
      <c r="F74" s="28">
        <v>239762</v>
      </c>
      <c r="G74" s="28">
        <v>5417</v>
      </c>
      <c r="H74" s="29">
        <v>0</v>
      </c>
      <c r="I74" s="27">
        <f t="shared" si="80"/>
        <v>291772</v>
      </c>
      <c r="J74" s="28">
        <v>21950</v>
      </c>
      <c r="K74" s="28">
        <v>262595</v>
      </c>
      <c r="L74" s="28">
        <v>7227</v>
      </c>
      <c r="M74" s="29">
        <v>0</v>
      </c>
      <c r="N74" s="177">
        <f>I74-D74</f>
        <v>29737</v>
      </c>
      <c r="O74" s="178">
        <f t="shared" si="75"/>
        <v>5094</v>
      </c>
      <c r="P74" s="178">
        <f t="shared" si="76"/>
        <v>22833</v>
      </c>
      <c r="Q74" s="178">
        <f t="shared" si="77"/>
        <v>1810</v>
      </c>
      <c r="R74" s="179">
        <f t="shared" si="78"/>
        <v>0</v>
      </c>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row>
    <row r="75" spans="1:59" s="110" customFormat="1" x14ac:dyDescent="0.25">
      <c r="A75" s="180" t="s">
        <v>61</v>
      </c>
      <c r="B75" s="181" t="s">
        <v>7</v>
      </c>
      <c r="C75" s="181" t="s">
        <v>6</v>
      </c>
      <c r="D75" s="27">
        <f t="shared" si="79"/>
        <v>986</v>
      </c>
      <c r="E75" s="28">
        <v>0</v>
      </c>
      <c r="F75" s="28">
        <v>493</v>
      </c>
      <c r="G75" s="28">
        <v>493</v>
      </c>
      <c r="H75" s="29">
        <v>0</v>
      </c>
      <c r="I75" s="27">
        <f t="shared" si="80"/>
        <v>1092</v>
      </c>
      <c r="J75" s="28">
        <v>0</v>
      </c>
      <c r="K75" s="28">
        <v>546</v>
      </c>
      <c r="L75" s="28">
        <v>546</v>
      </c>
      <c r="M75" s="29">
        <v>0</v>
      </c>
      <c r="N75" s="182">
        <f t="shared" si="74"/>
        <v>106</v>
      </c>
      <c r="O75" s="183">
        <f t="shared" si="75"/>
        <v>0</v>
      </c>
      <c r="P75" s="183">
        <f t="shared" si="76"/>
        <v>53</v>
      </c>
      <c r="Q75" s="178">
        <f t="shared" si="77"/>
        <v>53</v>
      </c>
      <c r="R75" s="179">
        <f t="shared" si="78"/>
        <v>0</v>
      </c>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row>
    <row r="76" spans="1:59" s="110" customFormat="1" x14ac:dyDescent="0.25">
      <c r="A76" s="184" t="s">
        <v>61</v>
      </c>
      <c r="B76" s="125" t="s">
        <v>7</v>
      </c>
      <c r="C76" s="185" t="s">
        <v>5</v>
      </c>
      <c r="D76" s="27">
        <f t="shared" si="79"/>
        <v>2513</v>
      </c>
      <c r="E76" s="28">
        <v>214</v>
      </c>
      <c r="F76" s="28">
        <v>2299</v>
      </c>
      <c r="G76" s="28">
        <v>0</v>
      </c>
      <c r="H76" s="29">
        <v>0</v>
      </c>
      <c r="I76" s="27">
        <f t="shared" si="80"/>
        <v>2780</v>
      </c>
      <c r="J76" s="28">
        <v>278</v>
      </c>
      <c r="K76" s="28">
        <v>2502</v>
      </c>
      <c r="L76" s="28">
        <v>0</v>
      </c>
      <c r="M76" s="29">
        <v>0</v>
      </c>
      <c r="N76" s="28">
        <f t="shared" si="74"/>
        <v>267</v>
      </c>
      <c r="O76" s="28">
        <f t="shared" si="75"/>
        <v>64</v>
      </c>
      <c r="P76" s="28">
        <f t="shared" si="76"/>
        <v>203</v>
      </c>
      <c r="Q76" s="183">
        <f t="shared" si="77"/>
        <v>0</v>
      </c>
      <c r="R76" s="186">
        <f t="shared" si="78"/>
        <v>0</v>
      </c>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row>
    <row r="77" spans="1:59" s="110" customFormat="1" x14ac:dyDescent="0.25">
      <c r="A77" s="184" t="s">
        <v>61</v>
      </c>
      <c r="B77" s="125" t="s">
        <v>40</v>
      </c>
      <c r="C77" s="125" t="s">
        <v>39</v>
      </c>
      <c r="D77" s="27">
        <f t="shared" si="79"/>
        <v>0</v>
      </c>
      <c r="E77" s="28">
        <v>-101</v>
      </c>
      <c r="F77" s="28">
        <v>0</v>
      </c>
      <c r="G77" s="28">
        <v>101</v>
      </c>
      <c r="H77" s="29">
        <v>0</v>
      </c>
      <c r="I77" s="27">
        <f t="shared" si="80"/>
        <v>0</v>
      </c>
      <c r="J77" s="28">
        <v>0</v>
      </c>
      <c r="K77" s="28">
        <v>0</v>
      </c>
      <c r="L77" s="28">
        <v>0</v>
      </c>
      <c r="M77" s="29">
        <v>0</v>
      </c>
      <c r="N77" s="28">
        <f t="shared" ref="N77" si="81">I77-D77</f>
        <v>0</v>
      </c>
      <c r="O77" s="28">
        <f t="shared" ref="O77:O78" si="82">J77-E77</f>
        <v>101</v>
      </c>
      <c r="P77" s="28">
        <f t="shared" ref="P77:P78" si="83">K77-F77</f>
        <v>0</v>
      </c>
      <c r="Q77" s="183">
        <f t="shared" ref="Q77:Q78" si="84">L77-G77</f>
        <v>-101</v>
      </c>
      <c r="R77" s="186">
        <f t="shared" ref="R77:R78" si="85">M77-H77</f>
        <v>0</v>
      </c>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row>
    <row r="78" spans="1:59" s="110" customFormat="1" ht="16.5" thickBot="1" x14ac:dyDescent="0.3">
      <c r="A78" s="184" t="s">
        <v>61</v>
      </c>
      <c r="B78" s="125" t="s">
        <v>40</v>
      </c>
      <c r="C78" s="125" t="s">
        <v>69</v>
      </c>
      <c r="D78" s="27">
        <f t="shared" si="79"/>
        <v>0</v>
      </c>
      <c r="E78" s="28">
        <v>0</v>
      </c>
      <c r="F78" s="28">
        <v>0</v>
      </c>
      <c r="G78" s="28">
        <v>0</v>
      </c>
      <c r="H78" s="29">
        <v>0</v>
      </c>
      <c r="I78" s="27">
        <f t="shared" si="80"/>
        <v>10473</v>
      </c>
      <c r="J78" s="28">
        <v>1855</v>
      </c>
      <c r="K78" s="28">
        <f>7028+375</f>
        <v>7403</v>
      </c>
      <c r="L78" s="28">
        <v>1215</v>
      </c>
      <c r="M78" s="29">
        <v>0</v>
      </c>
      <c r="N78" s="28">
        <f>I78-D78</f>
        <v>10473</v>
      </c>
      <c r="O78" s="28">
        <f t="shared" si="82"/>
        <v>1855</v>
      </c>
      <c r="P78" s="28">
        <f t="shared" si="83"/>
        <v>7403</v>
      </c>
      <c r="Q78" s="28">
        <f t="shared" si="84"/>
        <v>1215</v>
      </c>
      <c r="R78" s="30">
        <f t="shared" si="85"/>
        <v>0</v>
      </c>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row>
    <row r="79" spans="1:59" s="109" customFormat="1" x14ac:dyDescent="0.25">
      <c r="A79" s="18" t="s">
        <v>59</v>
      </c>
      <c r="B79" s="19" t="s">
        <v>58</v>
      </c>
      <c r="C79" s="20"/>
      <c r="D79" s="173">
        <f t="shared" ref="D79:M79" si="86">SUM(D80:D83)</f>
        <v>1472.25</v>
      </c>
      <c r="E79" s="174">
        <f t="shared" si="86"/>
        <v>159.75</v>
      </c>
      <c r="F79" s="174">
        <f t="shared" si="86"/>
        <v>993.75</v>
      </c>
      <c r="G79" s="174">
        <f t="shared" si="86"/>
        <v>318.75</v>
      </c>
      <c r="H79" s="175">
        <f t="shared" si="86"/>
        <v>0</v>
      </c>
      <c r="I79" s="173">
        <f t="shared" si="86"/>
        <v>4343.3335000000006</v>
      </c>
      <c r="J79" s="174">
        <f t="shared" si="86"/>
        <v>332.28150000000005</v>
      </c>
      <c r="K79" s="174">
        <f t="shared" si="86"/>
        <v>2935.5760000000005</v>
      </c>
      <c r="L79" s="174">
        <f t="shared" si="86"/>
        <v>1075.4760000000001</v>
      </c>
      <c r="M79" s="175">
        <f t="shared" si="86"/>
        <v>0</v>
      </c>
      <c r="N79" s="173">
        <f t="shared" ref="N79:N83" si="87">I79-D79</f>
        <v>2871.0835000000006</v>
      </c>
      <c r="O79" s="174">
        <f t="shared" ref="O79:O83" si="88">J79-E79</f>
        <v>172.53150000000005</v>
      </c>
      <c r="P79" s="174">
        <f t="shared" ref="P79:P83" si="89">K79-F79</f>
        <v>1941.8260000000005</v>
      </c>
      <c r="Q79" s="174">
        <f t="shared" ref="Q79:Q83" si="90">L79-G79</f>
        <v>756.72600000000011</v>
      </c>
      <c r="R79" s="83">
        <f t="shared" si="78"/>
        <v>0</v>
      </c>
    </row>
    <row r="80" spans="1:59" s="109" customFormat="1" x14ac:dyDescent="0.25">
      <c r="A80" s="41" t="s">
        <v>59</v>
      </c>
      <c r="B80" s="25" t="s">
        <v>9</v>
      </c>
      <c r="C80" s="26" t="s">
        <v>6</v>
      </c>
      <c r="D80" s="177">
        <f t="shared" ref="D80:D83" si="91">SUM(E80:G80)</f>
        <v>688.5</v>
      </c>
      <c r="E80" s="178">
        <v>107.25</v>
      </c>
      <c r="F80" s="178">
        <v>345.75</v>
      </c>
      <c r="G80" s="178">
        <v>235.5</v>
      </c>
      <c r="H80" s="179">
        <v>0</v>
      </c>
      <c r="I80" s="177">
        <f t="shared" ref="I80:I83" si="92">SUM(J80:L80)</f>
        <v>2216.9010000000003</v>
      </c>
      <c r="J80" s="178">
        <f>168*0.8455</f>
        <v>142.04400000000001</v>
      </c>
      <c r="K80" s="178">
        <f>1314*0.8455</f>
        <v>1110.9870000000001</v>
      </c>
      <c r="L80" s="178">
        <f>1140*0.8455</f>
        <v>963.87</v>
      </c>
      <c r="M80" s="179">
        <v>0</v>
      </c>
      <c r="N80" s="177">
        <f t="shared" si="87"/>
        <v>1528.4010000000003</v>
      </c>
      <c r="O80" s="178">
        <f t="shared" si="88"/>
        <v>34.794000000000011</v>
      </c>
      <c r="P80" s="178">
        <f t="shared" si="89"/>
        <v>765.23700000000008</v>
      </c>
      <c r="Q80" s="178">
        <f t="shared" si="90"/>
        <v>728.37</v>
      </c>
      <c r="R80" s="48">
        <f t="shared" si="78"/>
        <v>0</v>
      </c>
    </row>
    <row r="81" spans="1:59" s="109" customFormat="1" x14ac:dyDescent="0.25">
      <c r="A81" s="41" t="s">
        <v>59</v>
      </c>
      <c r="B81" s="25" t="s">
        <v>9</v>
      </c>
      <c r="C81" s="26" t="s">
        <v>8</v>
      </c>
      <c r="D81" s="177">
        <f t="shared" si="91"/>
        <v>573</v>
      </c>
      <c r="E81" s="178">
        <v>48.75</v>
      </c>
      <c r="F81" s="178">
        <v>524.25</v>
      </c>
      <c r="G81" s="178">
        <v>0</v>
      </c>
      <c r="H81" s="179">
        <v>0</v>
      </c>
      <c r="I81" s="177">
        <f t="shared" si="92"/>
        <v>1843.19</v>
      </c>
      <c r="J81" s="178">
        <f>218*0.8455</f>
        <v>184.31900000000002</v>
      </c>
      <c r="K81" s="178">
        <f>1962*0.8455</f>
        <v>1658.8710000000001</v>
      </c>
      <c r="L81" s="178">
        <v>0</v>
      </c>
      <c r="M81" s="179">
        <v>0</v>
      </c>
      <c r="N81" s="177">
        <f t="shared" si="87"/>
        <v>1270.19</v>
      </c>
      <c r="O81" s="178">
        <f t="shared" si="88"/>
        <v>135.56900000000002</v>
      </c>
      <c r="P81" s="178">
        <f t="shared" si="89"/>
        <v>1134.6210000000001</v>
      </c>
      <c r="Q81" s="178">
        <f t="shared" si="90"/>
        <v>0</v>
      </c>
      <c r="R81" s="48">
        <f t="shared" si="78"/>
        <v>0</v>
      </c>
    </row>
    <row r="82" spans="1:59" s="109" customFormat="1" x14ac:dyDescent="0.25">
      <c r="A82" s="41" t="s">
        <v>59</v>
      </c>
      <c r="B82" s="25" t="s">
        <v>7</v>
      </c>
      <c r="C82" s="26" t="s">
        <v>6</v>
      </c>
      <c r="D82" s="177">
        <f t="shared" si="91"/>
        <v>166.5</v>
      </c>
      <c r="E82" s="178">
        <v>0</v>
      </c>
      <c r="F82" s="178">
        <v>83.25</v>
      </c>
      <c r="G82" s="178">
        <v>83.25</v>
      </c>
      <c r="H82" s="179">
        <v>0</v>
      </c>
      <c r="I82" s="177">
        <f t="shared" si="92"/>
        <v>224.0575</v>
      </c>
      <c r="J82" s="178">
        <v>0</v>
      </c>
      <c r="K82" s="178">
        <f>133*0.8455</f>
        <v>112.45150000000001</v>
      </c>
      <c r="L82" s="178">
        <f>132*0.8455</f>
        <v>111.60600000000001</v>
      </c>
      <c r="M82" s="179">
        <v>0</v>
      </c>
      <c r="N82" s="177">
        <f t="shared" si="87"/>
        <v>57.557500000000005</v>
      </c>
      <c r="O82" s="178">
        <f t="shared" si="88"/>
        <v>0</v>
      </c>
      <c r="P82" s="178">
        <f t="shared" si="89"/>
        <v>29.20150000000001</v>
      </c>
      <c r="Q82" s="178">
        <f t="shared" si="90"/>
        <v>28.356000000000009</v>
      </c>
      <c r="R82" s="48"/>
    </row>
    <row r="83" spans="1:59" s="109" customFormat="1" ht="16.5" thickBot="1" x14ac:dyDescent="0.3">
      <c r="A83" s="44" t="s">
        <v>59</v>
      </c>
      <c r="B83" s="31" t="s">
        <v>7</v>
      </c>
      <c r="C83" s="32" t="s">
        <v>5</v>
      </c>
      <c r="D83" s="187">
        <f t="shared" si="91"/>
        <v>44.25</v>
      </c>
      <c r="E83" s="188">
        <v>3.75</v>
      </c>
      <c r="F83" s="188">
        <v>40.5</v>
      </c>
      <c r="G83" s="188">
        <v>0</v>
      </c>
      <c r="H83" s="189">
        <v>0</v>
      </c>
      <c r="I83" s="187">
        <f t="shared" si="92"/>
        <v>59.185000000000002</v>
      </c>
      <c r="J83" s="188">
        <f>7*0.8455</f>
        <v>5.9184999999999999</v>
      </c>
      <c r="K83" s="188">
        <f>63*0.8455</f>
        <v>53.266500000000001</v>
      </c>
      <c r="L83" s="188">
        <v>0</v>
      </c>
      <c r="M83" s="189">
        <v>0</v>
      </c>
      <c r="N83" s="187">
        <f t="shared" si="87"/>
        <v>14.935000000000002</v>
      </c>
      <c r="O83" s="188">
        <f t="shared" si="88"/>
        <v>2.1684999999999999</v>
      </c>
      <c r="P83" s="188">
        <f t="shared" si="89"/>
        <v>12.766500000000001</v>
      </c>
      <c r="Q83" s="188">
        <f t="shared" si="90"/>
        <v>0</v>
      </c>
      <c r="R83" s="49">
        <f t="shared" si="78"/>
        <v>0</v>
      </c>
    </row>
    <row r="84" spans="1:59" s="109" customFormat="1" x14ac:dyDescent="0.25">
      <c r="A84" s="18" t="s">
        <v>60</v>
      </c>
      <c r="B84" s="19" t="s">
        <v>70</v>
      </c>
      <c r="C84" s="20"/>
      <c r="D84" s="173">
        <f t="shared" ref="D84:M84" si="93">SUM(D85:D88)</f>
        <v>0</v>
      </c>
      <c r="E84" s="174">
        <f t="shared" si="93"/>
        <v>0</v>
      </c>
      <c r="F84" s="174">
        <f t="shared" si="93"/>
        <v>0</v>
      </c>
      <c r="G84" s="174">
        <f t="shared" si="93"/>
        <v>0</v>
      </c>
      <c r="H84" s="175">
        <f t="shared" si="93"/>
        <v>0</v>
      </c>
      <c r="I84" s="173">
        <f t="shared" si="93"/>
        <v>657</v>
      </c>
      <c r="J84" s="174">
        <f t="shared" si="93"/>
        <v>30</v>
      </c>
      <c r="K84" s="174">
        <f t="shared" si="93"/>
        <v>447</v>
      </c>
      <c r="L84" s="174">
        <f t="shared" si="93"/>
        <v>180</v>
      </c>
      <c r="M84" s="175">
        <f t="shared" si="93"/>
        <v>0</v>
      </c>
      <c r="N84" s="173">
        <f t="shared" ref="N84:N88" si="94">I84-D84</f>
        <v>657</v>
      </c>
      <c r="O84" s="174">
        <f t="shared" ref="O84:O88" si="95">J84-E84</f>
        <v>30</v>
      </c>
      <c r="P84" s="174">
        <f t="shared" ref="P84:P88" si="96">K84-F84</f>
        <v>447</v>
      </c>
      <c r="Q84" s="174">
        <f t="shared" ref="Q84:Q88" si="97">L84-G84</f>
        <v>180</v>
      </c>
      <c r="R84" s="83">
        <f t="shared" ref="R84:R87" si="98">M84-H84</f>
        <v>0</v>
      </c>
    </row>
    <row r="85" spans="1:59" s="109" customFormat="1" x14ac:dyDescent="0.25">
      <c r="A85" s="41" t="s">
        <v>60</v>
      </c>
      <c r="B85" s="25" t="s">
        <v>9</v>
      </c>
      <c r="C85" s="26" t="s">
        <v>6</v>
      </c>
      <c r="D85" s="177">
        <f t="shared" ref="D85:D88" si="99">SUM(E85:G85)</f>
        <v>0</v>
      </c>
      <c r="E85" s="178">
        <v>0</v>
      </c>
      <c r="F85" s="178">
        <v>0</v>
      </c>
      <c r="G85" s="178">
        <v>0</v>
      </c>
      <c r="H85" s="179">
        <v>0</v>
      </c>
      <c r="I85" s="177">
        <f t="shared" ref="I85:I88" si="100">SUM(J85:L85)</f>
        <v>353.25</v>
      </c>
      <c r="J85" s="178">
        <v>0</v>
      </c>
      <c r="K85" s="178">
        <f>236*0.75</f>
        <v>177</v>
      </c>
      <c r="L85" s="178">
        <f>235*0.75</f>
        <v>176.25</v>
      </c>
      <c r="M85" s="179">
        <v>0</v>
      </c>
      <c r="N85" s="177">
        <f t="shared" si="94"/>
        <v>353.25</v>
      </c>
      <c r="O85" s="178">
        <f t="shared" si="95"/>
        <v>0</v>
      </c>
      <c r="P85" s="178">
        <f t="shared" si="96"/>
        <v>177</v>
      </c>
      <c r="Q85" s="178">
        <f t="shared" si="97"/>
        <v>176.25</v>
      </c>
      <c r="R85" s="48">
        <f t="shared" si="98"/>
        <v>0</v>
      </c>
    </row>
    <row r="86" spans="1:59" s="109" customFormat="1" x14ac:dyDescent="0.25">
      <c r="A86" s="41" t="s">
        <v>60</v>
      </c>
      <c r="B86" s="25" t="s">
        <v>9</v>
      </c>
      <c r="C86" s="26" t="s">
        <v>8</v>
      </c>
      <c r="D86" s="177">
        <f t="shared" si="99"/>
        <v>0</v>
      </c>
      <c r="E86" s="178">
        <v>0</v>
      </c>
      <c r="F86" s="178">
        <v>0</v>
      </c>
      <c r="G86" s="178">
        <v>0</v>
      </c>
      <c r="H86" s="179">
        <v>0</v>
      </c>
      <c r="I86" s="177">
        <f t="shared" si="100"/>
        <v>293.25</v>
      </c>
      <c r="J86" s="178">
        <f>39*0.75</f>
        <v>29.25</v>
      </c>
      <c r="K86" s="178">
        <f>352*0.75</f>
        <v>264</v>
      </c>
      <c r="L86" s="178">
        <v>0</v>
      </c>
      <c r="M86" s="179">
        <v>0</v>
      </c>
      <c r="N86" s="177">
        <f t="shared" si="94"/>
        <v>293.25</v>
      </c>
      <c r="O86" s="178">
        <f t="shared" si="95"/>
        <v>29.25</v>
      </c>
      <c r="P86" s="178">
        <f t="shared" si="96"/>
        <v>264</v>
      </c>
      <c r="Q86" s="178">
        <f t="shared" si="97"/>
        <v>0</v>
      </c>
      <c r="R86" s="48">
        <f t="shared" si="98"/>
        <v>0</v>
      </c>
    </row>
    <row r="87" spans="1:59" s="109" customFormat="1" x14ac:dyDescent="0.25">
      <c r="A87" s="41" t="s">
        <v>60</v>
      </c>
      <c r="B87" s="25" t="s">
        <v>7</v>
      </c>
      <c r="C87" s="26" t="s">
        <v>6</v>
      </c>
      <c r="D87" s="177">
        <f t="shared" si="99"/>
        <v>0</v>
      </c>
      <c r="E87" s="178">
        <v>0</v>
      </c>
      <c r="F87" s="178">
        <v>0</v>
      </c>
      <c r="G87" s="178">
        <v>0</v>
      </c>
      <c r="H87" s="179">
        <v>0</v>
      </c>
      <c r="I87" s="177">
        <f t="shared" si="100"/>
        <v>7.5</v>
      </c>
      <c r="J87" s="178">
        <v>0</v>
      </c>
      <c r="K87" s="178">
        <v>3.75</v>
      </c>
      <c r="L87" s="178">
        <v>3.75</v>
      </c>
      <c r="M87" s="179">
        <v>0</v>
      </c>
      <c r="N87" s="177">
        <f t="shared" si="94"/>
        <v>7.5</v>
      </c>
      <c r="O87" s="178">
        <f t="shared" si="95"/>
        <v>0</v>
      </c>
      <c r="P87" s="178">
        <f t="shared" si="96"/>
        <v>3.75</v>
      </c>
      <c r="Q87" s="178">
        <f t="shared" si="97"/>
        <v>3.75</v>
      </c>
      <c r="R87" s="48">
        <f t="shared" si="98"/>
        <v>0</v>
      </c>
    </row>
    <row r="88" spans="1:59" s="109" customFormat="1" ht="16.5" thickBot="1" x14ac:dyDescent="0.3">
      <c r="A88" s="44" t="s">
        <v>60</v>
      </c>
      <c r="B88" s="31" t="s">
        <v>7</v>
      </c>
      <c r="C88" s="32" t="s">
        <v>5</v>
      </c>
      <c r="D88" s="187">
        <f t="shared" si="99"/>
        <v>0</v>
      </c>
      <c r="E88" s="188">
        <v>0</v>
      </c>
      <c r="F88" s="188">
        <v>0</v>
      </c>
      <c r="G88" s="188">
        <v>0</v>
      </c>
      <c r="H88" s="189">
        <v>0</v>
      </c>
      <c r="I88" s="187">
        <f t="shared" si="100"/>
        <v>3</v>
      </c>
      <c r="J88" s="188">
        <f>1*0.75</f>
        <v>0.75</v>
      </c>
      <c r="K88" s="188">
        <f>3*0.75</f>
        <v>2.25</v>
      </c>
      <c r="L88" s="188">
        <v>0</v>
      </c>
      <c r="M88" s="189">
        <v>0</v>
      </c>
      <c r="N88" s="187">
        <f t="shared" si="94"/>
        <v>3</v>
      </c>
      <c r="O88" s="188">
        <f t="shared" si="95"/>
        <v>0.75</v>
      </c>
      <c r="P88" s="188">
        <f t="shared" si="96"/>
        <v>2.25</v>
      </c>
      <c r="Q88" s="188">
        <f t="shared" si="97"/>
        <v>0</v>
      </c>
      <c r="R88" s="49">
        <f t="shared" ref="R88" si="101">M88-H88</f>
        <v>0</v>
      </c>
    </row>
    <row r="89" spans="1:59" s="10" customFormat="1" ht="16.5" thickBot="1" x14ac:dyDescent="0.3">
      <c r="A89" s="18" t="s">
        <v>62</v>
      </c>
      <c r="B89" s="19" t="s">
        <v>34</v>
      </c>
      <c r="C89" s="20"/>
      <c r="D89" s="21">
        <f>SUM(E89:G89)</f>
        <v>-222</v>
      </c>
      <c r="E89" s="22">
        <v>0</v>
      </c>
      <c r="F89" s="22">
        <v>-137</v>
      </c>
      <c r="G89" s="22">
        <v>-85</v>
      </c>
      <c r="H89" s="46">
        <v>0</v>
      </c>
      <c r="I89" s="21">
        <f>SUM(J89:L89)</f>
        <v>0</v>
      </c>
      <c r="J89" s="22">
        <v>0</v>
      </c>
      <c r="K89" s="22">
        <v>0</v>
      </c>
      <c r="L89" s="22">
        <v>0</v>
      </c>
      <c r="M89" s="47">
        <v>0</v>
      </c>
      <c r="N89" s="21">
        <f t="shared" si="74"/>
        <v>222</v>
      </c>
      <c r="O89" s="22">
        <f t="shared" si="75"/>
        <v>0</v>
      </c>
      <c r="P89" s="22">
        <f t="shared" si="76"/>
        <v>137</v>
      </c>
      <c r="Q89" s="22">
        <f t="shared" si="77"/>
        <v>85</v>
      </c>
      <c r="R89" s="83">
        <f t="shared" si="78"/>
        <v>0</v>
      </c>
    </row>
    <row r="90" spans="1:59" s="10" customFormat="1" ht="16.5" thickBot="1" x14ac:dyDescent="0.3">
      <c r="A90" s="18" t="s">
        <v>63</v>
      </c>
      <c r="B90" s="19" t="s">
        <v>14</v>
      </c>
      <c r="C90" s="20"/>
      <c r="D90" s="21">
        <f>SUM(E90:G90)</f>
        <v>77746</v>
      </c>
      <c r="E90" s="22">
        <v>1295</v>
      </c>
      <c r="F90" s="22">
        <v>38872</v>
      </c>
      <c r="G90" s="22">
        <v>37579</v>
      </c>
      <c r="H90" s="46">
        <v>0</v>
      </c>
      <c r="I90" s="21">
        <f>SUM(J90:L90)</f>
        <v>50658</v>
      </c>
      <c r="J90" s="22">
        <v>1114</v>
      </c>
      <c r="K90" s="22">
        <v>25327</v>
      </c>
      <c r="L90" s="22">
        <v>24217</v>
      </c>
      <c r="M90" s="47">
        <v>0</v>
      </c>
      <c r="N90" s="21">
        <f t="shared" si="74"/>
        <v>-27088</v>
      </c>
      <c r="O90" s="22">
        <f t="shared" si="75"/>
        <v>-181</v>
      </c>
      <c r="P90" s="22">
        <f t="shared" si="76"/>
        <v>-13545</v>
      </c>
      <c r="Q90" s="22">
        <f t="shared" si="77"/>
        <v>-13362</v>
      </c>
      <c r="R90" s="83">
        <f t="shared" si="78"/>
        <v>0</v>
      </c>
    </row>
    <row r="91" spans="1:59" s="56" customFormat="1" ht="16.5" thickBot="1" x14ac:dyDescent="0.3">
      <c r="A91" s="57" t="s">
        <v>64</v>
      </c>
      <c r="B91" s="50" t="s">
        <v>4</v>
      </c>
      <c r="C91" s="147"/>
      <c r="D91" s="51">
        <f>SUM(E91:H91)</f>
        <v>5957</v>
      </c>
      <c r="E91" s="52">
        <v>0</v>
      </c>
      <c r="F91" s="52">
        <v>4096</v>
      </c>
      <c r="G91" s="52">
        <v>1861</v>
      </c>
      <c r="H91" s="53">
        <v>0</v>
      </c>
      <c r="I91" s="51">
        <f>SUM(J91:M91)</f>
        <v>4379</v>
      </c>
      <c r="J91" s="52">
        <v>0</v>
      </c>
      <c r="K91" s="52">
        <v>3011</v>
      </c>
      <c r="L91" s="52">
        <v>1368</v>
      </c>
      <c r="M91" s="53">
        <v>0</v>
      </c>
      <c r="N91" s="51">
        <f t="shared" si="74"/>
        <v>-1578</v>
      </c>
      <c r="O91" s="52">
        <f t="shared" si="75"/>
        <v>0</v>
      </c>
      <c r="P91" s="52">
        <f t="shared" si="76"/>
        <v>-1085</v>
      </c>
      <c r="Q91" s="52">
        <f t="shared" si="77"/>
        <v>-493</v>
      </c>
      <c r="R91" s="54">
        <f t="shared" si="78"/>
        <v>0</v>
      </c>
      <c r="S91" s="55"/>
      <c r="T91" s="55"/>
      <c r="U91" s="55"/>
      <c r="V91" s="55"/>
      <c r="W91" s="55"/>
      <c r="X91" s="55"/>
      <c r="Y91" s="55"/>
      <c r="Z91" s="55"/>
      <c r="AA91" s="55"/>
      <c r="AB91" s="55"/>
      <c r="AC91" s="55"/>
      <c r="AD91" s="55"/>
      <c r="AE91" s="55"/>
      <c r="AF91" s="55"/>
      <c r="AG91" s="55"/>
      <c r="AH91" s="55"/>
      <c r="AI91" s="55"/>
      <c r="AJ91" s="55"/>
      <c r="AK91" s="55"/>
      <c r="AL91" s="55"/>
      <c r="AM91" s="55"/>
      <c r="AN91" s="55"/>
      <c r="AO91" s="55"/>
      <c r="AP91" s="55"/>
      <c r="AQ91" s="55"/>
      <c r="AR91" s="55"/>
      <c r="AS91" s="55"/>
      <c r="AT91" s="55"/>
      <c r="AU91" s="55"/>
      <c r="AV91" s="55"/>
      <c r="AW91" s="55"/>
      <c r="AX91" s="55"/>
      <c r="AY91" s="55"/>
      <c r="AZ91" s="55"/>
      <c r="BA91" s="55"/>
      <c r="BB91" s="55"/>
      <c r="BC91" s="55"/>
      <c r="BD91" s="55"/>
      <c r="BE91" s="55"/>
      <c r="BF91" s="55"/>
      <c r="BG91" s="55"/>
    </row>
    <row r="92" spans="1:59" s="108" customFormat="1" ht="15" customHeight="1" thickBot="1" x14ac:dyDescent="0.3">
      <c r="A92" s="190"/>
      <c r="B92" s="191"/>
      <c r="C92" s="106" t="s">
        <v>13</v>
      </c>
      <c r="D92" s="51">
        <f>D54+D59+D64+D69+D72+D79+D84+D89+D90+D91</f>
        <v>561255.25</v>
      </c>
      <c r="E92" s="52">
        <f t="shared" ref="E92:H92" si="102">E54+E59+E64+E69+E72+E79+E84+E89+E90+E91</f>
        <v>57731.75</v>
      </c>
      <c r="F92" s="52">
        <f t="shared" si="102"/>
        <v>401934.75</v>
      </c>
      <c r="G92" s="52">
        <f t="shared" si="102"/>
        <v>101588.75</v>
      </c>
      <c r="H92" s="134">
        <f t="shared" si="102"/>
        <v>3632</v>
      </c>
      <c r="I92" s="51">
        <f>I54+I59+I64+I69+I72+I79+I84+I89+I90+I91</f>
        <v>597909.33349999995</v>
      </c>
      <c r="J92" s="52">
        <f t="shared" ref="J92" si="103">J54+J59+J64+J69+J72+J79+J84+J89+J90+J91</f>
        <v>66760.281499999997</v>
      </c>
      <c r="K92" s="52">
        <f t="shared" ref="K92" si="104">K54+K59+K64+K69+K72+K79+K84+K89+K90+K91</f>
        <v>430630.576</v>
      </c>
      <c r="L92" s="52">
        <f t="shared" ref="L92" si="105">L54+L59+L64+L69+L72+L79+L84+L89+L90+L91</f>
        <v>100518.476</v>
      </c>
      <c r="M92" s="134">
        <f t="shared" ref="M92" si="106">M54+M59+M64+M69+M72+M79+M84+M89+M90+M91</f>
        <v>5352</v>
      </c>
      <c r="N92" s="51">
        <f t="shared" si="54"/>
        <v>36654.08349999995</v>
      </c>
      <c r="O92" s="52">
        <f>J92-E92</f>
        <v>9028.5314999999973</v>
      </c>
      <c r="P92" s="52">
        <f t="shared" si="56"/>
        <v>28695.826000000001</v>
      </c>
      <c r="Q92" s="52">
        <f t="shared" si="57"/>
        <v>-1070.2740000000049</v>
      </c>
      <c r="R92" s="89">
        <f t="shared" si="58"/>
        <v>1720</v>
      </c>
      <c r="S92" s="107"/>
      <c r="T92" s="107"/>
      <c r="U92" s="107"/>
      <c r="V92" s="107"/>
      <c r="W92" s="107"/>
      <c r="X92" s="107"/>
      <c r="Y92" s="107"/>
      <c r="Z92" s="107"/>
      <c r="AA92" s="107"/>
      <c r="AB92" s="107"/>
      <c r="AC92" s="107"/>
      <c r="AD92" s="107"/>
      <c r="AE92" s="107"/>
      <c r="AF92" s="107"/>
      <c r="AG92" s="107"/>
      <c r="AH92" s="107"/>
      <c r="AI92" s="107"/>
      <c r="AJ92" s="107"/>
      <c r="AK92" s="107"/>
      <c r="AL92" s="107"/>
      <c r="AM92" s="107"/>
      <c r="AN92" s="107"/>
      <c r="AO92" s="107"/>
      <c r="AP92" s="107"/>
      <c r="AQ92" s="107"/>
      <c r="AR92" s="107"/>
      <c r="AS92" s="107"/>
      <c r="AT92" s="107"/>
      <c r="AU92" s="107"/>
      <c r="AV92" s="107"/>
      <c r="AW92" s="107"/>
      <c r="AX92" s="107"/>
      <c r="AY92" s="107"/>
      <c r="AZ92" s="107"/>
      <c r="BA92" s="107"/>
      <c r="BB92" s="107"/>
      <c r="BC92" s="107"/>
      <c r="BD92" s="107"/>
      <c r="BE92" s="107"/>
      <c r="BF92" s="107"/>
      <c r="BG92" s="107"/>
    </row>
    <row r="93" spans="1:59" s="58" customFormat="1" ht="15" customHeight="1" x14ac:dyDescent="0.25">
      <c r="A93" s="192"/>
      <c r="B93" s="84"/>
      <c r="C93" s="66" t="s">
        <v>3</v>
      </c>
      <c r="D93" s="63">
        <f>D55+D56+D60+D61+D65+D66+D73+D74+D80+D81+D85+D86</f>
        <v>472807.5</v>
      </c>
      <c r="E93" s="64">
        <f t="shared" ref="E93:H93" si="107">E55+E56+E60+E61+E65+E66+E73+E74+E80+E81+E85+E86</f>
        <v>56295</v>
      </c>
      <c r="F93" s="64">
        <f t="shared" si="107"/>
        <v>355436</v>
      </c>
      <c r="G93" s="64">
        <f t="shared" si="107"/>
        <v>61076.5</v>
      </c>
      <c r="H93" s="135">
        <f t="shared" si="107"/>
        <v>3571</v>
      </c>
      <c r="I93" s="63">
        <f>I55+I56+I60+I61+I65+I66+I73+I74+I80+I81+I85+I86</f>
        <v>526851.5909999999</v>
      </c>
      <c r="J93" s="64">
        <f t="shared" ref="J93:M93" si="108">J55+J56+J60+J61+J65+J66+J73+J74+J80+J81+J85+J86</f>
        <v>63474.613000000005</v>
      </c>
      <c r="K93" s="64">
        <f t="shared" si="108"/>
        <v>390847.85800000001</v>
      </c>
      <c r="L93" s="64">
        <f t="shared" si="108"/>
        <v>72529.119999999995</v>
      </c>
      <c r="M93" s="135">
        <f t="shared" si="108"/>
        <v>5284</v>
      </c>
      <c r="N93" s="67">
        <f t="shared" si="54"/>
        <v>54044.090999999898</v>
      </c>
      <c r="O93" s="28">
        <f t="shared" si="55"/>
        <v>7179.6130000000048</v>
      </c>
      <c r="P93" s="68">
        <f t="shared" si="56"/>
        <v>35411.858000000007</v>
      </c>
      <c r="Q93" s="68">
        <f t="shared" si="57"/>
        <v>11452.619999999995</v>
      </c>
      <c r="R93" s="81">
        <f t="shared" si="58"/>
        <v>1713</v>
      </c>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row>
    <row r="94" spans="1:59" s="65" customFormat="1" ht="15" customHeight="1" x14ac:dyDescent="0.25">
      <c r="A94" s="77"/>
      <c r="B94" s="69"/>
      <c r="C94" s="66" t="s">
        <v>2</v>
      </c>
      <c r="D94" s="67">
        <f>D57+D58+D62+D63+D67+D68+D70+D71+D75+D76+D82+D83+D87+D88</f>
        <v>4966.75</v>
      </c>
      <c r="E94" s="68">
        <f t="shared" ref="E94:H94" si="109">E57+E58+E62+E63+E67+E68+E70+E71+E75+E76+E82+E83+E87+E88</f>
        <v>242.75</v>
      </c>
      <c r="F94" s="68">
        <f t="shared" si="109"/>
        <v>3667.75</v>
      </c>
      <c r="G94" s="68">
        <f t="shared" si="109"/>
        <v>1056.25</v>
      </c>
      <c r="H94" s="136">
        <f t="shared" si="109"/>
        <v>61</v>
      </c>
      <c r="I94" s="67">
        <f>I57+I58+I62+I63+I67+I68+I70+I71+I75+I76+I82+I83+I87+I88</f>
        <v>5547.7425000000003</v>
      </c>
      <c r="J94" s="68">
        <f t="shared" ref="J94:M94" si="110">J57+J58+J62+J63+J67+J68+J70+J71+J75+J76+J82+J83+J87+J88</f>
        <v>316.66849999999999</v>
      </c>
      <c r="K94" s="68">
        <f t="shared" si="110"/>
        <v>4041.7180000000003</v>
      </c>
      <c r="L94" s="68">
        <f t="shared" si="110"/>
        <v>1189.356</v>
      </c>
      <c r="M94" s="136">
        <f t="shared" si="110"/>
        <v>68</v>
      </c>
      <c r="N94" s="67">
        <f t="shared" si="54"/>
        <v>580.99250000000029</v>
      </c>
      <c r="O94" s="28">
        <f t="shared" si="55"/>
        <v>73.918499999999995</v>
      </c>
      <c r="P94" s="68">
        <f t="shared" si="56"/>
        <v>373.9680000000003</v>
      </c>
      <c r="Q94" s="68">
        <f t="shared" si="57"/>
        <v>133.10599999999999</v>
      </c>
      <c r="R94" s="81">
        <f t="shared" si="58"/>
        <v>7</v>
      </c>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row>
    <row r="95" spans="1:59" s="69" customFormat="1" ht="15" customHeight="1" thickBot="1" x14ac:dyDescent="0.3">
      <c r="A95" s="80"/>
      <c r="B95" s="193"/>
      <c r="C95" s="85" t="s">
        <v>1</v>
      </c>
      <c r="D95" s="33">
        <f>D77+D89+D90+D91</f>
        <v>83481</v>
      </c>
      <c r="E95" s="34">
        <f t="shared" ref="E95:H95" si="111">E77+E89+E90+E91</f>
        <v>1194</v>
      </c>
      <c r="F95" s="34">
        <f t="shared" si="111"/>
        <v>42831</v>
      </c>
      <c r="G95" s="34">
        <f t="shared" si="111"/>
        <v>39456</v>
      </c>
      <c r="H95" s="137">
        <f t="shared" si="111"/>
        <v>0</v>
      </c>
      <c r="I95" s="33">
        <f>I77+I78+I89+I90+I91</f>
        <v>65510</v>
      </c>
      <c r="J95" s="34">
        <f>J77+J78+J89+J90+J91</f>
        <v>2969</v>
      </c>
      <c r="K95" s="34">
        <f>K77+K78+K89+K90+K91</f>
        <v>35741</v>
      </c>
      <c r="L95" s="34">
        <f>L77+L78+L89+L90+L91</f>
        <v>26800</v>
      </c>
      <c r="M95" s="137">
        <f t="shared" ref="M95" si="112">M77+M89+M90+M91</f>
        <v>0</v>
      </c>
      <c r="N95" s="86">
        <f t="shared" si="54"/>
        <v>-17971</v>
      </c>
      <c r="O95" s="34">
        <f t="shared" si="55"/>
        <v>1775</v>
      </c>
      <c r="P95" s="87">
        <f t="shared" si="56"/>
        <v>-7090</v>
      </c>
      <c r="Q95" s="87">
        <f t="shared" si="57"/>
        <v>-12656</v>
      </c>
      <c r="R95" s="82">
        <f t="shared" si="58"/>
        <v>0</v>
      </c>
    </row>
    <row r="96" spans="1:59" x14ac:dyDescent="0.25">
      <c r="A96" s="88" t="s">
        <v>0</v>
      </c>
      <c r="B96" s="5"/>
      <c r="C96" s="90"/>
      <c r="D96" s="8"/>
      <c r="E96" s="8"/>
      <c r="F96" s="8"/>
      <c r="G96" s="8"/>
      <c r="H96" s="90"/>
      <c r="I96" s="8"/>
      <c r="J96" s="8"/>
      <c r="K96" s="8"/>
      <c r="L96" s="8"/>
      <c r="M96" s="8"/>
      <c r="N96" s="6"/>
      <c r="O96" s="8"/>
      <c r="P96" s="8"/>
      <c r="Q96" s="8"/>
      <c r="R96" s="8"/>
    </row>
    <row r="97" spans="1:18" ht="15" customHeight="1" x14ac:dyDescent="0.25">
      <c r="A97" s="194" t="s">
        <v>32</v>
      </c>
      <c r="B97" s="195"/>
      <c r="C97" s="204"/>
      <c r="D97" s="204"/>
      <c r="E97" s="204"/>
      <c r="F97" s="204"/>
      <c r="G97" s="205"/>
      <c r="H97" s="204"/>
      <c r="I97" s="204"/>
      <c r="J97" s="204"/>
      <c r="K97" s="204"/>
      <c r="L97" s="205"/>
      <c r="M97" s="204"/>
      <c r="N97" s="204"/>
      <c r="O97" s="204"/>
      <c r="P97" s="204"/>
      <c r="Q97" s="206"/>
      <c r="R97" s="91"/>
    </row>
    <row r="98" spans="1:18" ht="15.6" customHeight="1" x14ac:dyDescent="0.25">
      <c r="A98" s="208" t="s">
        <v>37</v>
      </c>
      <c r="B98" s="208"/>
      <c r="C98" s="208"/>
      <c r="D98" s="208"/>
      <c r="E98" s="208"/>
      <c r="F98" s="208"/>
      <c r="G98" s="208"/>
      <c r="H98" s="208"/>
      <c r="I98" s="208"/>
      <c r="J98" s="208"/>
      <c r="K98" s="208"/>
      <c r="L98" s="208"/>
      <c r="M98" s="208"/>
      <c r="N98" s="208"/>
      <c r="O98" s="208"/>
      <c r="P98" s="208"/>
      <c r="Q98" s="208"/>
      <c r="R98" s="7"/>
    </row>
    <row r="99" spans="1:18" ht="15.6" customHeight="1" x14ac:dyDescent="0.25">
      <c r="A99" s="155" t="s">
        <v>71</v>
      </c>
      <c r="B99" s="156"/>
      <c r="C99" s="156"/>
      <c r="D99" s="156"/>
      <c r="E99" s="156"/>
      <c r="F99" s="156"/>
      <c r="G99" s="156"/>
      <c r="H99" s="156"/>
      <c r="I99" s="156"/>
      <c r="J99" s="156"/>
      <c r="K99" s="156"/>
      <c r="L99" s="156"/>
      <c r="M99" s="156"/>
      <c r="N99" s="156"/>
      <c r="O99" s="156"/>
      <c r="P99" s="156"/>
      <c r="Q99" s="207"/>
      <c r="R99" s="7"/>
    </row>
    <row r="100" spans="1:18" hidden="1" x14ac:dyDescent="0.25">
      <c r="A100" s="196"/>
      <c r="B100" s="197"/>
      <c r="C100" s="197"/>
      <c r="D100" s="198"/>
      <c r="E100" s="198"/>
      <c r="F100" s="198"/>
      <c r="G100" s="198"/>
      <c r="H100" s="197"/>
      <c r="I100" s="198"/>
      <c r="J100" s="198"/>
      <c r="K100" s="198"/>
      <c r="L100" s="198"/>
      <c r="M100" s="197"/>
      <c r="N100" s="198"/>
      <c r="O100" s="198"/>
      <c r="P100" s="198"/>
      <c r="Q100" s="198"/>
      <c r="R100" s="199"/>
    </row>
    <row r="101" spans="1:18" hidden="1" x14ac:dyDescent="0.25">
      <c r="A101" s="196"/>
      <c r="B101" s="197"/>
      <c r="C101" s="197"/>
      <c r="D101" s="198"/>
      <c r="E101" s="198"/>
      <c r="F101" s="198"/>
      <c r="G101" s="198"/>
      <c r="H101" s="197"/>
      <c r="I101" s="198"/>
      <c r="J101" s="198"/>
      <c r="K101" s="198"/>
      <c r="L101" s="198"/>
      <c r="M101" s="197"/>
      <c r="N101" s="198"/>
      <c r="O101" s="198"/>
      <c r="P101" s="198"/>
      <c r="Q101" s="198"/>
      <c r="R101" s="199"/>
    </row>
    <row r="102" spans="1:18" ht="18" hidden="1" customHeight="1" x14ac:dyDescent="0.25">
      <c r="A102" s="196"/>
      <c r="B102" s="197"/>
      <c r="C102" s="197"/>
      <c r="D102" s="198"/>
      <c r="E102" s="198"/>
      <c r="F102" s="198"/>
      <c r="G102" s="198"/>
      <c r="H102" s="197"/>
      <c r="I102" s="198"/>
      <c r="J102" s="198"/>
      <c r="K102" s="198"/>
      <c r="L102" s="198"/>
      <c r="M102" s="197"/>
      <c r="N102" s="198"/>
      <c r="O102" s="198"/>
      <c r="P102" s="198"/>
      <c r="Q102" s="198"/>
      <c r="R102" s="199"/>
    </row>
    <row r="103" spans="1:18" hidden="1" x14ac:dyDescent="0.25"/>
    <row r="104" spans="1:18" hidden="1" x14ac:dyDescent="0.25"/>
    <row r="105" spans="1:18" hidden="1" x14ac:dyDescent="0.25"/>
    <row r="106" spans="1:18" hidden="1" x14ac:dyDescent="0.25"/>
    <row r="107" spans="1:18" hidden="1" x14ac:dyDescent="0.25"/>
    <row r="108" spans="1:18" hidden="1" x14ac:dyDescent="0.25"/>
    <row r="109" spans="1:18" hidden="1" x14ac:dyDescent="0.25"/>
    <row r="110" spans="1:18" hidden="1" x14ac:dyDescent="0.25"/>
    <row r="111" spans="1:18" hidden="1" x14ac:dyDescent="0.25"/>
    <row r="112" spans="1:18"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sheetData>
  <sheetProtection sheet="1" objects="1" scenarios="1"/>
  <mergeCells count="2">
    <mergeCell ref="A47:Q47"/>
    <mergeCell ref="A98:Q98"/>
  </mergeCells>
  <printOptions horizontalCentered="1"/>
  <pageMargins left="0.25" right="0.25" top="0.75" bottom="0.75" header="0.3" footer="0.3"/>
  <pageSetup paperSize="5" scale="53" fitToHeight="0" orientation="landscape" r:id="rId1"/>
  <headerFooter>
    <oddHeader>&amp;LCalifornia Department of Health Care Services&amp;RNovember 2019 Medi-Cal Estimate</oddHeader>
  </headerFooter>
  <rowBreaks count="1" manualBreakCount="1">
    <brk id="49" max="17" man="1"/>
  </rowBreaks>
  <ignoredErrors>
    <ignoredError sqref="D54:R54 N95:R95 E59:R59 N89:R89 I55:I58 N55:R58 E64:R64 I60:I63 N60:R63 I65:I68 N65:R68 R79 R80 R83 I90 N90:R90 D91 I91 N91:R91 N93:R93 N94:R94 N92 P92:R92" unlockedFormula="1"/>
    <ignoredError sqref="D55:D58 D90" formulaRange="1" unlockedFormula="1"/>
    <ignoredError sqref="D59:D68" formula="1" formulaRange="1" unlockedFormula="1"/>
  </ignoredError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1B43DC49D766EB429F723F991A892D93" ma:contentTypeVersion="36" ma:contentTypeDescription="This is the Custom Document Type for use by DHCS" ma:contentTypeScope="" ma:versionID="d46bd907f74ad7b2999e3456de24c264">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DHCSDOC-376834418-582</_dlc_DocId>
    <TAGBusPart xmlns="69bc34b3-1921-46c7-8c7a-d18363374b4b" xsi:nil="true"/>
    <Publication_x0020_Type xmlns="69bc34b3-1921-46c7-8c7a-d18363374b4b">50</Publication_x0020_Type>
    <Topics xmlns="69bc34b3-1921-46c7-8c7a-d18363374b4b" xsi:nil="true"/>
    <PublishingContactName xmlns="http://schemas.microsoft.com/sharepoint/v3">Fiscal Forecasting Division</PublishingContactName>
    <_dlc_DocIdUrl xmlns="69bc34b3-1921-46c7-8c7a-d18363374b4b">
      <Url>https://dhcscagovauthoring/dataandstats/reports/_layouts/15/DocIdRedir.aspx?ID=DHCSDOC-376834418-582</Url>
      <Description>DHCSDOC-376834418-582</Description>
    </_dlc_DocIdUrl>
    <TAGAge xmlns="69bc34b3-1921-46c7-8c7a-d18363374b4b" xsi:nil="true"/>
    <Reading_x0020_Level xmlns="c1c1dc04-eeda-4b6e-b2df-40979f5da1d3">7</Reading_x0020_Level>
    <TaxCatchAll xmlns="69bc34b3-1921-46c7-8c7a-d18363374b4b">
      <Value>13</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Administration</TermName>
          <TermId xmlns="http://schemas.microsoft.com/office/infopath/2007/PartnerControls">30ff1680-44ae-4332-9c6a-746dcc9ef5b3</TermId>
        </TermInfo>
      </Terms>
    </o68eaf9243684232b2418c37bbb152dc>
  </documentManagement>
</p:properties>
</file>

<file path=customXml/itemProps1.xml><?xml version="1.0" encoding="utf-8"?>
<ds:datastoreItem xmlns:ds="http://schemas.openxmlformats.org/officeDocument/2006/customXml" ds:itemID="{66432EC2-1C41-481B-A49B-201FED09F30C}"/>
</file>

<file path=customXml/itemProps2.xml><?xml version="1.0" encoding="utf-8"?>
<ds:datastoreItem xmlns:ds="http://schemas.openxmlformats.org/officeDocument/2006/customXml" ds:itemID="{A702F973-BF4E-4CA7-893A-4D6C8B1ABDE5}">
  <ds:schemaRefs>
    <ds:schemaRef ds:uri="http://schemas.microsoft.com/sharepoint/events"/>
  </ds:schemaRefs>
</ds:datastoreItem>
</file>

<file path=customXml/itemProps3.xml><?xml version="1.0" encoding="utf-8"?>
<ds:datastoreItem xmlns:ds="http://schemas.openxmlformats.org/officeDocument/2006/customXml" ds:itemID="{49DD7594-648D-4D6C-9F1D-34BC532BB2F2}">
  <ds:schemaRefs>
    <ds:schemaRef ds:uri="http://schemas.microsoft.com/sharepoint/v3/contenttype/forms"/>
  </ds:schemaRefs>
</ds:datastoreItem>
</file>

<file path=customXml/itemProps4.xml><?xml version="1.0" encoding="utf-8"?>
<ds:datastoreItem xmlns:ds="http://schemas.openxmlformats.org/officeDocument/2006/customXml" ds:itemID="{B4EAF20B-8F39-4307-A3CA-E93375824B26}">
  <ds:schemaRefs>
    <ds:schemaRef ds:uri="http://schemas.microsoft.com/office/2006/metadata/properties"/>
    <ds:schemaRef ds:uri="69bc34b3-1921-46c7-8c7a-d18363374b4b"/>
    <ds:schemaRef ds:uri="http://schemas.microsoft.com/sharepoint/v3"/>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c1c1dc04-eeda-4b6e-b2df-40979f5da1d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Supplemental Chart 2</vt:lpstr>
      <vt:lpstr>'Supplemental Chart 2'!Print_Area</vt:lpstr>
      <vt:lpstr>'Supplemental Chart 2'!Print_Titles</vt:lpstr>
      <vt:lpstr>TitleRegion1.a6.r43.1</vt:lpstr>
      <vt:lpstr>TitleRegion2.a53.90.1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November 2019 Medi-Cal Supplemental Chart</dc:title>
  <dc:creator>J. Singh</dc:creator>
  <cp:keywords/>
  <cp:lastModifiedBy>Poveda, Kevin (OC)@DHCS</cp:lastModifiedBy>
  <cp:lastPrinted>2019-12-26T23:43:53Z</cp:lastPrinted>
  <dcterms:created xsi:type="dcterms:W3CDTF">2019-08-09T18:02:06Z</dcterms:created>
  <dcterms:modified xsi:type="dcterms:W3CDTF">2020-01-10T18:22:29Z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0x010100EEE380F46F125946A8B4C4C90D9FFCDC001B43DC49D766EB429F723F991A892D93</vt:lpwstr>
  </property>
  <property fmtid="{D5CDD505-2E9C-101B-9397-08002B2CF9AE}" pid="3" name="_dlc_DocIdItemGuid">
    <vt:lpwstr>ed84f827-5f2a-42a6-8585-c3ba02bae565</vt:lpwstr>
  </property>
  <property fmtid="{D5CDD505-2E9C-101B-9397-08002B2CF9AE}" pid="4" name="Remediated">
    <vt:bool>true</vt:bool>
  </property>
  <property fmtid="{D5CDD505-2E9C-101B-9397-08002B2CF9AE}" pid="5" name="Division">
    <vt:lpwstr>13;#Administration|30ff1680-44ae-4332-9c6a-746dcc9ef5b3</vt:lpwstr>
  </property>
  <property fmtid="{D5CDD505-2E9C-101B-9397-08002B2CF9AE}" pid="6" name="Organization">
    <vt:lpwstr>51</vt:lpwstr>
  </property>
</Properties>
</file>