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dataandstats/reports/Documents/Drug Medi-Cal Supplemental Chart/"/>
    </mc:Choice>
  </mc:AlternateContent>
  <bookViews>
    <workbookView xWindow="0" yWindow="0" windowWidth="28800" windowHeight="11190"/>
  </bookViews>
  <sheets>
    <sheet name="Supplemental Chart 2" sheetId="1" r:id="rId1"/>
  </sheets>
  <definedNames>
    <definedName name="_xlnm.Print_Area" localSheetId="0">'Supplemental Chart 2'!$A$1:$R$115</definedName>
    <definedName name="_xlnm.Print_Titles" localSheetId="0">'Supplemental Chart 2'!$1:$4</definedName>
    <definedName name="TitleRegion1.a6.r43.1">'Supplemental Chart 2'!#REF!</definedName>
    <definedName name="TitleRegion2.a53.90.1">'Supplemental Chart 2'!$A$6</definedName>
    <definedName name="TitleRegion3.a99.r138.1">'Supplemental Chart 2'!$A$61</definedName>
    <definedName name="Z_0F3B6941_3E2B_49D1_A33F_4FCB9B7618DA_.wvu.PrintArea" localSheetId="0" hidden="1">'Supplemental Chart 2'!$A$1:$R$115</definedName>
    <definedName name="Z_0F3B6941_3E2B_49D1_A33F_4FCB9B7618DA_.wvu.PrintTitles" localSheetId="0" hidden="1">'Supplemental Chart 2'!$1:$4</definedName>
    <definedName name="Z_0F3B6941_3E2B_49D1_A33F_4FCB9B7618DA_.wvu.Rows" localSheetId="0" hidden="1">'Supplemental Chart 2'!$248:$1048576,'Supplemental Chart 2'!$245:$245</definedName>
    <definedName name="Z_4495B187_274E_48B4_8304_6FE632D7AFFB_.wvu.PrintArea" localSheetId="0" hidden="1">'Supplemental Chart 2'!$A$1:$R$115</definedName>
    <definedName name="Z_4495B187_274E_48B4_8304_6FE632D7AFFB_.wvu.PrintTitles" localSheetId="0" hidden="1">'Supplemental Chart 2'!$1:$4</definedName>
    <definedName name="Z_4495B187_274E_48B4_8304_6FE632D7AFFB_.wvu.Rows" localSheetId="0" hidden="1">'Supplemental Chart 2'!$246:$1048576,'Supplemental Chart 2'!$245:$245</definedName>
    <definedName name="Z_564F5456_EE4F_4364_B038_506ED3C46156_.wvu.PrintArea" localSheetId="0" hidden="1">'Supplemental Chart 2'!$A$1:$R$115</definedName>
    <definedName name="Z_564F5456_EE4F_4364_B038_506ED3C46156_.wvu.PrintTitles" localSheetId="0" hidden="1">'Supplemental Chart 2'!$1:$4</definedName>
    <definedName name="Z_564F5456_EE4F_4364_B038_506ED3C46156_.wvu.Rows" localSheetId="0" hidden="1">'Supplemental Chart 2'!$245:$1048576</definedName>
    <definedName name="Z_80F22E93_B41D_44AD_9CAE_9905A667A948_.wvu.PrintArea" localSheetId="0" hidden="1">'Supplemental Chart 2'!$A$1:$R$115</definedName>
    <definedName name="Z_80F22E93_B41D_44AD_9CAE_9905A667A948_.wvu.PrintTitles" localSheetId="0" hidden="1">'Supplemental Chart 2'!$1:$4</definedName>
    <definedName name="Z_80F22E93_B41D_44AD_9CAE_9905A667A948_.wvu.Rows" localSheetId="0" hidden="1">'Supplemental Chart 2'!$246:$1048576</definedName>
    <definedName name="Z_884C6854_0683_43B5_8CCC_CC69ACBD79F1_.wvu.PrintArea" localSheetId="0" hidden="1">'Supplemental Chart 2'!$A$1:$R$115</definedName>
    <definedName name="Z_884C6854_0683_43B5_8CCC_CC69ACBD79F1_.wvu.PrintTitles" localSheetId="0" hidden="1">'Supplemental Chart 2'!$1:$4</definedName>
    <definedName name="Z_884C6854_0683_43B5_8CCC_CC69ACBD79F1_.wvu.Rows" localSheetId="0" hidden="1">'Supplemental Chart 2'!$245:$1048576</definedName>
  </definedNames>
  <calcPr calcId="162913"/>
  <customWorkbookViews>
    <customWorkbookView name="Susbilla, Elena (FF)@DHCS - Personal View" guid="{4495B187-274E-48B4-8304-6FE632D7AFFB}" mergeInterval="0" personalView="1" xWindow="3236" yWindow="268" windowWidth="2506" windowHeight="999" activeSheetId="1"/>
    <customWorkbookView name="Singh, Joel (FF)@DHCS - Personal View" guid="{80F22E93-B41D-44AD-9CAE-9905A667A948}" mergeInterval="0" personalView="1" maximized="1" xWindow="-9" yWindow="-9" windowWidth="2418" windowHeight="1318" activeSheetId="1"/>
    <customWorkbookView name="Dyer, Devon (FF)@DHCS - Personal View" guid="{564F5456-EE4F-4364-B038-506ED3C46156}" mergeInterval="0" personalView="1" xWindow="3062" yWindow="20" windowWidth="2334" windowHeight="1418" activeSheetId="1"/>
    <customWorkbookView name="Celine - Personal View" guid="{884C6854-0683-43B5-8CCC-CC69ACBD79F1}" mergeInterval="0" personalView="1" maximized="1" xWindow="1909" yWindow="-11" windowWidth="3862" windowHeight="2122" activeSheetId="1"/>
    <customWorkbookView name="Ly, Cang (ADM-FFB)@DHCS - Personal View" guid="{0F3B6941-3E2B-49D1-A33F-4FCB9B7618DA}" mergeInterval="0" personalView="1" maximized="1" xWindow="-8" yWindow="-8" windowWidth="1296" windowHeight="69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07" i="1" l="1"/>
  <c r="R10" i="1" l="1"/>
  <c r="F52" i="1"/>
  <c r="F51" i="1"/>
  <c r="D41" i="1"/>
  <c r="D43" i="1"/>
  <c r="D42" i="1"/>
  <c r="D40" i="1"/>
  <c r="D38" i="1"/>
  <c r="D37" i="1"/>
  <c r="D36" i="1"/>
  <c r="D35" i="1"/>
  <c r="F50" i="1"/>
  <c r="I91" i="1" l="1"/>
  <c r="L93" i="1"/>
  <c r="L91" i="1"/>
  <c r="K91" i="1"/>
  <c r="K94" i="1"/>
  <c r="K93" i="1"/>
  <c r="K92" i="1"/>
  <c r="J92" i="1"/>
  <c r="J91" i="1"/>
  <c r="D9" i="1" l="1"/>
  <c r="L101" i="1" l="1"/>
  <c r="K101" i="1"/>
  <c r="J101" i="1"/>
  <c r="L45" i="1"/>
  <c r="K45" i="1"/>
  <c r="J45" i="1"/>
  <c r="I46" i="1"/>
  <c r="K46" i="1"/>
  <c r="J46" i="1"/>
  <c r="F105" i="1" l="1"/>
  <c r="G105" i="1"/>
  <c r="E105" i="1"/>
  <c r="G97" i="1"/>
  <c r="G98" i="1"/>
  <c r="G99" i="1"/>
  <c r="F97" i="1"/>
  <c r="F98" i="1"/>
  <c r="F99" i="1"/>
  <c r="E97" i="1"/>
  <c r="D97" i="1" s="1"/>
  <c r="E98" i="1"/>
  <c r="D98" i="1" s="1"/>
  <c r="E99" i="1"/>
  <c r="D99" i="1" s="1"/>
  <c r="G96" i="1"/>
  <c r="E96" i="1"/>
  <c r="G92" i="1"/>
  <c r="G93" i="1"/>
  <c r="G94" i="1"/>
  <c r="F92" i="1"/>
  <c r="F93" i="1"/>
  <c r="F94" i="1"/>
  <c r="E92" i="1"/>
  <c r="D92" i="1" s="1"/>
  <c r="E93" i="1"/>
  <c r="D93" i="1" s="1"/>
  <c r="E94" i="1"/>
  <c r="D94" i="1" s="1"/>
  <c r="G91" i="1"/>
  <c r="E91" i="1"/>
  <c r="F102" i="1" l="1"/>
  <c r="G102" i="1"/>
  <c r="Q102" i="1" s="1"/>
  <c r="H102" i="1"/>
  <c r="M109" i="1"/>
  <c r="G84" i="1" l="1"/>
  <c r="G85" i="1"/>
  <c r="G86" i="1"/>
  <c r="F87" i="1"/>
  <c r="G87" i="1"/>
  <c r="F88" i="1"/>
  <c r="G88" i="1"/>
  <c r="G89" i="1"/>
  <c r="E89" i="1"/>
  <c r="E88" i="1"/>
  <c r="M80" i="1" l="1"/>
  <c r="I10" i="1"/>
  <c r="I12" i="1"/>
  <c r="I13" i="1"/>
  <c r="I18" i="1" l="1"/>
  <c r="I17" i="1"/>
  <c r="I16" i="1"/>
  <c r="I15" i="1"/>
  <c r="I11" i="1"/>
  <c r="N10" i="1"/>
  <c r="I9" i="1"/>
  <c r="E66" i="1" l="1"/>
  <c r="K84" i="1"/>
  <c r="L97" i="1"/>
  <c r="L98" i="1"/>
  <c r="J99" i="1"/>
  <c r="K99" i="1"/>
  <c r="L99" i="1"/>
  <c r="L109" i="1" l="1"/>
  <c r="K109" i="1"/>
  <c r="J109" i="1"/>
  <c r="K40" i="1"/>
  <c r="F96" i="1" s="1"/>
  <c r="D96" i="1" s="1"/>
  <c r="K35" i="1" l="1"/>
  <c r="F91" i="1" s="1"/>
  <c r="D91" i="1" s="1"/>
  <c r="K33" i="1" l="1"/>
  <c r="F89" i="1" s="1"/>
  <c r="K30" i="1"/>
  <c r="F86" i="1" s="1"/>
  <c r="K29" i="1"/>
  <c r="F85" i="1" s="1"/>
  <c r="K28" i="1"/>
  <c r="F84" i="1" s="1"/>
  <c r="M53" i="1" l="1"/>
  <c r="L53" i="1"/>
  <c r="K53" i="1"/>
  <c r="J53" i="1"/>
  <c r="H53" i="1"/>
  <c r="G53" i="1"/>
  <c r="F53" i="1"/>
  <c r="E53" i="1"/>
  <c r="D32" i="1"/>
  <c r="I32" i="1"/>
  <c r="O32" i="1"/>
  <c r="P32" i="1"/>
  <c r="Q32" i="1"/>
  <c r="R32" i="1"/>
  <c r="P105" i="1"/>
  <c r="R105" i="1"/>
  <c r="D49" i="1"/>
  <c r="I49" i="1"/>
  <c r="O49" i="1"/>
  <c r="P49" i="1"/>
  <c r="Q49" i="1"/>
  <c r="R49" i="1"/>
  <c r="F104" i="1"/>
  <c r="G104" i="1"/>
  <c r="H104" i="1"/>
  <c r="F103" i="1"/>
  <c r="G103" i="1"/>
  <c r="H103" i="1"/>
  <c r="E103" i="1"/>
  <c r="E104" i="1"/>
  <c r="G101" i="1"/>
  <c r="H101" i="1"/>
  <c r="E102" i="1"/>
  <c r="F100" i="1"/>
  <c r="G100" i="1"/>
  <c r="H100" i="1"/>
  <c r="E100" i="1"/>
  <c r="H92" i="1"/>
  <c r="H93" i="1"/>
  <c r="H94" i="1"/>
  <c r="H91" i="1"/>
  <c r="E85" i="1"/>
  <c r="H85" i="1"/>
  <c r="E86" i="1"/>
  <c r="H86" i="1"/>
  <c r="E87" i="1"/>
  <c r="H87" i="1"/>
  <c r="H88" i="1"/>
  <c r="H84" i="1"/>
  <c r="E84" i="1"/>
  <c r="E82" i="1"/>
  <c r="F82" i="1"/>
  <c r="G82" i="1"/>
  <c r="H82" i="1"/>
  <c r="F81" i="1"/>
  <c r="G81" i="1"/>
  <c r="H81" i="1"/>
  <c r="E81" i="1"/>
  <c r="E77" i="1"/>
  <c r="F77" i="1"/>
  <c r="G77" i="1"/>
  <c r="H77" i="1"/>
  <c r="E78" i="1"/>
  <c r="F78" i="1"/>
  <c r="G78" i="1"/>
  <c r="H78" i="1"/>
  <c r="E79" i="1"/>
  <c r="F79" i="1"/>
  <c r="G79" i="1"/>
  <c r="H79" i="1"/>
  <c r="F76" i="1"/>
  <c r="G76" i="1"/>
  <c r="H76" i="1"/>
  <c r="E76" i="1"/>
  <c r="E72" i="1"/>
  <c r="F72" i="1"/>
  <c r="G72" i="1"/>
  <c r="H72" i="1"/>
  <c r="E73" i="1"/>
  <c r="F73" i="1"/>
  <c r="G73" i="1"/>
  <c r="H73" i="1"/>
  <c r="E74" i="1"/>
  <c r="F74" i="1"/>
  <c r="G74" i="1"/>
  <c r="H74" i="1"/>
  <c r="F71" i="1"/>
  <c r="G71" i="1"/>
  <c r="H71" i="1"/>
  <c r="E71" i="1"/>
  <c r="E67" i="1"/>
  <c r="F67" i="1"/>
  <c r="G67" i="1"/>
  <c r="H67" i="1"/>
  <c r="E68" i="1"/>
  <c r="F68" i="1"/>
  <c r="G68" i="1"/>
  <c r="H68" i="1"/>
  <c r="E69" i="1"/>
  <c r="F69" i="1"/>
  <c r="G69" i="1"/>
  <c r="H69" i="1"/>
  <c r="F66" i="1"/>
  <c r="G66" i="1"/>
  <c r="H66" i="1"/>
  <c r="G109" i="1" l="1"/>
  <c r="I105" i="1"/>
  <c r="N32" i="1"/>
  <c r="O105" i="1"/>
  <c r="Q105" i="1"/>
  <c r="N49" i="1"/>
  <c r="D105" i="1"/>
  <c r="N105" i="1" l="1"/>
  <c r="L9" i="1" l="1"/>
  <c r="H107" i="1" l="1"/>
  <c r="M107" i="1"/>
  <c r="H108" i="1"/>
  <c r="M108" i="1"/>
  <c r="E51" i="1"/>
  <c r="G51" i="1"/>
  <c r="H51" i="1"/>
  <c r="J51" i="1"/>
  <c r="K51" i="1"/>
  <c r="L51" i="1"/>
  <c r="M51" i="1"/>
  <c r="E52" i="1"/>
  <c r="G52" i="1"/>
  <c r="H52" i="1"/>
  <c r="J52" i="1"/>
  <c r="O52" i="1" s="1"/>
  <c r="K52" i="1"/>
  <c r="P52" i="1" s="1"/>
  <c r="L52" i="1"/>
  <c r="M52" i="1"/>
  <c r="R101" i="1"/>
  <c r="R102" i="1"/>
  <c r="D102" i="1"/>
  <c r="R45" i="1"/>
  <c r="Q45" i="1"/>
  <c r="D45" i="1"/>
  <c r="R46" i="1"/>
  <c r="Q46" i="1"/>
  <c r="P46" i="1"/>
  <c r="O46" i="1"/>
  <c r="D46" i="1"/>
  <c r="P51" i="1" l="1"/>
  <c r="F101" i="1"/>
  <c r="F109" i="1" s="1"/>
  <c r="O53" i="1"/>
  <c r="E101" i="1"/>
  <c r="E109" i="1" s="1"/>
  <c r="P53" i="1"/>
  <c r="R52" i="1"/>
  <c r="P45" i="1"/>
  <c r="P102" i="1"/>
  <c r="I102" i="1"/>
  <c r="Q52" i="1"/>
  <c r="R53" i="1"/>
  <c r="Q53" i="1"/>
  <c r="I45" i="1"/>
  <c r="N45" i="1" s="1"/>
  <c r="O45" i="1"/>
  <c r="Q101" i="1"/>
  <c r="R108" i="1"/>
  <c r="R107" i="1"/>
  <c r="O102" i="1"/>
  <c r="N46" i="1"/>
  <c r="M83" i="1"/>
  <c r="I88" i="1"/>
  <c r="Q42" i="1"/>
  <c r="P42" i="1"/>
  <c r="O42" i="1"/>
  <c r="Q37" i="1"/>
  <c r="P37" i="1"/>
  <c r="O37" i="1"/>
  <c r="P101" i="1" l="1"/>
  <c r="N102" i="1"/>
  <c r="D101" i="1"/>
  <c r="O101" i="1"/>
  <c r="I101" i="1"/>
  <c r="I89" i="1"/>
  <c r="N101" i="1" l="1"/>
  <c r="J34" i="1"/>
  <c r="O89" i="1" l="1"/>
  <c r="E9" i="1"/>
  <c r="F9" i="1"/>
  <c r="G9" i="1"/>
  <c r="H9" i="1"/>
  <c r="E14" i="1"/>
  <c r="F14" i="1"/>
  <c r="G14" i="1"/>
  <c r="H14" i="1"/>
  <c r="E19" i="1"/>
  <c r="F19" i="1"/>
  <c r="G19" i="1"/>
  <c r="G50" i="1" s="1"/>
  <c r="H19" i="1"/>
  <c r="E24" i="1"/>
  <c r="F24" i="1"/>
  <c r="G24" i="1"/>
  <c r="H24" i="1"/>
  <c r="D19" i="1" l="1"/>
  <c r="D14" i="1"/>
  <c r="D24" i="1"/>
  <c r="P97" i="1" l="1"/>
  <c r="Q97" i="1"/>
  <c r="P98" i="1"/>
  <c r="Q98" i="1"/>
  <c r="P99" i="1"/>
  <c r="Q99" i="1"/>
  <c r="P96" i="1"/>
  <c r="Q96" i="1"/>
  <c r="R99" i="1"/>
  <c r="R98" i="1"/>
  <c r="R97" i="1"/>
  <c r="R96" i="1"/>
  <c r="M95" i="1"/>
  <c r="H95" i="1"/>
  <c r="G95" i="1"/>
  <c r="F95" i="1"/>
  <c r="E95" i="1"/>
  <c r="R43" i="1"/>
  <c r="Q43" i="1"/>
  <c r="P43" i="1"/>
  <c r="O43" i="1"/>
  <c r="I43" i="1"/>
  <c r="R42" i="1"/>
  <c r="I42" i="1"/>
  <c r="R41" i="1"/>
  <c r="Q41" i="1"/>
  <c r="P41" i="1"/>
  <c r="O41" i="1"/>
  <c r="I41" i="1"/>
  <c r="R40" i="1"/>
  <c r="Q40" i="1"/>
  <c r="P40" i="1"/>
  <c r="O40" i="1"/>
  <c r="I40" i="1"/>
  <c r="M39" i="1"/>
  <c r="L39" i="1"/>
  <c r="K39" i="1"/>
  <c r="J39" i="1"/>
  <c r="H39" i="1"/>
  <c r="G39" i="1"/>
  <c r="F39" i="1"/>
  <c r="E39" i="1"/>
  <c r="E27" i="1"/>
  <c r="G65" i="1"/>
  <c r="G107" i="1" l="1"/>
  <c r="F107" i="1"/>
  <c r="J108" i="1"/>
  <c r="O109" i="1"/>
  <c r="K108" i="1"/>
  <c r="J107" i="1"/>
  <c r="E108" i="1"/>
  <c r="G108" i="1"/>
  <c r="L83" i="1"/>
  <c r="L107" i="1"/>
  <c r="I87" i="1"/>
  <c r="I94" i="1"/>
  <c r="I103" i="1"/>
  <c r="F108" i="1"/>
  <c r="K83" i="1"/>
  <c r="K107" i="1"/>
  <c r="L108" i="1"/>
  <c r="E83" i="1"/>
  <c r="E107" i="1"/>
  <c r="O99" i="1"/>
  <c r="I99" i="1"/>
  <c r="N99" i="1" s="1"/>
  <c r="I104" i="1"/>
  <c r="I85" i="1"/>
  <c r="I92" i="1"/>
  <c r="O97" i="1"/>
  <c r="I97" i="1"/>
  <c r="N97" i="1" s="1"/>
  <c r="J83" i="1"/>
  <c r="I84" i="1"/>
  <c r="I86" i="1"/>
  <c r="I93" i="1"/>
  <c r="O96" i="1"/>
  <c r="I96" i="1"/>
  <c r="N96" i="1" s="1"/>
  <c r="O98" i="1"/>
  <c r="I98" i="1"/>
  <c r="I100" i="1"/>
  <c r="D39" i="1"/>
  <c r="R39" i="1"/>
  <c r="P39" i="1"/>
  <c r="N42" i="1"/>
  <c r="R95" i="1"/>
  <c r="N41" i="1"/>
  <c r="J95" i="1"/>
  <c r="O95" i="1" s="1"/>
  <c r="K95" i="1"/>
  <c r="P95" i="1" s="1"/>
  <c r="L95" i="1"/>
  <c r="Q95" i="1" s="1"/>
  <c r="D95" i="1"/>
  <c r="O39" i="1"/>
  <c r="Q39" i="1"/>
  <c r="N40" i="1"/>
  <c r="N43" i="1"/>
  <c r="I39" i="1"/>
  <c r="P108" i="1" l="1"/>
  <c r="I109" i="1"/>
  <c r="O108" i="1"/>
  <c r="O107" i="1"/>
  <c r="P107" i="1"/>
  <c r="Q108" i="1"/>
  <c r="I90" i="1"/>
  <c r="I83" i="1"/>
  <c r="I95" i="1"/>
  <c r="N95" i="1" s="1"/>
  <c r="N39" i="1"/>
  <c r="N98" i="1"/>
  <c r="R94" i="1" l="1"/>
  <c r="Q94" i="1"/>
  <c r="P94" i="1"/>
  <c r="O94" i="1"/>
  <c r="R93" i="1"/>
  <c r="Q93" i="1"/>
  <c r="P93" i="1"/>
  <c r="O93" i="1"/>
  <c r="R92" i="1"/>
  <c r="Q92" i="1"/>
  <c r="P92" i="1"/>
  <c r="O92" i="1"/>
  <c r="R91" i="1"/>
  <c r="Q91" i="1"/>
  <c r="P91" i="1"/>
  <c r="O91" i="1"/>
  <c r="M90" i="1"/>
  <c r="L90" i="1"/>
  <c r="K90" i="1"/>
  <c r="J90" i="1"/>
  <c r="H90" i="1"/>
  <c r="G90" i="1"/>
  <c r="F90" i="1"/>
  <c r="E90" i="1"/>
  <c r="R38" i="1"/>
  <c r="Q38" i="1"/>
  <c r="P38" i="1"/>
  <c r="O38" i="1"/>
  <c r="I38" i="1"/>
  <c r="R37" i="1"/>
  <c r="I37" i="1"/>
  <c r="R36" i="1"/>
  <c r="Q36" i="1"/>
  <c r="P36" i="1"/>
  <c r="O36" i="1"/>
  <c r="I36" i="1"/>
  <c r="R35" i="1"/>
  <c r="Q35" i="1"/>
  <c r="P35" i="1"/>
  <c r="O35" i="1"/>
  <c r="I35" i="1"/>
  <c r="M34" i="1"/>
  <c r="H89" i="1" s="1"/>
  <c r="H109" i="1" s="1"/>
  <c r="L34" i="1"/>
  <c r="K34" i="1"/>
  <c r="H34" i="1"/>
  <c r="G34" i="1"/>
  <c r="F34" i="1"/>
  <c r="E34" i="1"/>
  <c r="E50" i="1" s="1"/>
  <c r="R109" i="1" l="1"/>
  <c r="R89" i="1"/>
  <c r="H83" i="1"/>
  <c r="P89" i="1"/>
  <c r="D89" i="1"/>
  <c r="N89" i="1" s="1"/>
  <c r="P109" i="1"/>
  <c r="F83" i="1"/>
  <c r="Q89" i="1"/>
  <c r="G83" i="1"/>
  <c r="Q109" i="1"/>
  <c r="R34" i="1"/>
  <c r="N36" i="1"/>
  <c r="N91" i="1"/>
  <c r="D34" i="1"/>
  <c r="N93" i="1"/>
  <c r="P34" i="1"/>
  <c r="R90" i="1"/>
  <c r="N94" i="1"/>
  <c r="Q90" i="1"/>
  <c r="Q34" i="1"/>
  <c r="N35" i="1"/>
  <c r="N38" i="1"/>
  <c r="N37" i="1"/>
  <c r="O90" i="1"/>
  <c r="N92" i="1"/>
  <c r="O34" i="1"/>
  <c r="P90" i="1"/>
  <c r="D90" i="1"/>
  <c r="I34" i="1"/>
  <c r="N34" i="1" l="1"/>
  <c r="N90" i="1"/>
  <c r="H75" i="1" l="1"/>
  <c r="Q48" i="1" l="1"/>
  <c r="P48" i="1"/>
  <c r="O48" i="1"/>
  <c r="D88" i="1" l="1"/>
  <c r="D87" i="1"/>
  <c r="D86" i="1"/>
  <c r="D85" i="1"/>
  <c r="D84" i="1"/>
  <c r="I82" i="1"/>
  <c r="D82" i="1"/>
  <c r="I81" i="1"/>
  <c r="D81" i="1"/>
  <c r="I79" i="1"/>
  <c r="D79" i="1"/>
  <c r="I78" i="1"/>
  <c r="D78" i="1"/>
  <c r="I77" i="1"/>
  <c r="D77" i="1"/>
  <c r="I76" i="1"/>
  <c r="D76" i="1"/>
  <c r="I74" i="1"/>
  <c r="D74" i="1"/>
  <c r="I73" i="1"/>
  <c r="D73" i="1"/>
  <c r="I72" i="1"/>
  <c r="D72" i="1"/>
  <c r="I71" i="1"/>
  <c r="D71" i="1"/>
  <c r="I69" i="1"/>
  <c r="D69" i="1"/>
  <c r="I68" i="1"/>
  <c r="D68" i="1"/>
  <c r="I67" i="1"/>
  <c r="D67" i="1"/>
  <c r="I66" i="1"/>
  <c r="D66" i="1"/>
  <c r="I33" i="1"/>
  <c r="D33" i="1"/>
  <c r="I31" i="1"/>
  <c r="D31" i="1"/>
  <c r="I30" i="1"/>
  <c r="D30" i="1"/>
  <c r="I29" i="1"/>
  <c r="D29" i="1"/>
  <c r="I28" i="1"/>
  <c r="D28" i="1"/>
  <c r="I26" i="1"/>
  <c r="I25" i="1"/>
  <c r="I23" i="1"/>
  <c r="I22" i="1"/>
  <c r="I21" i="1"/>
  <c r="I20" i="1"/>
  <c r="R103" i="1"/>
  <c r="Q103" i="1"/>
  <c r="P103" i="1"/>
  <c r="O103" i="1"/>
  <c r="R104" i="1"/>
  <c r="Q104" i="1"/>
  <c r="P104" i="1"/>
  <c r="O104" i="1"/>
  <c r="R100" i="1"/>
  <c r="Q100" i="1"/>
  <c r="P100" i="1"/>
  <c r="O100" i="1"/>
  <c r="R88" i="1"/>
  <c r="Q88" i="1"/>
  <c r="P88" i="1"/>
  <c r="O88" i="1"/>
  <c r="R87" i="1"/>
  <c r="Q87" i="1"/>
  <c r="P87" i="1"/>
  <c r="O87" i="1"/>
  <c r="R86" i="1"/>
  <c r="Q86" i="1"/>
  <c r="P86" i="1"/>
  <c r="O86" i="1"/>
  <c r="R85" i="1"/>
  <c r="Q85" i="1"/>
  <c r="P85" i="1"/>
  <c r="O85" i="1"/>
  <c r="R84" i="1"/>
  <c r="Q84" i="1"/>
  <c r="P84" i="1"/>
  <c r="O84" i="1"/>
  <c r="R82" i="1"/>
  <c r="Q82" i="1"/>
  <c r="P82" i="1"/>
  <c r="O82" i="1"/>
  <c r="R81" i="1"/>
  <c r="Q81" i="1"/>
  <c r="P81" i="1"/>
  <c r="O81" i="1"/>
  <c r="R79" i="1"/>
  <c r="Q79" i="1"/>
  <c r="P79" i="1"/>
  <c r="O79" i="1"/>
  <c r="R78" i="1"/>
  <c r="Q78" i="1"/>
  <c r="P78" i="1"/>
  <c r="O78" i="1"/>
  <c r="R77" i="1"/>
  <c r="Q77" i="1"/>
  <c r="P77" i="1"/>
  <c r="O77" i="1"/>
  <c r="R76" i="1"/>
  <c r="Q76" i="1"/>
  <c r="P76" i="1"/>
  <c r="O76" i="1"/>
  <c r="R74" i="1"/>
  <c r="Q74" i="1"/>
  <c r="P74" i="1"/>
  <c r="O74" i="1"/>
  <c r="R73" i="1"/>
  <c r="Q73" i="1"/>
  <c r="P73" i="1"/>
  <c r="O73" i="1"/>
  <c r="R72" i="1"/>
  <c r="Q72" i="1"/>
  <c r="P72" i="1"/>
  <c r="O72" i="1"/>
  <c r="R71" i="1"/>
  <c r="Q71" i="1"/>
  <c r="P71" i="1"/>
  <c r="O71" i="1"/>
  <c r="R69" i="1"/>
  <c r="Q69" i="1"/>
  <c r="P69" i="1"/>
  <c r="O69" i="1"/>
  <c r="R68" i="1"/>
  <c r="Q68" i="1"/>
  <c r="P68" i="1"/>
  <c r="O68" i="1"/>
  <c r="R67" i="1"/>
  <c r="Q67" i="1"/>
  <c r="P67" i="1"/>
  <c r="O67" i="1"/>
  <c r="R66" i="1"/>
  <c r="Q66" i="1"/>
  <c r="P66" i="1"/>
  <c r="O66" i="1"/>
  <c r="R47" i="1"/>
  <c r="Q47" i="1"/>
  <c r="P47" i="1"/>
  <c r="O47" i="1"/>
  <c r="R48" i="1"/>
  <c r="R44" i="1"/>
  <c r="Q44" i="1"/>
  <c r="P44" i="1"/>
  <c r="O44" i="1"/>
  <c r="R33" i="1"/>
  <c r="Q33" i="1"/>
  <c r="P33" i="1"/>
  <c r="O33" i="1"/>
  <c r="R31" i="1"/>
  <c r="Q31" i="1"/>
  <c r="P31" i="1"/>
  <c r="O31" i="1"/>
  <c r="R30" i="1"/>
  <c r="Q30" i="1"/>
  <c r="P30" i="1"/>
  <c r="O30" i="1"/>
  <c r="R29" i="1"/>
  <c r="Q29" i="1"/>
  <c r="P29" i="1"/>
  <c r="O29" i="1"/>
  <c r="R28" i="1"/>
  <c r="Q28" i="1"/>
  <c r="P28" i="1"/>
  <c r="O28" i="1"/>
  <c r="R26" i="1"/>
  <c r="Q26" i="1"/>
  <c r="P26" i="1"/>
  <c r="O26" i="1"/>
  <c r="R25" i="1"/>
  <c r="Q25" i="1"/>
  <c r="P25" i="1"/>
  <c r="O25" i="1"/>
  <c r="R23" i="1"/>
  <c r="Q23" i="1"/>
  <c r="P23" i="1"/>
  <c r="O23" i="1"/>
  <c r="R22" i="1"/>
  <c r="Q22" i="1"/>
  <c r="P22" i="1"/>
  <c r="O22" i="1"/>
  <c r="R21" i="1"/>
  <c r="Q21" i="1"/>
  <c r="P21" i="1"/>
  <c r="O21" i="1"/>
  <c r="R20" i="1"/>
  <c r="Q20" i="1"/>
  <c r="P20" i="1"/>
  <c r="O20" i="1"/>
  <c r="R18" i="1"/>
  <c r="Q18" i="1"/>
  <c r="P18" i="1"/>
  <c r="O18" i="1"/>
  <c r="R17" i="1"/>
  <c r="Q17" i="1"/>
  <c r="P17" i="1"/>
  <c r="O17" i="1"/>
  <c r="R16" i="1"/>
  <c r="Q16" i="1"/>
  <c r="P16" i="1"/>
  <c r="O16" i="1"/>
  <c r="R15" i="1"/>
  <c r="Q15" i="1"/>
  <c r="P15" i="1"/>
  <c r="O15" i="1"/>
  <c r="R13" i="1"/>
  <c r="Q13" i="1"/>
  <c r="P13" i="1"/>
  <c r="O13" i="1"/>
  <c r="R12" i="1"/>
  <c r="Q12" i="1"/>
  <c r="P12" i="1"/>
  <c r="O12" i="1"/>
  <c r="R11" i="1"/>
  <c r="Q11" i="1"/>
  <c r="P11" i="1"/>
  <c r="O11" i="1"/>
  <c r="Q10" i="1"/>
  <c r="P10" i="1"/>
  <c r="O10" i="1"/>
  <c r="D108" i="1" l="1"/>
  <c r="D70" i="1"/>
  <c r="N70" i="1" s="1"/>
  <c r="D75" i="1"/>
  <c r="D83" i="1"/>
  <c r="I107" i="1"/>
  <c r="I108" i="1"/>
  <c r="N108" i="1" s="1"/>
  <c r="I51" i="1"/>
  <c r="I52" i="1"/>
  <c r="N52" i="1" s="1"/>
  <c r="D51" i="1"/>
  <c r="D52" i="1"/>
  <c r="D107" i="1"/>
  <c r="N11" i="1"/>
  <c r="N12" i="1"/>
  <c r="N17" i="1"/>
  <c r="N81" i="1"/>
  <c r="N72" i="1"/>
  <c r="N28" i="1"/>
  <c r="N18" i="1"/>
  <c r="N73" i="1"/>
  <c r="N66" i="1"/>
  <c r="N78" i="1"/>
  <c r="N84" i="1"/>
  <c r="N25" i="1"/>
  <c r="N77" i="1"/>
  <c r="N87" i="1"/>
  <c r="N15" i="1"/>
  <c r="N22" i="1"/>
  <c r="N33" i="1"/>
  <c r="N26" i="1"/>
  <c r="N31" i="1"/>
  <c r="N68" i="1"/>
  <c r="N69" i="1"/>
  <c r="N74" i="1"/>
  <c r="N79" i="1"/>
  <c r="N20" i="1"/>
  <c r="N71" i="1"/>
  <c r="N30" i="1"/>
  <c r="N76" i="1"/>
  <c r="N23" i="1"/>
  <c r="N85" i="1"/>
  <c r="N86" i="1"/>
  <c r="N16" i="1"/>
  <c r="N13" i="1"/>
  <c r="N88" i="1"/>
  <c r="N21" i="1"/>
  <c r="N29" i="1"/>
  <c r="N67" i="1"/>
  <c r="N82" i="1"/>
  <c r="N107" i="1" l="1"/>
  <c r="N51" i="1"/>
  <c r="M70" i="1" l="1"/>
  <c r="L70" i="1"/>
  <c r="K70" i="1"/>
  <c r="J70" i="1"/>
  <c r="I70" i="1"/>
  <c r="H70" i="1"/>
  <c r="G70" i="1"/>
  <c r="F70" i="1"/>
  <c r="E70" i="1"/>
  <c r="D103" i="1"/>
  <c r="D104" i="1"/>
  <c r="D100" i="1"/>
  <c r="L80" i="1"/>
  <c r="K80" i="1"/>
  <c r="J80" i="1"/>
  <c r="I80" i="1"/>
  <c r="H80" i="1"/>
  <c r="G80" i="1"/>
  <c r="F80" i="1"/>
  <c r="E80" i="1"/>
  <c r="D80" i="1"/>
  <c r="M75" i="1"/>
  <c r="L75" i="1"/>
  <c r="K75" i="1"/>
  <c r="J75" i="1"/>
  <c r="I75" i="1"/>
  <c r="G75" i="1"/>
  <c r="F75" i="1"/>
  <c r="E75" i="1"/>
  <c r="M65" i="1"/>
  <c r="L65" i="1"/>
  <c r="K65" i="1"/>
  <c r="J65" i="1"/>
  <c r="I65" i="1"/>
  <c r="I106" i="1" s="1"/>
  <c r="H65" i="1"/>
  <c r="F65" i="1"/>
  <c r="E65" i="1"/>
  <c r="D65" i="1"/>
  <c r="I47" i="1"/>
  <c r="I48" i="1"/>
  <c r="I44" i="1"/>
  <c r="I53" i="1" s="1"/>
  <c r="D47" i="1"/>
  <c r="D44" i="1"/>
  <c r="D48" i="1"/>
  <c r="M27" i="1"/>
  <c r="L27" i="1"/>
  <c r="K27" i="1"/>
  <c r="J27" i="1"/>
  <c r="I27" i="1"/>
  <c r="H27" i="1"/>
  <c r="H50" i="1" s="1"/>
  <c r="G27" i="1"/>
  <c r="F27" i="1"/>
  <c r="D27" i="1"/>
  <c r="M24" i="1"/>
  <c r="L24" i="1"/>
  <c r="K24" i="1"/>
  <c r="J24" i="1"/>
  <c r="I24" i="1"/>
  <c r="M19" i="1"/>
  <c r="L19" i="1"/>
  <c r="K19" i="1"/>
  <c r="J19" i="1"/>
  <c r="I19" i="1"/>
  <c r="M14" i="1"/>
  <c r="L14" i="1"/>
  <c r="K14" i="1"/>
  <c r="J14" i="1"/>
  <c r="I14" i="1"/>
  <c r="M9" i="1"/>
  <c r="K9" i="1"/>
  <c r="J9" i="1"/>
  <c r="D50" i="1" l="1"/>
  <c r="M106" i="1"/>
  <c r="D106" i="1"/>
  <c r="N106" i="1" s="1"/>
  <c r="E106" i="1"/>
  <c r="K106" i="1"/>
  <c r="D109" i="1"/>
  <c r="N109" i="1" s="1"/>
  <c r="J106" i="1"/>
  <c r="G106" i="1"/>
  <c r="F106" i="1"/>
  <c r="H106" i="1"/>
  <c r="L106" i="1"/>
  <c r="N100" i="1"/>
  <c r="D53" i="1"/>
  <c r="N53" i="1" s="1"/>
  <c r="M50" i="1"/>
  <c r="L50" i="1"/>
  <c r="I50" i="1"/>
  <c r="J50" i="1"/>
  <c r="O50" i="1" s="1"/>
  <c r="K50" i="1"/>
  <c r="P50" i="1" s="1"/>
  <c r="P80" i="1"/>
  <c r="O14" i="1"/>
  <c r="O24" i="1"/>
  <c r="P70" i="1"/>
  <c r="O80" i="1"/>
  <c r="Q70" i="1"/>
  <c r="R70" i="1"/>
  <c r="O83" i="1"/>
  <c r="P14" i="1"/>
  <c r="N19" i="1"/>
  <c r="O27" i="1"/>
  <c r="P83" i="1"/>
  <c r="P27" i="1"/>
  <c r="Q83" i="1"/>
  <c r="Q27" i="1"/>
  <c r="N44" i="1"/>
  <c r="R83" i="1"/>
  <c r="N104" i="1"/>
  <c r="O9" i="1"/>
  <c r="Q14" i="1"/>
  <c r="N48" i="1"/>
  <c r="N103" i="1"/>
  <c r="P9" i="1"/>
  <c r="R14" i="1"/>
  <c r="N47" i="1"/>
  <c r="Q9" i="1"/>
  <c r="P24" i="1"/>
  <c r="R27" i="1"/>
  <c r="O75" i="1"/>
  <c r="Q80" i="1"/>
  <c r="R9" i="1"/>
  <c r="O19" i="1"/>
  <c r="Q24" i="1"/>
  <c r="N27" i="1"/>
  <c r="O65" i="1"/>
  <c r="P75" i="1"/>
  <c r="R80" i="1"/>
  <c r="O51" i="1"/>
  <c r="P19" i="1"/>
  <c r="R24" i="1"/>
  <c r="P65" i="1"/>
  <c r="Q75" i="1"/>
  <c r="Q51" i="1"/>
  <c r="Q19" i="1"/>
  <c r="Q65" i="1"/>
  <c r="R75" i="1"/>
  <c r="R51" i="1"/>
  <c r="R19" i="1"/>
  <c r="R65" i="1"/>
  <c r="N75" i="1"/>
  <c r="O70" i="1"/>
  <c r="N83" i="1"/>
  <c r="N80" i="1"/>
  <c r="N65" i="1"/>
  <c r="N24" i="1"/>
  <c r="N14" i="1"/>
  <c r="N9" i="1"/>
  <c r="N50" i="1" l="1"/>
  <c r="P106" i="1"/>
  <c r="Q106" i="1"/>
  <c r="R106" i="1"/>
  <c r="O106" i="1"/>
  <c r="R50" i="1"/>
  <c r="Q50" i="1"/>
</calcChain>
</file>

<file path=xl/sharedStrings.xml><?xml version="1.0" encoding="utf-8"?>
<sst xmlns="http://schemas.openxmlformats.org/spreadsheetml/2006/main" count="292" uniqueCount="83">
  <si>
    <t>Notes:</t>
  </si>
  <si>
    <t xml:space="preserve"> Other Total</t>
  </si>
  <si>
    <t>Perinatal Total</t>
  </si>
  <si>
    <t>Regular Total</t>
  </si>
  <si>
    <t>DRUG MEDI-CAL TOTAL</t>
  </si>
  <si>
    <t>DMC COUNTY UR &amp; QA ADMIN</t>
  </si>
  <si>
    <t>DRUG MEDI-CAL COUNTY ADMINISTRATION</t>
  </si>
  <si>
    <t xml:space="preserve">ACA Optional </t>
  </si>
  <si>
    <t xml:space="preserve">Current </t>
  </si>
  <si>
    <t>Perinatal</t>
  </si>
  <si>
    <t>ACA Optional</t>
  </si>
  <si>
    <t>Regular</t>
  </si>
  <si>
    <t>DESCRIPTION</t>
  </si>
  <si>
    <t>NO.</t>
  </si>
  <si>
    <t>TYPE</t>
  </si>
  <si>
    <t>(Dollars In Thousands)</t>
  </si>
  <si>
    <t xml:space="preserve">   DRUG MEDI-CAL TOTAL</t>
  </si>
  <si>
    <t>DRUG MEDI-CAL COUNTY ADMIN</t>
  </si>
  <si>
    <t>NAME</t>
  </si>
  <si>
    <t>Cash Comparison</t>
  </si>
  <si>
    <t>Comparison of Fiscal Impacts of Policy Changes</t>
  </si>
  <si>
    <t>Drug Medi-Cal Program</t>
  </si>
  <si>
    <t>DEPARTMENT OF HEALTH CARE SERVICES</t>
  </si>
  <si>
    <t>Diff TF</t>
  </si>
  <si>
    <t>Diff CF</t>
  </si>
  <si>
    <t>DIFFERENCE (Diff) , Incr./(Decr.)</t>
  </si>
  <si>
    <t xml:space="preserve">Diff CASELOAD </t>
  </si>
  <si>
    <t>NARCOTIC TREATMENT PROGRAM</t>
  </si>
  <si>
    <t xml:space="preserve">RESIDENTIAL TREATMENT SERVICES </t>
  </si>
  <si>
    <t>OUTPATIENT DRUG FREE TREATMENT SERVICES</t>
  </si>
  <si>
    <t xml:space="preserve">DRUG MEDI-CAL PROGRAM COST SETTLEMENT </t>
  </si>
  <si>
    <t xml:space="preserve">Regular </t>
  </si>
  <si>
    <t xml:space="preserve">OUTPATIENT DRUG FREE TREATMENT SERVICES </t>
  </si>
  <si>
    <t xml:space="preserve">Perinatal </t>
  </si>
  <si>
    <t>Diff GF</t>
  </si>
  <si>
    <t>General Fund</t>
  </si>
  <si>
    <t>Claims Payment Error</t>
  </si>
  <si>
    <t>Diff FF</t>
  </si>
  <si>
    <t xml:space="preserve">INTENSIVE OUTPATIENT TREATMENT SERVICES  </t>
  </si>
  <si>
    <t>DRUG MEDI-CAL ANNUAL RATE ADJUSTMENT</t>
  </si>
  <si>
    <t>M20 GF</t>
  </si>
  <si>
    <t>M20 FF</t>
  </si>
  <si>
    <t>May 2020 (M20) Estimate for FY 2020-21</t>
  </si>
  <si>
    <t>M20 TF</t>
  </si>
  <si>
    <t>M20 CF</t>
  </si>
  <si>
    <t xml:space="preserve">M20 CASELOAD </t>
  </si>
  <si>
    <t>Base 65</t>
  </si>
  <si>
    <t>Regular 63</t>
  </si>
  <si>
    <t>RESIDENTIAL TREATMENT SERVICES</t>
  </si>
  <si>
    <t>INTENSIVE OUTPATIENT TREATMENT SERVICES</t>
  </si>
  <si>
    <t>Other</t>
  </si>
  <si>
    <t>PHP Counties</t>
  </si>
  <si>
    <t>DRUG MEDI-CAL ORGANIZED DELIVERY SYSTEM WAIVER*</t>
  </si>
  <si>
    <t xml:space="preserve">*The Drug Medi-Cal Organized Delivery System Waiver estimate does not include caseload; the estimate is based on county specific rates and estimated utilization. </t>
  </si>
  <si>
    <t>Amounts may differ due to rounding.</t>
  </si>
  <si>
    <t>COVID-19 BEHAVIORAL HEALTH**</t>
  </si>
  <si>
    <t>DRUG MEDI-CAL MAT BENEFIT</t>
  </si>
  <si>
    <t>Fiscal Year 2020-21, May 2020 Estimate Compared to November 2020 Estimate</t>
  </si>
  <si>
    <t>November 2020 POLICY CHANGE</t>
  </si>
  <si>
    <t>Base 60</t>
  </si>
  <si>
    <t>Base 61</t>
  </si>
  <si>
    <t>Base 62</t>
  </si>
  <si>
    <t>Regular 59</t>
  </si>
  <si>
    <t>Regular 64</t>
  </si>
  <si>
    <t>Regular 66</t>
  </si>
  <si>
    <t>Regular 173</t>
  </si>
  <si>
    <t>OA 17</t>
  </si>
  <si>
    <t>OA 16</t>
  </si>
  <si>
    <t>OA 44</t>
  </si>
  <si>
    <t>November 2020 (N20) Estimate for FY 2020-21</t>
  </si>
  <si>
    <t>N20 TF</t>
  </si>
  <si>
    <t>N20 GF</t>
  </si>
  <si>
    <t>N20 FF</t>
  </si>
  <si>
    <t>N20 CF</t>
  </si>
  <si>
    <t xml:space="preserve">N20 CASELOAD </t>
  </si>
  <si>
    <t>November 2020 Estimate, FY 2020-21 Compared to FY 2021-22</t>
  </si>
  <si>
    <t>November 2020 (N20) Estimate for FY 2021-22</t>
  </si>
  <si>
    <t>Regular 244</t>
  </si>
  <si>
    <t>STATE ONLY CLAIMING ADJUSTMENT - SMHS AND DMC***</t>
  </si>
  <si>
    <t>DRUG MEDI-CAL PARITY RULE ADMINISTRATION****</t>
  </si>
  <si>
    <t>**The COVID-19 Behavioral Health policy change estimates the cost of establishing interim rates for certain Behavioral Health Medi-Cal programs due to impacts resulting from the Coronavirus disease 2019 (COVID-19) pandemic. Only the Drug Medi-Cal impact is shown in the table.</t>
  </si>
  <si>
    <t>***The State Only Claiming Adjustment - SMHS &amp; DMC policy change estimates the return of federal funds  to the federal government for claiming for Drug Medi-Cal provided to individuals without satisfactory immigration status in full-scope Medi-Cal coverage. Only the Drug Medi-Cal impact is shown in the table.</t>
  </si>
  <si>
    <t>****The Drug Medi-Cal Parity Rule Administration is a new policy change included in the November 2020 Estimate to estimate the administration cost related to the Parity Rule activities for Drug Medi-Cal State Plan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</si>
</sst>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s>
  <fonts count="14" x14ac:knownFonts="1">
    <font>
      <sz val="11"/>
      <color theme="1"/>
      <name val="Calibri"/>
      <family val="2"/>
      <scheme val="minor"/>
    </font>
    <font>
      <sz val="11"/>
      <color theme="1"/>
      <name val="Calibri"/>
      <family val="2"/>
      <scheme val="minor"/>
    </font>
    <font>
      <sz val="12"/>
      <name val="Arial"/>
      <family val="2"/>
    </font>
    <font>
      <b/>
      <sz val="12"/>
      <name val="Arial"/>
      <family val="2"/>
    </font>
    <font>
      <b/>
      <u/>
      <sz val="12"/>
      <name val="Arial"/>
      <family val="2"/>
    </font>
    <font>
      <b/>
      <sz val="12"/>
      <color theme="1"/>
      <name val="Arial"/>
      <family val="2"/>
    </font>
    <font>
      <sz val="12"/>
      <color theme="1"/>
      <name val="Arial"/>
      <family val="2"/>
    </font>
    <font>
      <sz val="12"/>
      <color rgb="FFFF0000"/>
      <name val="Arial"/>
      <family val="2"/>
    </font>
    <font>
      <sz val="11"/>
      <name val="Arial"/>
      <family val="2"/>
    </font>
    <font>
      <sz val="11"/>
      <color theme="1"/>
      <name val="Arial"/>
      <family val="2"/>
    </font>
    <font>
      <b/>
      <sz val="11"/>
      <color theme="1"/>
      <name val="Arial"/>
      <family val="2"/>
    </font>
    <font>
      <vertAlign val="superscript"/>
      <sz val="11"/>
      <color theme="1"/>
      <name val="Arial"/>
      <family val="2"/>
    </font>
    <font>
      <sz val="12"/>
      <color rgb="FFFF0066"/>
      <name val="Arial"/>
      <family val="2"/>
    </font>
    <font>
      <sz val="12"/>
      <color theme="0" tint="-0.49998474074526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3">
    <border>
      <left/>
      <right/>
      <top/>
      <bottom/>
      <diagonal/>
    </border>
    <border>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style="medium">
        <color indexed="64"/>
      </bottom>
      <diagonal/>
    </border>
    <border>
      <left style="thin">
        <color indexed="64"/>
      </left>
      <right/>
      <top style="medium">
        <color indexed="64"/>
      </top>
      <bottom style="thin">
        <color theme="4" tint="0.39997558519241921"/>
      </bottom>
      <diagonal/>
    </border>
    <border>
      <left style="thin">
        <color indexed="64"/>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thin">
        <color auto="1"/>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double">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s>
  <cellStyleXfs count="6">
    <xf numFmtId="0" fontId="0"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18">
    <xf numFmtId="0" fontId="0" fillId="0" borderId="0" xfId="0"/>
    <xf numFmtId="0" fontId="3" fillId="0" borderId="0" xfId="1" applyFont="1" applyFill="1" applyAlignment="1" applyProtection="1">
      <alignment horizontal="centerContinuous"/>
    </xf>
    <xf numFmtId="5" fontId="6" fillId="0" borderId="0" xfId="1" applyNumberFormat="1" applyFont="1" applyAlignment="1" applyProtection="1"/>
    <xf numFmtId="5" fontId="2" fillId="0" borderId="0" xfId="1" applyNumberFormat="1" applyFont="1" applyFill="1" applyAlignment="1" applyProtection="1"/>
    <xf numFmtId="0" fontId="3" fillId="0" borderId="0" xfId="1" applyFont="1" applyFill="1" applyAlignment="1" applyProtection="1">
      <alignment horizontal="centerContinuous"/>
      <protection locked="0"/>
    </xf>
    <xf numFmtId="0" fontId="2" fillId="0" borderId="0" xfId="1" applyFont="1" applyFill="1" applyAlignment="1" applyProtection="1">
      <alignment horizontal="left"/>
      <protection locked="0"/>
    </xf>
    <xf numFmtId="5" fontId="3" fillId="3" borderId="3" xfId="1" applyNumberFormat="1" applyFont="1" applyFill="1" applyBorder="1" applyAlignment="1" applyProtection="1">
      <alignment horizontal="center"/>
      <protection locked="0"/>
    </xf>
    <xf numFmtId="5" fontId="3" fillId="3" borderId="2" xfId="1" applyNumberFormat="1" applyFont="1" applyFill="1" applyBorder="1" applyAlignment="1" applyProtection="1">
      <alignment horizontal="center"/>
      <protection locked="0"/>
    </xf>
    <xf numFmtId="5" fontId="3" fillId="3" borderId="2" xfId="1" applyNumberFormat="1" applyFont="1" applyFill="1" applyBorder="1" applyAlignment="1" applyProtection="1">
      <alignment horizontal="center" wrapText="1"/>
      <protection locked="0"/>
    </xf>
    <xf numFmtId="0" fontId="3" fillId="3" borderId="1" xfId="1" applyFont="1" applyFill="1" applyBorder="1" applyAlignment="1" applyProtection="1">
      <alignment horizontal="center"/>
      <protection locked="0"/>
    </xf>
    <xf numFmtId="0" fontId="3" fillId="0" borderId="13" xfId="1" applyFont="1" applyFill="1" applyBorder="1" applyAlignment="1" applyProtection="1">
      <alignment horizontal="left"/>
      <protection locked="0"/>
    </xf>
    <xf numFmtId="5" fontId="3" fillId="0" borderId="12" xfId="1" applyNumberFormat="1" applyFont="1" applyFill="1" applyBorder="1" applyAlignment="1" applyProtection="1">
      <protection locked="0"/>
    </xf>
    <xf numFmtId="5" fontId="3" fillId="0" borderId="13" xfId="1" applyNumberFormat="1" applyFont="1" applyFill="1" applyBorder="1" applyAlignment="1" applyProtection="1">
      <protection locked="0"/>
    </xf>
    <xf numFmtId="0" fontId="2" fillId="0" borderId="0" xfId="1" applyFont="1" applyFill="1" applyBorder="1" applyAlignment="1" applyProtection="1">
      <protection locked="0"/>
    </xf>
    <xf numFmtId="0" fontId="2" fillId="0" borderId="4" xfId="1" applyFont="1" applyFill="1" applyBorder="1" applyProtection="1">
      <protection locked="0"/>
    </xf>
    <xf numFmtId="5" fontId="2" fillId="0" borderId="5" xfId="1" applyNumberFormat="1" applyFont="1" applyFill="1" applyBorder="1" applyAlignment="1" applyProtection="1">
      <protection locked="0"/>
    </xf>
    <xf numFmtId="5" fontId="2" fillId="0" borderId="0" xfId="1" applyNumberFormat="1" applyFont="1" applyFill="1" applyBorder="1" applyAlignment="1" applyProtection="1">
      <protection locked="0"/>
    </xf>
    <xf numFmtId="0" fontId="2" fillId="0" borderId="16" xfId="1" applyFont="1" applyFill="1" applyBorder="1" applyAlignment="1" applyProtection="1">
      <protection locked="0"/>
    </xf>
    <xf numFmtId="0" fontId="2" fillId="0" borderId="17" xfId="1" applyFont="1" applyFill="1" applyBorder="1" applyProtection="1">
      <protection locked="0"/>
    </xf>
    <xf numFmtId="5" fontId="2" fillId="0" borderId="15" xfId="1" applyNumberFormat="1" applyFont="1" applyFill="1" applyBorder="1" applyAlignment="1" applyProtection="1">
      <protection locked="0"/>
    </xf>
    <xf numFmtId="5" fontId="2" fillId="0" borderId="16" xfId="1" applyNumberFormat="1" applyFont="1" applyFill="1" applyBorder="1" applyAlignment="1" applyProtection="1">
      <protection locked="0"/>
    </xf>
    <xf numFmtId="0" fontId="3" fillId="0" borderId="13" xfId="1" applyFont="1" applyFill="1" applyBorder="1" applyAlignment="1" applyProtection="1">
      <protection locked="0"/>
    </xf>
    <xf numFmtId="0" fontId="2" fillId="0" borderId="0" xfId="1" applyFont="1" applyFill="1" applyBorder="1" applyAlignment="1" applyProtection="1">
      <alignment horizontal="left"/>
      <protection locked="0"/>
    </xf>
    <xf numFmtId="0" fontId="2" fillId="0" borderId="0" xfId="1" applyFont="1" applyFill="1" applyBorder="1" applyProtection="1">
      <protection locked="0"/>
    </xf>
    <xf numFmtId="0" fontId="2" fillId="0" borderId="16" xfId="1" applyFont="1" applyFill="1" applyBorder="1" applyAlignment="1" applyProtection="1">
      <alignment horizontal="left"/>
      <protection locked="0"/>
    </xf>
    <xf numFmtId="0" fontId="3" fillId="0" borderId="0" xfId="1" applyFont="1" applyFill="1" applyBorder="1" applyProtection="1">
      <protection locked="0"/>
    </xf>
    <xf numFmtId="5" fontId="3" fillId="0" borderId="5" xfId="1" applyNumberFormat="1" applyFont="1" applyFill="1" applyBorder="1" applyAlignment="1" applyProtection="1">
      <protection locked="0"/>
    </xf>
    <xf numFmtId="5" fontId="3" fillId="0" borderId="0" xfId="1" applyNumberFormat="1" applyFont="1" applyFill="1" applyBorder="1" applyAlignment="1" applyProtection="1">
      <protection locked="0"/>
    </xf>
    <xf numFmtId="0" fontId="3" fillId="0" borderId="19" xfId="1" applyFont="1" applyFill="1" applyBorder="1" applyProtection="1">
      <protection locked="0"/>
    </xf>
    <xf numFmtId="165" fontId="3" fillId="0" borderId="4" xfId="1" applyNumberFormat="1" applyFont="1" applyFill="1" applyBorder="1" applyAlignment="1" applyProtection="1">
      <alignment horizontal="left"/>
      <protection locked="0"/>
    </xf>
    <xf numFmtId="165" fontId="3" fillId="0" borderId="4" xfId="1" applyNumberFormat="1" applyFont="1" applyFill="1" applyBorder="1" applyAlignment="1" applyProtection="1">
      <alignment horizontal="left" indent="3"/>
      <protection locked="0"/>
    </xf>
    <xf numFmtId="0" fontId="3" fillId="0" borderId="2" xfId="1" applyFont="1" applyFill="1" applyBorder="1" applyAlignment="1" applyProtection="1">
      <alignment horizontal="center"/>
      <protection locked="0"/>
    </xf>
    <xf numFmtId="0" fontId="3" fillId="0" borderId="2" xfId="1" applyFont="1" applyFill="1" applyBorder="1" applyProtection="1">
      <protection locked="0"/>
    </xf>
    <xf numFmtId="0" fontId="2" fillId="0" borderId="21" xfId="1" applyNumberFormat="1" applyFont="1" applyBorder="1" applyAlignment="1" applyProtection="1">
      <protection locked="0"/>
    </xf>
    <xf numFmtId="0" fontId="2" fillId="0" borderId="22" xfId="1" applyNumberFormat="1" applyFont="1" applyBorder="1" applyAlignment="1" applyProtection="1">
      <protection locked="0"/>
    </xf>
    <xf numFmtId="0" fontId="3" fillId="0" borderId="19" xfId="1" applyFont="1" applyFill="1" applyBorder="1" applyAlignment="1" applyProtection="1">
      <protection locked="0"/>
    </xf>
    <xf numFmtId="0" fontId="3" fillId="0" borderId="17" xfId="1" applyFont="1" applyFill="1" applyBorder="1" applyAlignment="1" applyProtection="1">
      <alignment horizontal="left" indent="3"/>
      <protection locked="0"/>
    </xf>
    <xf numFmtId="0" fontId="3" fillId="0" borderId="16" xfId="1" applyFont="1" applyFill="1" applyBorder="1" applyAlignment="1" applyProtection="1">
      <alignment horizontal="right"/>
      <protection locked="0"/>
    </xf>
    <xf numFmtId="0" fontId="3" fillId="0" borderId="17" xfId="1" applyFont="1" applyFill="1" applyBorder="1" applyProtection="1">
      <protection locked="0"/>
    </xf>
    <xf numFmtId="5" fontId="3" fillId="3" borderId="15" xfId="1" applyNumberFormat="1" applyFont="1" applyFill="1" applyBorder="1" applyAlignment="1" applyProtection="1">
      <alignment horizontal="center"/>
      <protection locked="0"/>
    </xf>
    <xf numFmtId="5" fontId="3" fillId="3" borderId="16" xfId="1" applyNumberFormat="1" applyFont="1" applyFill="1" applyBorder="1" applyAlignment="1" applyProtection="1">
      <alignment horizontal="center"/>
      <protection locked="0"/>
    </xf>
    <xf numFmtId="5" fontId="3" fillId="3" borderId="16" xfId="1" applyNumberFormat="1" applyFont="1" applyFill="1" applyBorder="1" applyAlignment="1" applyProtection="1">
      <alignment horizontal="center" wrapText="1"/>
      <protection locked="0"/>
    </xf>
    <xf numFmtId="0" fontId="2" fillId="0" borderId="0" xfId="1" applyFont="1" applyFill="1" applyBorder="1" applyAlignment="1" applyProtection="1">
      <alignment horizontal="right" indent="1"/>
      <protection locked="0"/>
    </xf>
    <xf numFmtId="5" fontId="7" fillId="0" borderId="0" xfId="1" applyNumberFormat="1" applyFont="1" applyFill="1" applyBorder="1" applyAlignment="1" applyProtection="1">
      <protection locked="0"/>
    </xf>
    <xf numFmtId="164" fontId="7" fillId="0" borderId="0" xfId="2" applyNumberFormat="1" applyFont="1" applyFill="1" applyBorder="1" applyAlignment="1" applyProtection="1">
      <alignment horizontal="right" indent="1"/>
      <protection locked="0"/>
    </xf>
    <xf numFmtId="164" fontId="2" fillId="0" borderId="0" xfId="2" applyNumberFormat="1" applyFont="1" applyFill="1" applyBorder="1" applyAlignment="1" applyProtection="1">
      <alignment horizontal="right" indent="1"/>
      <protection locked="0"/>
    </xf>
    <xf numFmtId="165" fontId="3" fillId="0" borderId="20" xfId="1" applyNumberFormat="1" applyFont="1" applyFill="1" applyBorder="1" applyAlignment="1" applyProtection="1">
      <protection locked="0"/>
    </xf>
    <xf numFmtId="0" fontId="3" fillId="0" borderId="17" xfId="1" applyFont="1" applyFill="1" applyBorder="1" applyAlignment="1" applyProtection="1">
      <protection locked="0"/>
    </xf>
    <xf numFmtId="0" fontId="2" fillId="0" borderId="0" xfId="1" applyFont="1" applyFill="1" applyProtection="1"/>
    <xf numFmtId="0" fontId="6" fillId="0" borderId="0" xfId="1" applyFont="1" applyProtection="1"/>
    <xf numFmtId="49" fontId="2" fillId="0" borderId="0" xfId="1" applyNumberFormat="1" applyFont="1" applyFill="1" applyAlignment="1" applyProtection="1"/>
    <xf numFmtId="164" fontId="2" fillId="0" borderId="0" xfId="2" applyNumberFormat="1" applyFont="1" applyProtection="1"/>
    <xf numFmtId="0" fontId="2" fillId="0" borderId="0" xfId="1" applyNumberFormat="1" applyFont="1" applyBorder="1" applyAlignment="1" applyProtection="1">
      <protection locked="0"/>
    </xf>
    <xf numFmtId="0" fontId="3" fillId="0" borderId="13" xfId="1" applyNumberFormat="1" applyFont="1" applyBorder="1" applyAlignment="1" applyProtection="1">
      <protection locked="0"/>
    </xf>
    <xf numFmtId="0" fontId="3" fillId="0" borderId="0" xfId="1" applyNumberFormat="1" applyFont="1" applyBorder="1" applyAlignment="1" applyProtection="1">
      <protection locked="0"/>
    </xf>
    <xf numFmtId="165" fontId="8" fillId="0" borderId="0" xfId="1" applyNumberFormat="1" applyFont="1" applyFill="1" applyAlignment="1" applyProtection="1">
      <alignment horizontal="left"/>
    </xf>
    <xf numFmtId="164" fontId="3" fillId="0" borderId="14" xfId="5" applyNumberFormat="1" applyFont="1" applyFill="1" applyBorder="1" applyAlignment="1" applyProtection="1">
      <alignment horizontal="right" indent="1"/>
      <protection locked="0"/>
    </xf>
    <xf numFmtId="164" fontId="2" fillId="0" borderId="4" xfId="5" applyNumberFormat="1" applyFont="1" applyFill="1" applyBorder="1" applyAlignment="1" applyProtection="1">
      <alignment horizontal="right" indent="1"/>
      <protection locked="0"/>
    </xf>
    <xf numFmtId="164" fontId="2" fillId="0" borderId="17" xfId="5" applyNumberFormat="1" applyFont="1" applyFill="1" applyBorder="1" applyAlignment="1" applyProtection="1">
      <alignment horizontal="right" indent="1"/>
      <protection locked="0"/>
    </xf>
    <xf numFmtId="164" fontId="3" fillId="0" borderId="0" xfId="5" applyNumberFormat="1" applyFont="1" applyFill="1" applyBorder="1" applyAlignment="1" applyProtection="1">
      <alignment horizontal="right" indent="1"/>
      <protection locked="0"/>
    </xf>
    <xf numFmtId="164" fontId="3" fillId="0" borderId="19" xfId="5" applyNumberFormat="1" applyFont="1" applyFill="1" applyBorder="1" applyAlignment="1" applyProtection="1">
      <alignment horizontal="right" indent="1"/>
      <protection locked="0"/>
    </xf>
    <xf numFmtId="164" fontId="3" fillId="0" borderId="20" xfId="5" applyNumberFormat="1" applyFont="1" applyFill="1" applyBorder="1" applyAlignment="1" applyProtection="1">
      <alignment horizontal="right" indent="1"/>
      <protection locked="0"/>
    </xf>
    <xf numFmtId="164" fontId="3" fillId="0" borderId="17" xfId="5" applyNumberFormat="1" applyFont="1" applyFill="1" applyBorder="1" applyAlignment="1" applyProtection="1">
      <alignment horizontal="right" indent="1"/>
      <protection locked="0"/>
    </xf>
    <xf numFmtId="164" fontId="3" fillId="0" borderId="20" xfId="5" applyNumberFormat="1" applyFont="1" applyFill="1" applyBorder="1" applyProtection="1">
      <protection locked="0"/>
    </xf>
    <xf numFmtId="164" fontId="3" fillId="0" borderId="13" xfId="5" applyNumberFormat="1" applyFont="1" applyFill="1" applyBorder="1" applyAlignment="1" applyProtection="1">
      <alignment horizontal="right" indent="1"/>
      <protection locked="0"/>
    </xf>
    <xf numFmtId="0" fontId="2" fillId="0" borderId="25" xfId="1" applyFont="1" applyFill="1" applyBorder="1" applyAlignment="1" applyProtection="1">
      <alignment horizontal="left" wrapText="1"/>
      <protection locked="0"/>
    </xf>
    <xf numFmtId="0" fontId="2" fillId="0" borderId="29" xfId="1" applyFont="1" applyFill="1" applyBorder="1" applyAlignment="1" applyProtection="1">
      <alignment horizontal="left"/>
      <protection locked="0"/>
    </xf>
    <xf numFmtId="0" fontId="2" fillId="0" borderId="27" xfId="1" applyFont="1" applyFill="1" applyBorder="1" applyAlignment="1" applyProtection="1">
      <alignment horizontal="left"/>
      <protection locked="0"/>
    </xf>
    <xf numFmtId="0" fontId="2" fillId="0" borderId="32" xfId="1" applyFont="1" applyFill="1" applyBorder="1" applyAlignment="1" applyProtection="1">
      <alignment horizontal="left"/>
      <protection locked="0"/>
    </xf>
    <xf numFmtId="165" fontId="3" fillId="0" borderId="19" xfId="1" applyNumberFormat="1" applyFont="1" applyFill="1" applyBorder="1" applyAlignment="1" applyProtection="1">
      <protection locked="0"/>
    </xf>
    <xf numFmtId="0" fontId="4" fillId="0" borderId="29" xfId="1" applyFont="1" applyFill="1" applyBorder="1" applyAlignment="1" applyProtection="1">
      <protection locked="0"/>
    </xf>
    <xf numFmtId="0" fontId="3" fillId="3" borderId="12" xfId="1" applyFont="1" applyFill="1" applyBorder="1" applyAlignment="1" applyProtection="1">
      <alignment horizontal="centerContinuous"/>
      <protection locked="0"/>
    </xf>
    <xf numFmtId="0" fontId="3" fillId="3" borderId="13" xfId="1" applyFont="1" applyFill="1" applyBorder="1" applyAlignment="1" applyProtection="1">
      <alignment horizontal="centerContinuous"/>
      <protection locked="0"/>
    </xf>
    <xf numFmtId="0" fontId="3" fillId="3" borderId="14" xfId="1" applyFont="1" applyFill="1" applyBorder="1" applyAlignment="1" applyProtection="1">
      <alignment horizontal="centerContinuous"/>
      <protection locked="0"/>
    </xf>
    <xf numFmtId="5" fontId="3" fillId="3" borderId="12" xfId="1" applyNumberFormat="1" applyFont="1" applyFill="1" applyBorder="1" applyAlignment="1" applyProtection="1">
      <alignment horizontal="centerContinuous"/>
      <protection locked="0"/>
    </xf>
    <xf numFmtId="5" fontId="3" fillId="3" borderId="13" xfId="1" applyNumberFormat="1" applyFont="1" applyFill="1" applyBorder="1" applyAlignment="1" applyProtection="1">
      <alignment horizontal="centerContinuous"/>
      <protection locked="0"/>
    </xf>
    <xf numFmtId="5" fontId="3" fillId="3" borderId="31" xfId="1" applyNumberFormat="1" applyFont="1" applyFill="1" applyBorder="1" applyAlignment="1" applyProtection="1">
      <alignment horizontal="centerContinuous"/>
      <protection locked="0"/>
    </xf>
    <xf numFmtId="0" fontId="3" fillId="0" borderId="32" xfId="1" applyFont="1" applyFill="1" applyBorder="1" applyAlignment="1" applyProtection="1">
      <alignment horizontal="center"/>
      <protection locked="0"/>
    </xf>
    <xf numFmtId="164" fontId="5" fillId="3" borderId="33" xfId="2" applyNumberFormat="1" applyFont="1" applyFill="1" applyBorder="1" applyAlignment="1" applyProtection="1">
      <alignment horizontal="center"/>
      <protection locked="0"/>
    </xf>
    <xf numFmtId="1" fontId="2" fillId="0" borderId="27" xfId="1" applyNumberFormat="1" applyFont="1" applyFill="1" applyBorder="1" applyAlignment="1" applyProtection="1">
      <alignment horizontal="left"/>
      <protection locked="0"/>
    </xf>
    <xf numFmtId="1" fontId="2" fillId="0" borderId="32" xfId="1" applyNumberFormat="1" applyFont="1" applyFill="1" applyBorder="1" applyAlignment="1" applyProtection="1">
      <alignment horizontal="left"/>
      <protection locked="0"/>
    </xf>
    <xf numFmtId="0" fontId="2" fillId="0" borderId="25" xfId="1" applyFont="1" applyFill="1" applyBorder="1" applyAlignment="1" applyProtection="1">
      <alignment horizontal="left"/>
      <protection locked="0"/>
    </xf>
    <xf numFmtId="164" fontId="3" fillId="0" borderId="31" xfId="5" applyNumberFormat="1" applyFont="1" applyFill="1" applyBorder="1" applyAlignment="1" applyProtection="1">
      <alignment horizontal="right" indent="1"/>
      <protection locked="0"/>
    </xf>
    <xf numFmtId="164" fontId="2" fillId="0" borderId="30" xfId="5" applyNumberFormat="1" applyFont="1" applyFill="1" applyBorder="1" applyAlignment="1" applyProtection="1">
      <alignment horizontal="right" indent="1"/>
      <protection locked="0"/>
    </xf>
    <xf numFmtId="164" fontId="2" fillId="0" borderId="28" xfId="5" applyNumberFormat="1" applyFont="1" applyFill="1" applyBorder="1" applyAlignment="1" applyProtection="1">
      <alignment horizontal="right" indent="1"/>
      <protection locked="0"/>
    </xf>
    <xf numFmtId="164" fontId="3" fillId="0" borderId="31" xfId="5" applyNumberFormat="1" applyFont="1" applyFill="1" applyBorder="1" applyAlignment="1" applyProtection="1">
      <protection locked="0"/>
    </xf>
    <xf numFmtId="164" fontId="2" fillId="0" borderId="30" xfId="5" applyNumberFormat="1" applyFont="1" applyFill="1" applyBorder="1" applyAlignment="1" applyProtection="1">
      <protection locked="0"/>
    </xf>
    <xf numFmtId="164" fontId="2" fillId="0" borderId="28" xfId="5" applyNumberFormat="1" applyFont="1" applyFill="1" applyBorder="1" applyAlignment="1" applyProtection="1">
      <protection locked="0"/>
    </xf>
    <xf numFmtId="164" fontId="3" fillId="0" borderId="30" xfId="5" applyNumberFormat="1" applyFont="1" applyFill="1" applyBorder="1" applyAlignment="1" applyProtection="1">
      <alignment horizontal="right" indent="1"/>
      <protection locked="0"/>
    </xf>
    <xf numFmtId="164" fontId="3" fillId="0" borderId="28" xfId="5" applyNumberFormat="1" applyFont="1" applyFill="1" applyBorder="1" applyAlignment="1" applyProtection="1">
      <alignment horizontal="right" indent="1"/>
      <protection locked="0"/>
    </xf>
    <xf numFmtId="164" fontId="3" fillId="0" borderId="26" xfId="5" applyNumberFormat="1" applyFont="1" applyFill="1" applyBorder="1" applyAlignment="1" applyProtection="1">
      <alignment horizontal="right" indent="1"/>
      <protection locked="0"/>
    </xf>
    <xf numFmtId="0" fontId="6" fillId="0" borderId="0" xfId="1" applyFont="1" applyFill="1" applyProtection="1">
      <protection locked="0"/>
    </xf>
    <xf numFmtId="0" fontId="6" fillId="0" borderId="0" xfId="1" applyFont="1" applyProtection="1">
      <protection locked="0"/>
    </xf>
    <xf numFmtId="0" fontId="5" fillId="0" borderId="0" xfId="1" applyFont="1" applyFill="1" applyProtection="1">
      <protection locked="0"/>
    </xf>
    <xf numFmtId="0" fontId="5" fillId="0" borderId="0" xfId="1" applyFont="1" applyProtection="1">
      <protection locked="0"/>
    </xf>
    <xf numFmtId="0" fontId="6" fillId="0" borderId="0" xfId="1" applyFont="1" applyFill="1" applyBorder="1" applyProtection="1">
      <protection locked="0"/>
    </xf>
    <xf numFmtId="0" fontId="2" fillId="0" borderId="0" xfId="1" applyFont="1" applyFill="1" applyProtection="1">
      <protection locked="0"/>
    </xf>
    <xf numFmtId="164" fontId="6" fillId="0" borderId="0" xfId="1" applyNumberFormat="1" applyFont="1" applyFill="1" applyProtection="1">
      <protection locked="0"/>
    </xf>
    <xf numFmtId="0" fontId="6" fillId="2" borderId="0" xfId="1" applyFont="1" applyFill="1" applyProtection="1">
      <protection locked="0"/>
    </xf>
    <xf numFmtId="165" fontId="3" fillId="0" borderId="0" xfId="1" applyNumberFormat="1" applyFont="1" applyFill="1" applyBorder="1" applyProtection="1">
      <protection locked="0"/>
    </xf>
    <xf numFmtId="0" fontId="6" fillId="0" borderId="0" xfId="1" applyFont="1" applyBorder="1" applyProtection="1">
      <protection locked="0"/>
    </xf>
    <xf numFmtId="0" fontId="6" fillId="2" borderId="0" xfId="1" applyFont="1" applyFill="1" applyBorder="1" applyProtection="1">
      <protection locked="0"/>
    </xf>
    <xf numFmtId="0" fontId="9" fillId="0" borderId="0" xfId="1" applyFont="1" applyProtection="1"/>
    <xf numFmtId="0" fontId="2" fillId="0" borderId="8" xfId="1" applyFont="1" applyFill="1" applyBorder="1" applyAlignment="1" applyProtection="1">
      <alignment horizontal="left"/>
      <protection locked="0"/>
    </xf>
    <xf numFmtId="0" fontId="3" fillId="0" borderId="7" xfId="1" applyFont="1" applyFill="1" applyBorder="1" applyAlignment="1" applyProtection="1">
      <alignment horizontal="left"/>
      <protection locked="0"/>
    </xf>
    <xf numFmtId="5" fontId="3" fillId="0" borderId="35" xfId="1" applyNumberFormat="1" applyFont="1" applyFill="1" applyBorder="1" applyAlignment="1" applyProtection="1">
      <protection locked="0"/>
    </xf>
    <xf numFmtId="5" fontId="3" fillId="0" borderId="36" xfId="1" applyNumberFormat="1" applyFont="1" applyFill="1" applyBorder="1" applyAlignment="1" applyProtection="1">
      <protection locked="0"/>
    </xf>
    <xf numFmtId="5" fontId="3" fillId="0" borderId="19" xfId="1" applyNumberFormat="1" applyFont="1" applyFill="1" applyBorder="1" applyAlignment="1" applyProtection="1">
      <protection locked="0"/>
    </xf>
    <xf numFmtId="5" fontId="3" fillId="0" borderId="18" xfId="1" applyNumberFormat="1" applyFont="1" applyFill="1" applyBorder="1" applyAlignment="1" applyProtection="1">
      <protection locked="0"/>
    </xf>
    <xf numFmtId="164" fontId="3" fillId="0" borderId="18" xfId="5" applyNumberFormat="1" applyFont="1" applyFill="1" applyBorder="1" applyAlignment="1" applyProtection="1">
      <protection locked="0"/>
    </xf>
    <xf numFmtId="5" fontId="2" fillId="0" borderId="5" xfId="4" applyNumberFormat="1" applyFont="1" applyFill="1" applyBorder="1" applyAlignment="1" applyProtection="1">
      <protection locked="0"/>
    </xf>
    <xf numFmtId="164" fontId="3" fillId="0" borderId="26" xfId="5" applyNumberFormat="1" applyFont="1" applyFill="1" applyBorder="1" applyAlignment="1" applyProtection="1">
      <protection locked="0"/>
    </xf>
    <xf numFmtId="5" fontId="2" fillId="0" borderId="0" xfId="4" applyNumberFormat="1" applyFont="1" applyFill="1" applyBorder="1" applyAlignment="1" applyProtection="1">
      <protection locked="0"/>
    </xf>
    <xf numFmtId="164" fontId="2" fillId="0" borderId="15" xfId="5" applyNumberFormat="1" applyFont="1" applyFill="1" applyBorder="1" applyAlignment="1" applyProtection="1">
      <protection locked="0"/>
    </xf>
    <xf numFmtId="5" fontId="2" fillId="0" borderId="15" xfId="4" applyNumberFormat="1" applyFont="1" applyFill="1" applyBorder="1" applyAlignment="1" applyProtection="1">
      <protection locked="0"/>
    </xf>
    <xf numFmtId="5" fontId="2" fillId="0" borderId="16" xfId="4" applyNumberFormat="1" applyFont="1" applyFill="1" applyBorder="1" applyAlignment="1" applyProtection="1">
      <protection locked="0"/>
    </xf>
    <xf numFmtId="0" fontId="2" fillId="0" borderId="7" xfId="1" applyFont="1" applyFill="1" applyBorder="1" applyAlignment="1" applyProtection="1">
      <alignment horizontal="left"/>
    </xf>
    <xf numFmtId="0" fontId="4" fillId="0" borderId="13" xfId="1" applyFont="1" applyFill="1" applyBorder="1" applyAlignment="1" applyProtection="1">
      <protection locked="0"/>
    </xf>
    <xf numFmtId="0" fontId="4" fillId="0" borderId="14" xfId="1" applyFont="1" applyFill="1" applyBorder="1" applyAlignment="1" applyProtection="1">
      <protection locked="0"/>
    </xf>
    <xf numFmtId="0" fontId="3" fillId="0" borderId="32" xfId="1" applyFont="1" applyFill="1" applyBorder="1" applyAlignment="1" applyProtection="1">
      <alignment horizontal="left"/>
      <protection locked="0"/>
    </xf>
    <xf numFmtId="164" fontId="5" fillId="3" borderId="28" xfId="2" applyNumberFormat="1" applyFont="1" applyFill="1" applyBorder="1" applyAlignment="1" applyProtection="1">
      <alignment horizontal="center"/>
      <protection locked="0"/>
    </xf>
    <xf numFmtId="0" fontId="2" fillId="0" borderId="39" xfId="1" applyFont="1" applyFill="1" applyBorder="1" applyAlignment="1" applyProtection="1">
      <alignment horizontal="left"/>
      <protection locked="0"/>
    </xf>
    <xf numFmtId="164" fontId="3" fillId="0" borderId="40" xfId="5" applyNumberFormat="1" applyFont="1" applyFill="1" applyBorder="1" applyAlignment="1" applyProtection="1">
      <alignment horizontal="right" indent="1"/>
      <protection locked="0"/>
    </xf>
    <xf numFmtId="164" fontId="3" fillId="0" borderId="30" xfId="5" applyNumberFormat="1" applyFont="1" applyFill="1" applyBorder="1" applyAlignment="1" applyProtection="1">
      <alignment horizontal="center"/>
      <protection locked="0"/>
    </xf>
    <xf numFmtId="164" fontId="3" fillId="0" borderId="41" xfId="5" applyNumberFormat="1" applyFont="1" applyFill="1" applyBorder="1" applyAlignment="1" applyProtection="1">
      <protection locked="0"/>
    </xf>
    <xf numFmtId="164" fontId="2" fillId="0" borderId="42" xfId="5" applyNumberFormat="1" applyFont="1" applyFill="1" applyBorder="1" applyAlignment="1" applyProtection="1">
      <protection locked="0"/>
    </xf>
    <xf numFmtId="164" fontId="2" fillId="0" borderId="38" xfId="5" applyNumberFormat="1" applyFont="1" applyFill="1" applyBorder="1" applyAlignment="1" applyProtection="1">
      <protection locked="0"/>
    </xf>
    <xf numFmtId="0" fontId="3" fillId="0" borderId="13" xfId="1" applyFont="1" applyFill="1" applyBorder="1" applyProtection="1">
      <protection locked="0"/>
    </xf>
    <xf numFmtId="0" fontId="3" fillId="0" borderId="12" xfId="1" applyFont="1" applyFill="1" applyBorder="1" applyAlignment="1" applyProtection="1">
      <alignment horizontal="centerContinuous"/>
      <protection locked="0"/>
    </xf>
    <xf numFmtId="0" fontId="3" fillId="0" borderId="13" xfId="1" applyFont="1" applyFill="1" applyBorder="1" applyAlignment="1" applyProtection="1">
      <alignment horizontal="centerContinuous"/>
      <protection locked="0"/>
    </xf>
    <xf numFmtId="0" fontId="3" fillId="0" borderId="14" xfId="1" applyFont="1" applyFill="1" applyBorder="1" applyAlignment="1" applyProtection="1">
      <alignment horizontal="centerContinuous"/>
      <protection locked="0"/>
    </xf>
    <xf numFmtId="5" fontId="3" fillId="0" borderId="3" xfId="1" applyNumberFormat="1" applyFont="1" applyFill="1" applyBorder="1" applyAlignment="1" applyProtection="1">
      <alignment horizontal="center"/>
      <protection locked="0"/>
    </xf>
    <xf numFmtId="5" fontId="3" fillId="0" borderId="2" xfId="1" applyNumberFormat="1" applyFont="1" applyFill="1" applyBorder="1" applyAlignment="1" applyProtection="1">
      <alignment horizontal="center"/>
      <protection locked="0"/>
    </xf>
    <xf numFmtId="5" fontId="3" fillId="0" borderId="2" xfId="1" applyNumberFormat="1" applyFont="1" applyFill="1" applyBorder="1" applyAlignment="1" applyProtection="1">
      <alignment horizontal="center" wrapText="1"/>
      <protection locked="0"/>
    </xf>
    <xf numFmtId="0" fontId="3" fillId="0" borderId="1" xfId="1" applyFont="1" applyFill="1" applyBorder="1" applyAlignment="1" applyProtection="1">
      <alignment horizontal="center"/>
      <protection locked="0"/>
    </xf>
    <xf numFmtId="5" fontId="3" fillId="0" borderId="16" xfId="1" applyNumberFormat="1" applyFont="1" applyFill="1" applyBorder="1" applyAlignment="1" applyProtection="1">
      <alignment horizontal="center"/>
      <protection locked="0"/>
    </xf>
    <xf numFmtId="5" fontId="3" fillId="0" borderId="16" xfId="1" applyNumberFormat="1" applyFont="1" applyFill="1" applyBorder="1" applyAlignment="1" applyProtection="1">
      <alignment horizontal="center" wrapText="1"/>
      <protection locked="0"/>
    </xf>
    <xf numFmtId="0" fontId="3" fillId="0" borderId="16" xfId="1" applyFont="1" applyFill="1" applyBorder="1" applyAlignment="1" applyProtection="1">
      <alignment horizontal="center"/>
      <protection locked="0"/>
    </xf>
    <xf numFmtId="164" fontId="3" fillId="0" borderId="14" xfId="5" applyNumberFormat="1" applyFont="1" applyFill="1" applyBorder="1" applyAlignment="1" applyProtection="1">
      <protection locked="0"/>
    </xf>
    <xf numFmtId="164" fontId="3" fillId="0" borderId="4" xfId="5" applyNumberFormat="1" applyFont="1" applyFill="1" applyBorder="1" applyAlignment="1" applyProtection="1">
      <alignment horizontal="right" indent="1"/>
      <protection locked="0"/>
    </xf>
    <xf numFmtId="0" fontId="5" fillId="0" borderId="0" xfId="1" applyFont="1" applyFill="1" applyAlignment="1" applyProtection="1">
      <alignment horizontal="left"/>
      <protection locked="0"/>
    </xf>
    <xf numFmtId="164" fontId="3" fillId="0" borderId="4" xfId="5" applyNumberFormat="1" applyFont="1" applyFill="1" applyBorder="1" applyAlignment="1" applyProtection="1">
      <protection locked="0"/>
    </xf>
    <xf numFmtId="164" fontId="2" fillId="0" borderId="0" xfId="5" applyNumberFormat="1" applyFont="1" applyFill="1" applyBorder="1" applyAlignment="1" applyProtection="1">
      <protection locked="0"/>
    </xf>
    <xf numFmtId="164" fontId="3" fillId="0" borderId="37" xfId="5" applyNumberFormat="1" applyFont="1" applyFill="1" applyBorder="1" applyAlignment="1" applyProtection="1">
      <protection locked="0"/>
    </xf>
    <xf numFmtId="164" fontId="2" fillId="0" borderId="16" xfId="5" applyNumberFormat="1" applyFont="1" applyFill="1" applyBorder="1" applyAlignment="1" applyProtection="1">
      <protection locked="0"/>
    </xf>
    <xf numFmtId="164" fontId="3" fillId="0" borderId="13" xfId="5" applyNumberFormat="1" applyFont="1" applyFill="1" applyBorder="1" applyAlignment="1" applyProtection="1">
      <protection locked="0"/>
    </xf>
    <xf numFmtId="164" fontId="2" fillId="0" borderId="4" xfId="5" applyNumberFormat="1" applyFont="1" applyFill="1" applyBorder="1" applyAlignment="1" applyProtection="1">
      <protection locked="0"/>
    </xf>
    <xf numFmtId="164" fontId="3" fillId="0" borderId="20" xfId="5" applyNumberFormat="1" applyFont="1" applyFill="1" applyBorder="1" applyAlignment="1" applyProtection="1">
      <protection locked="0"/>
    </xf>
    <xf numFmtId="164" fontId="3" fillId="0" borderId="19" xfId="5" applyNumberFormat="1" applyFont="1" applyFill="1" applyBorder="1" applyAlignment="1" applyProtection="1">
      <protection locked="0"/>
    </xf>
    <xf numFmtId="5" fontId="8" fillId="0" borderId="0" xfId="1" applyNumberFormat="1" applyFont="1" applyAlignment="1" applyProtection="1"/>
    <xf numFmtId="5" fontId="2" fillId="0" borderId="0" xfId="1" applyNumberFormat="1" applyFont="1" applyAlignment="1" applyProtection="1"/>
    <xf numFmtId="0" fontId="2" fillId="0" borderId="0" xfId="1" applyFont="1" applyProtection="1"/>
    <xf numFmtId="5" fontId="6" fillId="0" borderId="0" xfId="1" applyNumberFormat="1" applyFont="1" applyFill="1" applyProtection="1">
      <protection locked="0"/>
    </xf>
    <xf numFmtId="5" fontId="13" fillId="0" borderId="7" xfId="1" applyNumberFormat="1" applyFont="1" applyFill="1" applyBorder="1" applyAlignment="1" applyProtection="1"/>
    <xf numFmtId="0" fontId="13" fillId="0" borderId="7" xfId="1" applyFont="1" applyFill="1" applyBorder="1" applyProtection="1"/>
    <xf numFmtId="0" fontId="13" fillId="0" borderId="0" xfId="1" applyFont="1" applyFill="1" applyAlignment="1" applyProtection="1">
      <alignment horizontal="left"/>
    </xf>
    <xf numFmtId="5" fontId="13" fillId="0" borderId="0" xfId="2" applyNumberFormat="1" applyFont="1" applyFill="1" applyAlignment="1" applyProtection="1"/>
    <xf numFmtId="5" fontId="13" fillId="0" borderId="0" xfId="1" applyNumberFormat="1" applyFont="1" applyFill="1" applyAlignment="1" applyProtection="1"/>
    <xf numFmtId="0" fontId="13" fillId="0" borderId="0" xfId="1" applyFont="1" applyFill="1" applyProtection="1"/>
    <xf numFmtId="164" fontId="13" fillId="0" borderId="0" xfId="2" applyNumberFormat="1" applyFont="1" applyFill="1" applyProtection="1"/>
    <xf numFmtId="164" fontId="13" fillId="0" borderId="6" xfId="2" applyNumberFormat="1" applyFont="1" applyFill="1" applyBorder="1" applyProtection="1"/>
    <xf numFmtId="164" fontId="3" fillId="0" borderId="19" xfId="1" applyNumberFormat="1" applyFont="1" applyFill="1" applyBorder="1" applyAlignment="1" applyProtection="1">
      <protection locked="0"/>
    </xf>
    <xf numFmtId="164" fontId="3" fillId="0" borderId="18" xfId="1" applyNumberFormat="1" applyFont="1" applyFill="1" applyBorder="1" applyAlignment="1" applyProtection="1">
      <protection locked="0"/>
    </xf>
    <xf numFmtId="1" fontId="2" fillId="0" borderId="15" xfId="1" applyNumberFormat="1" applyFont="1" applyFill="1" applyBorder="1" applyAlignment="1" applyProtection="1">
      <protection locked="0"/>
    </xf>
    <xf numFmtId="0" fontId="3" fillId="0" borderId="8" xfId="1" applyFont="1" applyFill="1" applyBorder="1" applyAlignment="1" applyProtection="1">
      <alignment horizontal="centerContinuous"/>
      <protection locked="0"/>
    </xf>
    <xf numFmtId="0" fontId="3" fillId="0" borderId="14" xfId="1" applyFont="1" applyFill="1" applyBorder="1" applyAlignment="1" applyProtection="1">
      <protection locked="0"/>
    </xf>
    <xf numFmtId="0" fontId="2" fillId="0" borderId="14" xfId="1" applyFont="1" applyFill="1" applyBorder="1" applyProtection="1">
      <protection locked="0"/>
    </xf>
    <xf numFmtId="0" fontId="6" fillId="0" borderId="17" xfId="1" applyFont="1" applyFill="1" applyBorder="1" applyProtection="1">
      <protection locked="0"/>
    </xf>
    <xf numFmtId="0" fontId="2" fillId="0" borderId="13" xfId="1" applyFont="1" applyFill="1" applyBorder="1" applyProtection="1">
      <protection locked="0"/>
    </xf>
    <xf numFmtId="0" fontId="3" fillId="0" borderId="0" xfId="1" applyFont="1" applyFill="1" applyBorder="1" applyAlignment="1" applyProtection="1">
      <alignment horizontal="left"/>
      <protection locked="0"/>
    </xf>
    <xf numFmtId="0" fontId="2" fillId="0" borderId="19" xfId="1" applyFont="1" applyFill="1" applyBorder="1" applyProtection="1">
      <protection locked="0"/>
    </xf>
    <xf numFmtId="0" fontId="3" fillId="0" borderId="20" xfId="1" applyFont="1" applyFill="1" applyBorder="1" applyAlignment="1" applyProtection="1">
      <protection locked="0"/>
    </xf>
    <xf numFmtId="165" fontId="3" fillId="0" borderId="25" xfId="1" applyNumberFormat="1" applyFont="1" applyFill="1" applyBorder="1" applyAlignment="1" applyProtection="1">
      <alignment horizontal="left"/>
      <protection locked="0"/>
    </xf>
    <xf numFmtId="165" fontId="3" fillId="0" borderId="19" xfId="1" applyNumberFormat="1" applyFont="1" applyFill="1" applyBorder="1" applyProtection="1">
      <protection locked="0"/>
    </xf>
    <xf numFmtId="165" fontId="3" fillId="0" borderId="27" xfId="1" applyNumberFormat="1" applyFont="1" applyFill="1" applyBorder="1" applyAlignment="1" applyProtection="1">
      <alignment horizontal="left"/>
      <protection locked="0"/>
    </xf>
    <xf numFmtId="5" fontId="2" fillId="0" borderId="23" xfId="4" applyNumberFormat="1" applyFont="1" applyFill="1" applyBorder="1" applyAlignment="1" applyProtection="1">
      <protection locked="0"/>
    </xf>
    <xf numFmtId="164" fontId="2" fillId="0" borderId="23" xfId="5" applyNumberFormat="1" applyFont="1" applyFill="1" applyBorder="1" applyAlignment="1" applyProtection="1">
      <protection locked="0"/>
    </xf>
    <xf numFmtId="5" fontId="2" fillId="0" borderId="24" xfId="4" applyNumberFormat="1" applyFont="1" applyFill="1" applyBorder="1" applyAlignment="1" applyProtection="1">
      <protection locked="0"/>
    </xf>
    <xf numFmtId="164" fontId="2" fillId="0" borderId="24" xfId="5" applyNumberFormat="1" applyFont="1" applyFill="1" applyBorder="1" applyAlignment="1" applyProtection="1">
      <protection locked="0"/>
    </xf>
    <xf numFmtId="0" fontId="2" fillId="0" borderId="16" xfId="1" applyFont="1" applyFill="1" applyBorder="1" applyProtection="1">
      <protection locked="0"/>
    </xf>
    <xf numFmtId="0" fontId="9" fillId="0" borderId="0" xfId="1" applyFont="1" applyFill="1" applyProtection="1">
      <protection locked="0"/>
    </xf>
    <xf numFmtId="0" fontId="8" fillId="0" borderId="0" xfId="1" applyFont="1" applyFill="1" applyProtection="1">
      <protection locked="0"/>
    </xf>
    <xf numFmtId="49" fontId="8" fillId="0" borderId="0" xfId="1" applyNumberFormat="1" applyFont="1" applyFill="1" applyAlignment="1" applyProtection="1">
      <alignment horizontal="left"/>
      <protection locked="0"/>
    </xf>
    <xf numFmtId="0" fontId="6" fillId="0" borderId="0" xfId="1" applyFont="1" applyAlignment="1" applyProtection="1">
      <alignment horizontal="right"/>
      <protection locked="0"/>
    </xf>
    <xf numFmtId="0" fontId="3" fillId="0" borderId="11" xfId="1" applyFont="1" applyFill="1" applyBorder="1" applyAlignment="1" applyProtection="1">
      <alignment horizontal="centerContinuous"/>
      <protection locked="0"/>
    </xf>
    <xf numFmtId="0" fontId="6" fillId="0" borderId="4" xfId="1" applyFont="1" applyBorder="1" applyProtection="1">
      <protection locked="0"/>
    </xf>
    <xf numFmtId="0" fontId="2" fillId="0" borderId="14" xfId="1" applyFont="1" applyFill="1" applyBorder="1" applyAlignment="1" applyProtection="1">
      <alignment horizontal="left"/>
      <protection locked="0"/>
    </xf>
    <xf numFmtId="0" fontId="3" fillId="0" borderId="34" xfId="1" applyFont="1" applyFill="1" applyBorder="1" applyAlignment="1" applyProtection="1">
      <alignment horizontal="centerContinuous"/>
      <protection locked="0"/>
    </xf>
    <xf numFmtId="0" fontId="6" fillId="0" borderId="4" xfId="1" applyFont="1" applyFill="1" applyBorder="1" applyProtection="1">
      <protection locked="0"/>
    </xf>
    <xf numFmtId="0" fontId="6" fillId="0" borderId="32" xfId="1" applyFont="1" applyFill="1" applyBorder="1" applyAlignment="1" applyProtection="1">
      <alignment horizontal="left"/>
      <protection locked="0"/>
    </xf>
    <xf numFmtId="0" fontId="6" fillId="0" borderId="16" xfId="1" applyFont="1" applyFill="1" applyBorder="1" applyProtection="1">
      <protection locked="0"/>
    </xf>
    <xf numFmtId="164" fontId="2" fillId="0" borderId="16" xfId="5" applyNumberFormat="1" applyFont="1" applyFill="1" applyBorder="1" applyProtection="1">
      <protection locked="0"/>
    </xf>
    <xf numFmtId="0" fontId="2" fillId="0" borderId="2" xfId="1" applyFont="1" applyFill="1" applyBorder="1" applyProtection="1">
      <protection locked="0"/>
    </xf>
    <xf numFmtId="0" fontId="2" fillId="0" borderId="1" xfId="1" applyFont="1" applyFill="1" applyBorder="1" applyProtection="1">
      <protection locked="0"/>
    </xf>
    <xf numFmtId="0" fontId="2" fillId="0" borderId="20" xfId="1" applyFont="1" applyFill="1" applyBorder="1" applyProtection="1">
      <protection locked="0"/>
    </xf>
    <xf numFmtId="165" fontId="3" fillId="0" borderId="19" xfId="1" applyNumberFormat="1" applyFont="1" applyFill="1" applyBorder="1" applyAlignment="1" applyProtection="1">
      <alignment horizontal="right" indent="1"/>
      <protection locked="0"/>
    </xf>
    <xf numFmtId="165" fontId="3" fillId="0" borderId="0" xfId="1" applyNumberFormat="1" applyFont="1" applyFill="1" applyBorder="1" applyAlignment="1" applyProtection="1">
      <alignment horizontal="right" indent="1"/>
      <protection locked="0"/>
    </xf>
    <xf numFmtId="165" fontId="2" fillId="0" borderId="27" xfId="1" applyNumberFormat="1" applyFont="1" applyFill="1" applyBorder="1" applyAlignment="1" applyProtection="1">
      <alignment horizontal="left"/>
      <protection locked="0"/>
    </xf>
    <xf numFmtId="165" fontId="2" fillId="0" borderId="32" xfId="1" applyNumberFormat="1" applyFont="1" applyFill="1" applyBorder="1" applyAlignment="1" applyProtection="1">
      <alignment horizontal="left"/>
      <protection locked="0"/>
    </xf>
    <xf numFmtId="0" fontId="10" fillId="0" borderId="0" xfId="1" applyFont="1" applyFill="1" applyAlignment="1" applyProtection="1">
      <alignment horizontal="left"/>
      <protection locked="0"/>
    </xf>
    <xf numFmtId="0" fontId="6" fillId="0" borderId="0" xfId="1" applyFont="1" applyAlignment="1" applyProtection="1">
      <alignment horizontal="left"/>
      <protection locked="0"/>
    </xf>
    <xf numFmtId="0" fontId="6" fillId="0" borderId="0" xfId="1" applyFont="1" applyFill="1" applyProtection="1"/>
    <xf numFmtId="165" fontId="2" fillId="0" borderId="0" xfId="1" applyNumberFormat="1" applyFont="1" applyFill="1" applyAlignment="1" applyProtection="1">
      <alignment horizontal="left"/>
    </xf>
    <xf numFmtId="5" fontId="12" fillId="0" borderId="0" xfId="1" applyNumberFormat="1" applyFont="1" applyAlignment="1" applyProtection="1"/>
    <xf numFmtId="0" fontId="10" fillId="0" borderId="0" xfId="1" applyFont="1" applyAlignment="1" applyProtection="1">
      <alignment horizontal="left"/>
    </xf>
    <xf numFmtId="2" fontId="2" fillId="0" borderId="0" xfId="1" applyNumberFormat="1" applyFont="1" applyFill="1" applyAlignment="1" applyProtection="1"/>
    <xf numFmtId="0" fontId="11" fillId="0" borderId="0" xfId="1" applyFont="1" applyFill="1" applyAlignment="1" applyProtection="1">
      <alignment horizontal="right"/>
    </xf>
    <xf numFmtId="0" fontId="9" fillId="0" borderId="0" xfId="1" applyFont="1" applyFill="1" applyProtection="1"/>
    <xf numFmtId="0" fontId="3" fillId="0" borderId="10" xfId="1" applyFont="1" applyFill="1" applyBorder="1" applyAlignment="1" applyProtection="1">
      <alignment horizontal="centerContinuous"/>
    </xf>
    <xf numFmtId="0" fontId="3" fillId="0" borderId="9" xfId="1" applyFont="1" applyFill="1" applyBorder="1" applyAlignment="1" applyProtection="1">
      <alignment horizontal="centerContinuous"/>
    </xf>
    <xf numFmtId="0" fontId="2" fillId="0" borderId="7" xfId="1" applyFont="1" applyFill="1" applyBorder="1" applyProtection="1"/>
    <xf numFmtId="0" fontId="3" fillId="0" borderId="7" xfId="1" applyFont="1" applyFill="1" applyBorder="1" applyAlignment="1" applyProtection="1">
      <alignment horizontal="centerContinuous"/>
    </xf>
    <xf numFmtId="0" fontId="3" fillId="0" borderId="6" xfId="1" applyFont="1" applyFill="1" applyBorder="1" applyAlignment="1" applyProtection="1">
      <alignment horizontal="centerContinuous"/>
    </xf>
    <xf numFmtId="0" fontId="6" fillId="0" borderId="0" xfId="1" applyFont="1" applyAlignment="1" applyProtection="1"/>
    <xf numFmtId="0" fontId="2" fillId="0" borderId="0" xfId="1" applyFont="1" applyAlignment="1" applyProtection="1"/>
    <xf numFmtId="0" fontId="2" fillId="0" borderId="0" xfId="1" applyFont="1" applyFill="1" applyAlignment="1" applyProtection="1"/>
    <xf numFmtId="164" fontId="2" fillId="0" borderId="0" xfId="2" applyNumberFormat="1" applyFont="1" applyAlignment="1" applyProtection="1"/>
    <xf numFmtId="164" fontId="6" fillId="0" borderId="0" xfId="2" applyNumberFormat="1" applyFont="1" applyProtection="1"/>
  </cellXfs>
  <cellStyles count="6">
    <cellStyle name="Comma" xfId="5" builtinId="3"/>
    <cellStyle name="Comma 17 7 2" xfId="2"/>
    <cellStyle name="Comma 2" xfId="3"/>
    <cellStyle name="Currency 10 7 2" xfId="4"/>
    <cellStyle name="Normal" xfId="0" builtinId="0"/>
    <cellStyle name="Normal 16 7 2" xfId="1"/>
  </cellStyles>
  <dxfs count="0"/>
  <tableStyles count="0" defaultTableStyle="TableStyleMedium2" defaultPivotStyle="PivotStyleLight16"/>
  <colors>
    <mruColors>
      <color rgb="FFFF00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pageSetUpPr fitToPage="1"/>
  </sheetPr>
  <dimension ref="A1:BG247"/>
  <sheetViews>
    <sheetView tabSelected="1" topLeftCell="A100" zoomScale="80" zoomScaleNormal="80" workbookViewId="0">
      <selection activeCell="B110" sqref="B110:XFD1048576"/>
    </sheetView>
  </sheetViews>
  <sheetFormatPr defaultColWidth="0" defaultRowHeight="15" zeroHeight="1" x14ac:dyDescent="0.2"/>
  <cols>
    <col min="1" max="1" width="21" style="200" customWidth="1"/>
    <col min="2" max="2" width="22.42578125" style="49" customWidth="1"/>
    <col min="3" max="3" width="44.42578125" style="49" customWidth="1"/>
    <col min="4" max="4" width="16.5703125" style="150" customWidth="1"/>
    <col min="5" max="5" width="15.42578125" style="150" customWidth="1"/>
    <col min="6" max="7" width="16.5703125" style="150" customWidth="1"/>
    <col min="8" max="8" width="18.42578125" style="151" customWidth="1"/>
    <col min="9" max="10" width="16.5703125" style="3" customWidth="1"/>
    <col min="11" max="11" width="16.42578125" style="3" customWidth="1"/>
    <col min="12" max="12" width="15.42578125" style="3" customWidth="1"/>
    <col min="13" max="13" width="18.42578125" style="48" customWidth="1"/>
    <col min="14" max="14" width="17.5703125" style="2" customWidth="1"/>
    <col min="15" max="15" width="16.5703125" style="2" customWidth="1"/>
    <col min="16" max="17" width="16.42578125" style="2" customWidth="1"/>
    <col min="18" max="18" width="19.42578125" style="217" customWidth="1"/>
    <col min="19" max="20" width="9.42578125" style="201" hidden="1"/>
    <col min="21" max="21" width="12.42578125" style="201" hidden="1"/>
    <col min="22" max="59" width="8.5703125" style="201" hidden="1"/>
    <col min="60" max="16384" width="8.5703125" style="49" hidden="1"/>
  </cols>
  <sheetData>
    <row r="1" spans="1:59" ht="15.75" x14ac:dyDescent="0.25">
      <c r="A1" s="4" t="s">
        <v>22</v>
      </c>
      <c r="B1" s="1"/>
      <c r="C1" s="1"/>
      <c r="D1" s="1"/>
      <c r="E1" s="1"/>
      <c r="F1" s="1"/>
      <c r="G1" s="1"/>
      <c r="H1" s="1"/>
      <c r="I1" s="1"/>
      <c r="J1" s="1"/>
      <c r="K1" s="1"/>
      <c r="L1" s="1"/>
      <c r="M1" s="1"/>
      <c r="N1" s="1"/>
      <c r="O1" s="1"/>
      <c r="P1" s="1"/>
      <c r="Q1" s="1"/>
      <c r="R1" s="1"/>
    </row>
    <row r="2" spans="1:59" ht="15.75" x14ac:dyDescent="0.25">
      <c r="A2" s="4" t="s">
        <v>21</v>
      </c>
      <c r="B2" s="1"/>
      <c r="C2" s="1"/>
      <c r="D2" s="1"/>
      <c r="E2" s="1"/>
      <c r="F2" s="1"/>
      <c r="G2" s="1"/>
      <c r="H2" s="1"/>
      <c r="I2" s="1"/>
      <c r="J2" s="1"/>
      <c r="K2" s="1"/>
      <c r="L2" s="1"/>
      <c r="M2" s="1"/>
      <c r="N2" s="1"/>
      <c r="O2" s="1"/>
      <c r="P2" s="1"/>
      <c r="Q2" s="1"/>
      <c r="R2" s="1"/>
    </row>
    <row r="3" spans="1:59" ht="15.75" x14ac:dyDescent="0.25">
      <c r="A3" s="4" t="s">
        <v>20</v>
      </c>
      <c r="B3" s="1"/>
      <c r="C3" s="1"/>
      <c r="D3" s="1"/>
      <c r="E3" s="1"/>
      <c r="F3" s="1"/>
      <c r="G3" s="1"/>
      <c r="H3" s="1"/>
      <c r="I3" s="1"/>
      <c r="J3" s="1"/>
      <c r="K3" s="1"/>
      <c r="L3" s="1"/>
      <c r="M3" s="1"/>
      <c r="N3" s="1"/>
      <c r="O3" s="1"/>
      <c r="P3" s="1"/>
      <c r="Q3" s="1"/>
      <c r="R3" s="1"/>
    </row>
    <row r="4" spans="1:59" ht="15.75" x14ac:dyDescent="0.25">
      <c r="A4" s="4" t="s">
        <v>19</v>
      </c>
      <c r="B4" s="1"/>
      <c r="C4" s="1"/>
      <c r="D4" s="1"/>
      <c r="E4" s="1"/>
      <c r="F4" s="1"/>
      <c r="G4" s="1"/>
      <c r="H4" s="1"/>
      <c r="I4" s="1"/>
      <c r="J4" s="1"/>
      <c r="K4" s="1"/>
      <c r="L4" s="1"/>
      <c r="M4" s="1"/>
      <c r="N4" s="1"/>
      <c r="O4" s="1"/>
      <c r="P4" s="1"/>
      <c r="Q4" s="1"/>
      <c r="R4" s="1"/>
    </row>
    <row r="5" spans="1:59" x14ac:dyDescent="0.2">
      <c r="A5" s="5" t="s">
        <v>15</v>
      </c>
      <c r="B5" s="48"/>
      <c r="C5" s="155"/>
      <c r="D5" s="156"/>
      <c r="E5" s="156"/>
      <c r="F5" s="156"/>
      <c r="G5" s="157"/>
      <c r="H5" s="158"/>
      <c r="I5" s="157"/>
      <c r="J5" s="157"/>
      <c r="K5" s="157"/>
      <c r="L5" s="157"/>
      <c r="M5" s="158"/>
      <c r="N5" s="157"/>
      <c r="O5" s="157"/>
      <c r="P5" s="157"/>
      <c r="Q5" s="157"/>
      <c r="R5" s="159"/>
    </row>
    <row r="6" spans="1:59" s="92" customFormat="1" ht="16.5" thickBot="1" x14ac:dyDescent="0.3">
      <c r="A6" s="164" t="s">
        <v>57</v>
      </c>
      <c r="B6" s="211"/>
      <c r="C6" s="211"/>
      <c r="D6" s="211"/>
      <c r="E6" s="211"/>
      <c r="F6" s="211"/>
      <c r="G6" s="211"/>
      <c r="H6" s="211"/>
      <c r="I6" s="211"/>
      <c r="J6" s="211"/>
      <c r="K6" s="211"/>
      <c r="L6" s="211"/>
      <c r="M6" s="211"/>
      <c r="N6" s="211"/>
      <c r="O6" s="211"/>
      <c r="P6" s="211"/>
      <c r="Q6" s="211"/>
      <c r="R6" s="212"/>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row>
    <row r="7" spans="1:59" s="94" customFormat="1" ht="15.75" x14ac:dyDescent="0.25">
      <c r="A7" s="70" t="s">
        <v>58</v>
      </c>
      <c r="B7" s="117"/>
      <c r="C7" s="118"/>
      <c r="D7" s="71" t="s">
        <v>42</v>
      </c>
      <c r="E7" s="72"/>
      <c r="F7" s="72"/>
      <c r="G7" s="72"/>
      <c r="H7" s="73"/>
      <c r="I7" s="128" t="s">
        <v>69</v>
      </c>
      <c r="J7" s="129"/>
      <c r="K7" s="129"/>
      <c r="L7" s="129"/>
      <c r="M7" s="130"/>
      <c r="N7" s="74" t="s">
        <v>25</v>
      </c>
      <c r="O7" s="75"/>
      <c r="P7" s="75"/>
      <c r="Q7" s="75"/>
      <c r="R7" s="76"/>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row>
    <row r="8" spans="1:59" s="94" customFormat="1" ht="16.5" thickBot="1" x14ac:dyDescent="0.3">
      <c r="A8" s="77" t="s">
        <v>13</v>
      </c>
      <c r="B8" s="31" t="s">
        <v>18</v>
      </c>
      <c r="C8" s="32" t="s">
        <v>12</v>
      </c>
      <c r="D8" s="6" t="s">
        <v>43</v>
      </c>
      <c r="E8" s="7" t="s">
        <v>40</v>
      </c>
      <c r="F8" s="7" t="s">
        <v>41</v>
      </c>
      <c r="G8" s="8" t="s">
        <v>44</v>
      </c>
      <c r="H8" s="9" t="s">
        <v>45</v>
      </c>
      <c r="I8" s="131" t="s">
        <v>70</v>
      </c>
      <c r="J8" s="132" t="s">
        <v>71</v>
      </c>
      <c r="K8" s="132" t="s">
        <v>72</v>
      </c>
      <c r="L8" s="133" t="s">
        <v>73</v>
      </c>
      <c r="M8" s="134" t="s">
        <v>74</v>
      </c>
      <c r="N8" s="6" t="s">
        <v>23</v>
      </c>
      <c r="O8" s="7" t="s">
        <v>34</v>
      </c>
      <c r="P8" s="7" t="s">
        <v>37</v>
      </c>
      <c r="Q8" s="8" t="s">
        <v>24</v>
      </c>
      <c r="R8" s="78" t="s">
        <v>26</v>
      </c>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row>
    <row r="9" spans="1:59" s="92" customFormat="1" ht="15.75" x14ac:dyDescent="0.25">
      <c r="A9" s="67" t="s">
        <v>59</v>
      </c>
      <c r="B9" s="21" t="s">
        <v>27</v>
      </c>
      <c r="C9" s="165"/>
      <c r="D9" s="11">
        <f>SUM(D10:D13)</f>
        <v>42314.5</v>
      </c>
      <c r="E9" s="12">
        <f t="shared" ref="E9:M9" si="0">SUM(E10:E13)</f>
        <v>1785.25</v>
      </c>
      <c r="F9" s="12">
        <f t="shared" si="0"/>
        <v>28302.25</v>
      </c>
      <c r="G9" s="12">
        <f t="shared" si="0"/>
        <v>12227</v>
      </c>
      <c r="H9" s="56">
        <f t="shared" si="0"/>
        <v>4311</v>
      </c>
      <c r="I9" s="11">
        <f t="shared" si="0"/>
        <v>15675</v>
      </c>
      <c r="J9" s="12">
        <f t="shared" si="0"/>
        <v>618</v>
      </c>
      <c r="K9" s="12">
        <f t="shared" si="0"/>
        <v>10309</v>
      </c>
      <c r="L9" s="12">
        <f>SUM(L10:L13)</f>
        <v>4748</v>
      </c>
      <c r="M9" s="56">
        <f t="shared" si="0"/>
        <v>1557</v>
      </c>
      <c r="N9" s="11">
        <f t="shared" ref="N9:N48" si="1">I9-D9</f>
        <v>-26639.5</v>
      </c>
      <c r="O9" s="12">
        <f t="shared" ref="O9:O51" si="2">J9-E9</f>
        <v>-1167.25</v>
      </c>
      <c r="P9" s="12">
        <f t="shared" ref="P9:P44" si="3">K9-F9</f>
        <v>-17993.25</v>
      </c>
      <c r="Q9" s="12">
        <f t="shared" ref="Q9:Q51" si="4">L9-G9</f>
        <v>-7479</v>
      </c>
      <c r="R9" s="82">
        <f t="shared" ref="R9:R51" si="5">M9-H9</f>
        <v>-2754</v>
      </c>
      <c r="S9" s="97"/>
      <c r="T9" s="152"/>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row>
    <row r="10" spans="1:59" s="92" customFormat="1" x14ac:dyDescent="0.2">
      <c r="A10" s="67" t="s">
        <v>59</v>
      </c>
      <c r="B10" s="33" t="s">
        <v>11</v>
      </c>
      <c r="C10" s="14" t="s">
        <v>8</v>
      </c>
      <c r="D10" s="15">
        <v>24319</v>
      </c>
      <c r="E10" s="16">
        <v>0</v>
      </c>
      <c r="F10" s="16">
        <v>12160</v>
      </c>
      <c r="G10" s="16">
        <v>12159</v>
      </c>
      <c r="H10" s="57">
        <v>2473</v>
      </c>
      <c r="I10" s="15">
        <f>SUM(J10:L10)</f>
        <v>9465</v>
      </c>
      <c r="J10" s="16">
        <v>0</v>
      </c>
      <c r="K10" s="16">
        <v>4732</v>
      </c>
      <c r="L10" s="16">
        <v>4733</v>
      </c>
      <c r="M10" s="57">
        <v>901</v>
      </c>
      <c r="N10" s="15">
        <f>I10-D10</f>
        <v>-14854</v>
      </c>
      <c r="O10" s="16">
        <f t="shared" si="2"/>
        <v>0</v>
      </c>
      <c r="P10" s="16">
        <f t="shared" si="3"/>
        <v>-7428</v>
      </c>
      <c r="Q10" s="16">
        <f t="shared" si="4"/>
        <v>-7426</v>
      </c>
      <c r="R10" s="83">
        <f>M10-H10</f>
        <v>-1572</v>
      </c>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row>
    <row r="11" spans="1:59" s="92" customFormat="1" x14ac:dyDescent="0.2">
      <c r="A11" s="67" t="s">
        <v>59</v>
      </c>
      <c r="B11" s="33" t="s">
        <v>11</v>
      </c>
      <c r="C11" s="14" t="s">
        <v>10</v>
      </c>
      <c r="D11" s="15">
        <v>17825</v>
      </c>
      <c r="E11" s="16">
        <v>1781.5</v>
      </c>
      <c r="F11" s="16">
        <v>16043.5</v>
      </c>
      <c r="G11" s="16">
        <v>0</v>
      </c>
      <c r="H11" s="57">
        <v>1810</v>
      </c>
      <c r="I11" s="15">
        <f>SUM(J11:L11)</f>
        <v>6176</v>
      </c>
      <c r="J11" s="16">
        <v>618</v>
      </c>
      <c r="K11" s="16">
        <v>5558</v>
      </c>
      <c r="L11" s="16">
        <v>0</v>
      </c>
      <c r="M11" s="57">
        <v>649</v>
      </c>
      <c r="N11" s="15">
        <f t="shared" si="1"/>
        <v>-11649</v>
      </c>
      <c r="O11" s="16">
        <f t="shared" si="2"/>
        <v>-1163.5</v>
      </c>
      <c r="P11" s="16">
        <f t="shared" si="3"/>
        <v>-10485.5</v>
      </c>
      <c r="Q11" s="16">
        <f t="shared" si="4"/>
        <v>0</v>
      </c>
      <c r="R11" s="83">
        <f t="shared" si="5"/>
        <v>-1161</v>
      </c>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row>
    <row r="12" spans="1:59" s="92" customFormat="1" x14ac:dyDescent="0.2">
      <c r="A12" s="67" t="s">
        <v>59</v>
      </c>
      <c r="B12" s="33" t="s">
        <v>9</v>
      </c>
      <c r="C12" s="14" t="s">
        <v>8</v>
      </c>
      <c r="D12" s="15">
        <v>135.5</v>
      </c>
      <c r="E12" s="16">
        <v>0</v>
      </c>
      <c r="F12" s="16">
        <v>67.5</v>
      </c>
      <c r="G12" s="16">
        <v>68</v>
      </c>
      <c r="H12" s="57">
        <v>22</v>
      </c>
      <c r="I12" s="15">
        <f>SUM(J12:L12)</f>
        <v>30</v>
      </c>
      <c r="J12" s="16">
        <v>0</v>
      </c>
      <c r="K12" s="16">
        <v>15</v>
      </c>
      <c r="L12" s="16">
        <v>15</v>
      </c>
      <c r="M12" s="57">
        <v>5</v>
      </c>
      <c r="N12" s="15">
        <f t="shared" si="1"/>
        <v>-105.5</v>
      </c>
      <c r="O12" s="16">
        <f t="shared" si="2"/>
        <v>0</v>
      </c>
      <c r="P12" s="16">
        <f t="shared" si="3"/>
        <v>-52.5</v>
      </c>
      <c r="Q12" s="16">
        <f t="shared" si="4"/>
        <v>-53</v>
      </c>
      <c r="R12" s="83">
        <f t="shared" si="5"/>
        <v>-17</v>
      </c>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row>
    <row r="13" spans="1:59" s="92" customFormat="1" ht="15.75" thickBot="1" x14ac:dyDescent="0.25">
      <c r="A13" s="67" t="s">
        <v>59</v>
      </c>
      <c r="B13" s="34" t="s">
        <v>9</v>
      </c>
      <c r="C13" s="18" t="s">
        <v>7</v>
      </c>
      <c r="D13" s="19">
        <v>35</v>
      </c>
      <c r="E13" s="20">
        <v>3.75</v>
      </c>
      <c r="F13" s="20">
        <v>31.25</v>
      </c>
      <c r="G13" s="20">
        <v>0</v>
      </c>
      <c r="H13" s="58">
        <v>6</v>
      </c>
      <c r="I13" s="19">
        <f>SUM(J13:L13)</f>
        <v>4</v>
      </c>
      <c r="J13" s="20">
        <v>0</v>
      </c>
      <c r="K13" s="20">
        <v>4</v>
      </c>
      <c r="L13" s="20">
        <v>0</v>
      </c>
      <c r="M13" s="58">
        <v>2</v>
      </c>
      <c r="N13" s="19">
        <f t="shared" si="1"/>
        <v>-31</v>
      </c>
      <c r="O13" s="20">
        <f t="shared" si="2"/>
        <v>-3.75</v>
      </c>
      <c r="P13" s="20">
        <f t="shared" si="3"/>
        <v>-27.25</v>
      </c>
      <c r="Q13" s="20">
        <f t="shared" si="4"/>
        <v>0</v>
      </c>
      <c r="R13" s="84">
        <f t="shared" si="5"/>
        <v>-4</v>
      </c>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row>
    <row r="14" spans="1:59" s="92" customFormat="1" ht="15.75" x14ac:dyDescent="0.25">
      <c r="A14" s="66" t="s">
        <v>60</v>
      </c>
      <c r="B14" s="53" t="s">
        <v>29</v>
      </c>
      <c r="C14" s="166"/>
      <c r="D14" s="11">
        <f>SUM(D15:D18)</f>
        <v>4926</v>
      </c>
      <c r="E14" s="12">
        <f t="shared" ref="E14:M14" si="6">SUM(E15:E18)</f>
        <v>269</v>
      </c>
      <c r="F14" s="12">
        <f t="shared" si="6"/>
        <v>3558.5</v>
      </c>
      <c r="G14" s="12">
        <f t="shared" si="6"/>
        <v>1098.5</v>
      </c>
      <c r="H14" s="56">
        <f t="shared" si="6"/>
        <v>1776</v>
      </c>
      <c r="I14" s="11">
        <f t="shared" si="6"/>
        <v>2396</v>
      </c>
      <c r="J14" s="12">
        <f t="shared" si="6"/>
        <v>128</v>
      </c>
      <c r="K14" s="12">
        <f t="shared" si="6"/>
        <v>1719</v>
      </c>
      <c r="L14" s="12">
        <f t="shared" si="6"/>
        <v>549</v>
      </c>
      <c r="M14" s="56">
        <f t="shared" si="6"/>
        <v>987</v>
      </c>
      <c r="N14" s="11">
        <f t="shared" si="1"/>
        <v>-2530</v>
      </c>
      <c r="O14" s="12">
        <f t="shared" si="2"/>
        <v>-141</v>
      </c>
      <c r="P14" s="12">
        <f t="shared" si="3"/>
        <v>-1839.5</v>
      </c>
      <c r="Q14" s="12">
        <f t="shared" si="4"/>
        <v>-549.5</v>
      </c>
      <c r="R14" s="82">
        <f t="shared" si="5"/>
        <v>-789</v>
      </c>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row>
    <row r="15" spans="1:59" s="95" customFormat="1" x14ac:dyDescent="0.2">
      <c r="A15" s="67" t="s">
        <v>60</v>
      </c>
      <c r="B15" s="33" t="s">
        <v>11</v>
      </c>
      <c r="C15" s="14" t="s">
        <v>8</v>
      </c>
      <c r="D15" s="15">
        <v>2216</v>
      </c>
      <c r="E15" s="16">
        <v>0</v>
      </c>
      <c r="F15" s="16">
        <v>1129</v>
      </c>
      <c r="G15" s="16">
        <v>1087</v>
      </c>
      <c r="H15" s="57">
        <v>848</v>
      </c>
      <c r="I15" s="15">
        <f>SUM(J15:L15)</f>
        <v>1094</v>
      </c>
      <c r="J15" s="16">
        <v>0</v>
      </c>
      <c r="K15" s="16">
        <v>557</v>
      </c>
      <c r="L15" s="16">
        <v>537</v>
      </c>
      <c r="M15" s="57">
        <v>467</v>
      </c>
      <c r="N15" s="15">
        <f t="shared" si="1"/>
        <v>-1122</v>
      </c>
      <c r="O15" s="16">
        <f t="shared" si="2"/>
        <v>0</v>
      </c>
      <c r="P15" s="16">
        <f t="shared" si="3"/>
        <v>-572</v>
      </c>
      <c r="Q15" s="16">
        <f t="shared" si="4"/>
        <v>-550</v>
      </c>
      <c r="R15" s="83">
        <f t="shared" si="5"/>
        <v>-381</v>
      </c>
    </row>
    <row r="16" spans="1:59" s="95" customFormat="1" x14ac:dyDescent="0.2">
      <c r="A16" s="67" t="s">
        <v>60</v>
      </c>
      <c r="B16" s="33" t="s">
        <v>11</v>
      </c>
      <c r="C16" s="14" t="s">
        <v>10</v>
      </c>
      <c r="D16" s="15">
        <v>2677</v>
      </c>
      <c r="E16" s="16">
        <v>268</v>
      </c>
      <c r="F16" s="16">
        <v>2409</v>
      </c>
      <c r="G16" s="16">
        <v>0</v>
      </c>
      <c r="H16" s="57">
        <v>913</v>
      </c>
      <c r="I16" s="15">
        <f>SUM(J16:L16)</f>
        <v>1273</v>
      </c>
      <c r="J16" s="16">
        <v>128</v>
      </c>
      <c r="K16" s="16">
        <v>1145</v>
      </c>
      <c r="L16" s="16">
        <v>0</v>
      </c>
      <c r="M16" s="57">
        <v>508</v>
      </c>
      <c r="N16" s="15">
        <f t="shared" si="1"/>
        <v>-1404</v>
      </c>
      <c r="O16" s="16">
        <f t="shared" si="2"/>
        <v>-140</v>
      </c>
      <c r="P16" s="16">
        <f t="shared" si="3"/>
        <v>-1264</v>
      </c>
      <c r="Q16" s="16">
        <f t="shared" si="4"/>
        <v>0</v>
      </c>
      <c r="R16" s="83">
        <f t="shared" si="5"/>
        <v>-405</v>
      </c>
    </row>
    <row r="17" spans="1:59" s="95" customFormat="1" x14ac:dyDescent="0.2">
      <c r="A17" s="67" t="s">
        <v>60</v>
      </c>
      <c r="B17" s="33" t="s">
        <v>9</v>
      </c>
      <c r="C17" s="14" t="s">
        <v>8</v>
      </c>
      <c r="D17" s="15">
        <v>23</v>
      </c>
      <c r="E17" s="16">
        <v>0</v>
      </c>
      <c r="F17" s="16">
        <v>11.5</v>
      </c>
      <c r="G17" s="16">
        <v>11.5</v>
      </c>
      <c r="H17" s="57">
        <v>11</v>
      </c>
      <c r="I17" s="15">
        <f>SUM(J17:L17)</f>
        <v>23</v>
      </c>
      <c r="J17" s="16">
        <v>0</v>
      </c>
      <c r="K17" s="16">
        <v>11</v>
      </c>
      <c r="L17" s="16">
        <v>12</v>
      </c>
      <c r="M17" s="57">
        <v>9</v>
      </c>
      <c r="N17" s="15">
        <f t="shared" si="1"/>
        <v>0</v>
      </c>
      <c r="O17" s="16">
        <f t="shared" si="2"/>
        <v>0</v>
      </c>
      <c r="P17" s="16">
        <f t="shared" si="3"/>
        <v>-0.5</v>
      </c>
      <c r="Q17" s="16">
        <f t="shared" si="4"/>
        <v>0.5</v>
      </c>
      <c r="R17" s="83">
        <f t="shared" si="5"/>
        <v>-2</v>
      </c>
    </row>
    <row r="18" spans="1:59" s="95" customFormat="1" ht="15.75" thickBot="1" x14ac:dyDescent="0.25">
      <c r="A18" s="68" t="s">
        <v>60</v>
      </c>
      <c r="B18" s="34" t="s">
        <v>9</v>
      </c>
      <c r="C18" s="18" t="s">
        <v>7</v>
      </c>
      <c r="D18" s="19">
        <v>10</v>
      </c>
      <c r="E18" s="20">
        <v>1</v>
      </c>
      <c r="F18" s="20">
        <v>9</v>
      </c>
      <c r="G18" s="20">
        <v>0</v>
      </c>
      <c r="H18" s="58">
        <v>4</v>
      </c>
      <c r="I18" s="19">
        <f>SUM(J18:L18)</f>
        <v>6</v>
      </c>
      <c r="J18" s="20">
        <v>0</v>
      </c>
      <c r="K18" s="20">
        <v>6</v>
      </c>
      <c r="L18" s="20">
        <v>0</v>
      </c>
      <c r="M18" s="58">
        <v>3</v>
      </c>
      <c r="N18" s="19">
        <f t="shared" si="1"/>
        <v>-4</v>
      </c>
      <c r="O18" s="20">
        <f t="shared" si="2"/>
        <v>-1</v>
      </c>
      <c r="P18" s="20">
        <f t="shared" si="3"/>
        <v>-3</v>
      </c>
      <c r="Q18" s="20">
        <f t="shared" si="4"/>
        <v>0</v>
      </c>
      <c r="R18" s="84">
        <f t="shared" si="5"/>
        <v>-1</v>
      </c>
    </row>
    <row r="19" spans="1:59" s="95" customFormat="1" ht="15.75" x14ac:dyDescent="0.25">
      <c r="A19" s="79" t="s">
        <v>61</v>
      </c>
      <c r="B19" s="54" t="s">
        <v>49</v>
      </c>
      <c r="C19" s="23"/>
      <c r="D19" s="11">
        <f>SUM(D20:D23)</f>
        <v>1564</v>
      </c>
      <c r="E19" s="12">
        <f t="shared" ref="E19:M19" si="7">SUM(E20:E23)</f>
        <v>433</v>
      </c>
      <c r="F19" s="12">
        <f t="shared" si="7"/>
        <v>1097.5</v>
      </c>
      <c r="G19" s="12">
        <f t="shared" si="7"/>
        <v>33</v>
      </c>
      <c r="H19" s="56">
        <f t="shared" si="7"/>
        <v>227</v>
      </c>
      <c r="I19" s="11">
        <f t="shared" si="7"/>
        <v>805</v>
      </c>
      <c r="J19" s="12">
        <f t="shared" si="7"/>
        <v>237</v>
      </c>
      <c r="K19" s="12">
        <f t="shared" si="7"/>
        <v>566</v>
      </c>
      <c r="L19" s="12">
        <f t="shared" si="7"/>
        <v>2</v>
      </c>
      <c r="M19" s="138">
        <f t="shared" si="7"/>
        <v>122</v>
      </c>
      <c r="N19" s="11">
        <f t="shared" si="1"/>
        <v>-759</v>
      </c>
      <c r="O19" s="12">
        <f t="shared" si="2"/>
        <v>-196</v>
      </c>
      <c r="P19" s="12">
        <f t="shared" si="3"/>
        <v>-531.5</v>
      </c>
      <c r="Q19" s="12">
        <f t="shared" si="4"/>
        <v>-31</v>
      </c>
      <c r="R19" s="85">
        <f t="shared" si="5"/>
        <v>-105</v>
      </c>
    </row>
    <row r="20" spans="1:59" s="95" customFormat="1" x14ac:dyDescent="0.2">
      <c r="A20" s="79" t="s">
        <v>61</v>
      </c>
      <c r="B20" s="52" t="s">
        <v>11</v>
      </c>
      <c r="C20" s="23" t="s">
        <v>8</v>
      </c>
      <c r="D20" s="15">
        <v>709</v>
      </c>
      <c r="E20" s="16">
        <v>355</v>
      </c>
      <c r="F20" s="16">
        <v>354</v>
      </c>
      <c r="G20" s="16">
        <v>0</v>
      </c>
      <c r="H20" s="57">
        <v>104</v>
      </c>
      <c r="I20" s="15">
        <f>SUM(J20:L20)</f>
        <v>395</v>
      </c>
      <c r="J20" s="16">
        <v>197</v>
      </c>
      <c r="K20" s="16">
        <v>198</v>
      </c>
      <c r="L20" s="16">
        <v>0</v>
      </c>
      <c r="M20" s="57">
        <v>61</v>
      </c>
      <c r="N20" s="15">
        <f t="shared" si="1"/>
        <v>-314</v>
      </c>
      <c r="O20" s="16">
        <f t="shared" si="2"/>
        <v>-158</v>
      </c>
      <c r="P20" s="16">
        <f t="shared" si="3"/>
        <v>-156</v>
      </c>
      <c r="Q20" s="16">
        <f t="shared" si="4"/>
        <v>0</v>
      </c>
      <c r="R20" s="86">
        <f t="shared" si="5"/>
        <v>-43</v>
      </c>
    </row>
    <row r="21" spans="1:59" s="95" customFormat="1" x14ac:dyDescent="0.2">
      <c r="A21" s="79" t="s">
        <v>61</v>
      </c>
      <c r="B21" s="52" t="s">
        <v>11</v>
      </c>
      <c r="C21" s="23" t="s">
        <v>10</v>
      </c>
      <c r="D21" s="15">
        <v>775</v>
      </c>
      <c r="E21" s="16">
        <v>77</v>
      </c>
      <c r="F21" s="16">
        <v>698</v>
      </c>
      <c r="G21" s="16">
        <v>0</v>
      </c>
      <c r="H21" s="57">
        <v>113</v>
      </c>
      <c r="I21" s="15">
        <f>SUM(J21:L21)</f>
        <v>404</v>
      </c>
      <c r="J21" s="16">
        <v>40</v>
      </c>
      <c r="K21" s="16">
        <v>364</v>
      </c>
      <c r="L21" s="16">
        <v>0</v>
      </c>
      <c r="M21" s="57">
        <v>59</v>
      </c>
      <c r="N21" s="15">
        <f t="shared" si="1"/>
        <v>-371</v>
      </c>
      <c r="O21" s="16">
        <f t="shared" si="2"/>
        <v>-37</v>
      </c>
      <c r="P21" s="16">
        <f t="shared" si="3"/>
        <v>-334</v>
      </c>
      <c r="Q21" s="16">
        <f t="shared" si="4"/>
        <v>0</v>
      </c>
      <c r="R21" s="86">
        <f t="shared" si="5"/>
        <v>-54</v>
      </c>
    </row>
    <row r="22" spans="1:59" s="95" customFormat="1" x14ac:dyDescent="0.2">
      <c r="A22" s="79" t="s">
        <v>61</v>
      </c>
      <c r="B22" s="52" t="s">
        <v>33</v>
      </c>
      <c r="C22" s="23" t="s">
        <v>8</v>
      </c>
      <c r="D22" s="15">
        <v>67</v>
      </c>
      <c r="E22" s="16">
        <v>0</v>
      </c>
      <c r="F22" s="16">
        <v>33.5</v>
      </c>
      <c r="G22" s="16">
        <v>33</v>
      </c>
      <c r="H22" s="57">
        <v>9</v>
      </c>
      <c r="I22" s="15">
        <f>SUM(J22:L22)</f>
        <v>4</v>
      </c>
      <c r="J22" s="16">
        <v>0</v>
      </c>
      <c r="K22" s="16">
        <v>2</v>
      </c>
      <c r="L22" s="16">
        <v>2</v>
      </c>
      <c r="M22" s="57">
        <v>1</v>
      </c>
      <c r="N22" s="15">
        <f t="shared" si="1"/>
        <v>-63</v>
      </c>
      <c r="O22" s="16">
        <f t="shared" si="2"/>
        <v>0</v>
      </c>
      <c r="P22" s="16">
        <f t="shared" si="3"/>
        <v>-31.5</v>
      </c>
      <c r="Q22" s="16">
        <f t="shared" si="4"/>
        <v>-31</v>
      </c>
      <c r="R22" s="86">
        <f t="shared" si="5"/>
        <v>-8</v>
      </c>
    </row>
    <row r="23" spans="1:59" s="95" customFormat="1" ht="15.75" thickBot="1" x14ac:dyDescent="0.25">
      <c r="A23" s="80" t="s">
        <v>61</v>
      </c>
      <c r="B23" s="52" t="s">
        <v>9</v>
      </c>
      <c r="C23" s="23" t="s">
        <v>10</v>
      </c>
      <c r="D23" s="19">
        <v>13</v>
      </c>
      <c r="E23" s="20">
        <v>1</v>
      </c>
      <c r="F23" s="20">
        <v>12</v>
      </c>
      <c r="G23" s="20">
        <v>0</v>
      </c>
      <c r="H23" s="58">
        <v>1</v>
      </c>
      <c r="I23" s="19">
        <f>SUM(J23:L23)</f>
        <v>2</v>
      </c>
      <c r="J23" s="20">
        <v>0</v>
      </c>
      <c r="K23" s="20">
        <v>2</v>
      </c>
      <c r="L23" s="20">
        <v>0</v>
      </c>
      <c r="M23" s="58">
        <v>1</v>
      </c>
      <c r="N23" s="19">
        <f t="shared" si="1"/>
        <v>-11</v>
      </c>
      <c r="O23" s="20">
        <f t="shared" si="2"/>
        <v>-1</v>
      </c>
      <c r="P23" s="20">
        <f t="shared" si="3"/>
        <v>-10</v>
      </c>
      <c r="Q23" s="20">
        <f t="shared" si="4"/>
        <v>0</v>
      </c>
      <c r="R23" s="87">
        <f t="shared" si="5"/>
        <v>0</v>
      </c>
    </row>
    <row r="24" spans="1:59" s="95" customFormat="1" ht="15.75" customHeight="1" x14ac:dyDescent="0.25">
      <c r="A24" s="67" t="s">
        <v>46</v>
      </c>
      <c r="B24" s="10" t="s">
        <v>48</v>
      </c>
      <c r="C24" s="10"/>
      <c r="D24" s="11">
        <f>SUM(D25:D26)</f>
        <v>876.25</v>
      </c>
      <c r="E24" s="12">
        <f t="shared" ref="E24:M24" si="8">SUM(E25:E26)</f>
        <v>19.75</v>
      </c>
      <c r="F24" s="12">
        <f t="shared" si="8"/>
        <v>512.5</v>
      </c>
      <c r="G24" s="12">
        <f t="shared" si="8"/>
        <v>343.25</v>
      </c>
      <c r="H24" s="56">
        <f t="shared" si="8"/>
        <v>29</v>
      </c>
      <c r="I24" s="11">
        <f t="shared" si="8"/>
        <v>159</v>
      </c>
      <c r="J24" s="12">
        <f t="shared" si="8"/>
        <v>5</v>
      </c>
      <c r="K24" s="12">
        <f t="shared" si="8"/>
        <v>99</v>
      </c>
      <c r="L24" s="12">
        <f t="shared" si="8"/>
        <v>55</v>
      </c>
      <c r="M24" s="56">
        <f t="shared" si="8"/>
        <v>9</v>
      </c>
      <c r="N24" s="11">
        <f t="shared" si="1"/>
        <v>-717.25</v>
      </c>
      <c r="O24" s="12">
        <f t="shared" si="2"/>
        <v>-14.75</v>
      </c>
      <c r="P24" s="12">
        <f t="shared" si="3"/>
        <v>-413.5</v>
      </c>
      <c r="Q24" s="12">
        <f t="shared" si="4"/>
        <v>-288.25</v>
      </c>
      <c r="R24" s="82">
        <f t="shared" si="5"/>
        <v>-20</v>
      </c>
    </row>
    <row r="25" spans="1:59" s="95" customFormat="1" x14ac:dyDescent="0.2">
      <c r="A25" s="67" t="s">
        <v>46</v>
      </c>
      <c r="B25" s="13" t="s">
        <v>9</v>
      </c>
      <c r="C25" s="23" t="s">
        <v>8</v>
      </c>
      <c r="D25" s="15">
        <v>687</v>
      </c>
      <c r="E25" s="16">
        <v>0</v>
      </c>
      <c r="F25" s="16">
        <v>343</v>
      </c>
      <c r="G25" s="16">
        <v>343.25</v>
      </c>
      <c r="H25" s="57">
        <v>22</v>
      </c>
      <c r="I25" s="15">
        <f>SUM(J25:L25)</f>
        <v>110</v>
      </c>
      <c r="J25" s="16">
        <v>0</v>
      </c>
      <c r="K25" s="16">
        <v>55</v>
      </c>
      <c r="L25" s="16">
        <v>55</v>
      </c>
      <c r="M25" s="57">
        <v>6</v>
      </c>
      <c r="N25" s="15">
        <f t="shared" si="1"/>
        <v>-577</v>
      </c>
      <c r="O25" s="16">
        <f t="shared" si="2"/>
        <v>0</v>
      </c>
      <c r="P25" s="16">
        <f t="shared" si="3"/>
        <v>-288</v>
      </c>
      <c r="Q25" s="16">
        <f t="shared" si="4"/>
        <v>-288.25</v>
      </c>
      <c r="R25" s="83">
        <f t="shared" si="5"/>
        <v>-16</v>
      </c>
    </row>
    <row r="26" spans="1:59" s="98" customFormat="1" ht="15.75" thickBot="1" x14ac:dyDescent="0.25">
      <c r="A26" s="68" t="s">
        <v>46</v>
      </c>
      <c r="B26" s="13" t="s">
        <v>9</v>
      </c>
      <c r="C26" s="23" t="s">
        <v>10</v>
      </c>
      <c r="D26" s="15">
        <v>189.25</v>
      </c>
      <c r="E26" s="20">
        <v>19.75</v>
      </c>
      <c r="F26" s="20">
        <v>169.5</v>
      </c>
      <c r="G26" s="20">
        <v>0</v>
      </c>
      <c r="H26" s="58">
        <v>7</v>
      </c>
      <c r="I26" s="15">
        <f>SUM(J26:L26)</f>
        <v>49</v>
      </c>
      <c r="J26" s="16">
        <v>5</v>
      </c>
      <c r="K26" s="16">
        <v>44</v>
      </c>
      <c r="L26" s="16">
        <v>0</v>
      </c>
      <c r="M26" s="57">
        <v>3</v>
      </c>
      <c r="N26" s="15">
        <f t="shared" si="1"/>
        <v>-140.25</v>
      </c>
      <c r="O26" s="16">
        <f t="shared" si="2"/>
        <v>-14.75</v>
      </c>
      <c r="P26" s="16">
        <f t="shared" si="3"/>
        <v>-125.5</v>
      </c>
      <c r="Q26" s="16">
        <f t="shared" si="4"/>
        <v>0</v>
      </c>
      <c r="R26" s="83">
        <f t="shared" si="5"/>
        <v>-4</v>
      </c>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row>
    <row r="27" spans="1:59" s="91" customFormat="1" ht="15.75" x14ac:dyDescent="0.25">
      <c r="A27" s="67" t="s">
        <v>62</v>
      </c>
      <c r="B27" s="21" t="s">
        <v>52</v>
      </c>
      <c r="C27" s="165"/>
      <c r="D27" s="11">
        <f t="shared" ref="D27:M27" si="9">SUM(D28:D33)</f>
        <v>445478</v>
      </c>
      <c r="E27" s="12">
        <f t="shared" si="9"/>
        <v>61474</v>
      </c>
      <c r="F27" s="12">
        <f t="shared" si="9"/>
        <v>333227</v>
      </c>
      <c r="G27" s="12">
        <f t="shared" si="9"/>
        <v>50777</v>
      </c>
      <c r="H27" s="56">
        <f t="shared" si="9"/>
        <v>0</v>
      </c>
      <c r="I27" s="11">
        <f t="shared" si="9"/>
        <v>527932</v>
      </c>
      <c r="J27" s="12">
        <f t="shared" si="9"/>
        <v>41639</v>
      </c>
      <c r="K27" s="12">
        <f t="shared" si="9"/>
        <v>377839</v>
      </c>
      <c r="L27" s="12">
        <f t="shared" si="9"/>
        <v>108454</v>
      </c>
      <c r="M27" s="56">
        <f t="shared" si="9"/>
        <v>0</v>
      </c>
      <c r="N27" s="11">
        <f t="shared" si="1"/>
        <v>82454</v>
      </c>
      <c r="O27" s="12">
        <f t="shared" si="2"/>
        <v>-19835</v>
      </c>
      <c r="P27" s="12">
        <f t="shared" si="3"/>
        <v>44612</v>
      </c>
      <c r="Q27" s="12">
        <f t="shared" si="4"/>
        <v>57677</v>
      </c>
      <c r="R27" s="82">
        <f t="shared" si="5"/>
        <v>0</v>
      </c>
    </row>
    <row r="28" spans="1:59" s="91" customFormat="1" x14ac:dyDescent="0.2">
      <c r="A28" s="67" t="s">
        <v>62</v>
      </c>
      <c r="B28" s="22" t="s">
        <v>31</v>
      </c>
      <c r="C28" s="14" t="s">
        <v>8</v>
      </c>
      <c r="D28" s="15">
        <f t="shared" ref="D28:D48" si="10">SUM(E28:G28)</f>
        <v>165467</v>
      </c>
      <c r="E28" s="16">
        <v>35801</v>
      </c>
      <c r="F28" s="16">
        <v>83160</v>
      </c>
      <c r="G28" s="16">
        <v>46506</v>
      </c>
      <c r="H28" s="57">
        <v>0</v>
      </c>
      <c r="I28" s="15">
        <f t="shared" ref="I28:I48" si="11">SUM(J28:L28)</f>
        <v>111396</v>
      </c>
      <c r="J28" s="16">
        <v>20099</v>
      </c>
      <c r="K28" s="16">
        <f>56042+6871</f>
        <v>62913</v>
      </c>
      <c r="L28" s="16">
        <v>28384</v>
      </c>
      <c r="M28" s="57">
        <v>0</v>
      </c>
      <c r="N28" s="15">
        <f t="shared" si="1"/>
        <v>-54071</v>
      </c>
      <c r="O28" s="16">
        <f t="shared" si="2"/>
        <v>-15702</v>
      </c>
      <c r="P28" s="16">
        <f t="shared" si="3"/>
        <v>-20247</v>
      </c>
      <c r="Q28" s="16">
        <f t="shared" si="4"/>
        <v>-18122</v>
      </c>
      <c r="R28" s="83">
        <f t="shared" si="5"/>
        <v>0</v>
      </c>
    </row>
    <row r="29" spans="1:59" s="91" customFormat="1" x14ac:dyDescent="0.2">
      <c r="A29" s="67" t="s">
        <v>62</v>
      </c>
      <c r="B29" s="22" t="s">
        <v>11</v>
      </c>
      <c r="C29" s="14" t="s">
        <v>10</v>
      </c>
      <c r="D29" s="15">
        <f t="shared" si="10"/>
        <v>268378</v>
      </c>
      <c r="E29" s="16">
        <v>24355</v>
      </c>
      <c r="F29" s="16">
        <v>241541</v>
      </c>
      <c r="G29" s="16">
        <v>2482</v>
      </c>
      <c r="H29" s="57">
        <v>0</v>
      </c>
      <c r="I29" s="15">
        <f t="shared" si="11"/>
        <v>172935</v>
      </c>
      <c r="J29" s="16">
        <v>14370</v>
      </c>
      <c r="K29" s="16">
        <f>155642</f>
        <v>155642</v>
      </c>
      <c r="L29" s="16">
        <v>2923</v>
      </c>
      <c r="M29" s="57">
        <v>0</v>
      </c>
      <c r="N29" s="15">
        <f t="shared" si="1"/>
        <v>-95443</v>
      </c>
      <c r="O29" s="16">
        <f t="shared" si="2"/>
        <v>-9985</v>
      </c>
      <c r="P29" s="16">
        <f t="shared" si="3"/>
        <v>-85899</v>
      </c>
      <c r="Q29" s="16">
        <f t="shared" si="4"/>
        <v>441</v>
      </c>
      <c r="R29" s="83">
        <f t="shared" si="5"/>
        <v>0</v>
      </c>
    </row>
    <row r="30" spans="1:59" s="91" customFormat="1" x14ac:dyDescent="0.2">
      <c r="A30" s="67" t="s">
        <v>62</v>
      </c>
      <c r="B30" s="22" t="s">
        <v>9</v>
      </c>
      <c r="C30" s="14" t="s">
        <v>8</v>
      </c>
      <c r="D30" s="15">
        <f t="shared" si="10"/>
        <v>1212</v>
      </c>
      <c r="E30" s="16">
        <v>0</v>
      </c>
      <c r="F30" s="16">
        <v>606</v>
      </c>
      <c r="G30" s="16">
        <v>606</v>
      </c>
      <c r="H30" s="57">
        <v>0</v>
      </c>
      <c r="I30" s="15">
        <f t="shared" si="11"/>
        <v>173748</v>
      </c>
      <c r="J30" s="16">
        <v>0</v>
      </c>
      <c r="K30" s="16">
        <f>86886+10771</f>
        <v>97657</v>
      </c>
      <c r="L30" s="16">
        <v>76091</v>
      </c>
      <c r="M30" s="57">
        <v>0</v>
      </c>
      <c r="N30" s="15">
        <f>I30-D30</f>
        <v>172536</v>
      </c>
      <c r="O30" s="16">
        <f t="shared" si="2"/>
        <v>0</v>
      </c>
      <c r="P30" s="16">
        <f t="shared" si="3"/>
        <v>97051</v>
      </c>
      <c r="Q30" s="16">
        <f t="shared" si="4"/>
        <v>75485</v>
      </c>
      <c r="R30" s="83">
        <f t="shared" si="5"/>
        <v>0</v>
      </c>
    </row>
    <row r="31" spans="1:59" s="91" customFormat="1" x14ac:dyDescent="0.2">
      <c r="A31" s="67" t="s">
        <v>62</v>
      </c>
      <c r="B31" s="22" t="s">
        <v>9</v>
      </c>
      <c r="C31" s="14" t="s">
        <v>7</v>
      </c>
      <c r="D31" s="15">
        <f t="shared" si="10"/>
        <v>3086</v>
      </c>
      <c r="E31" s="16">
        <v>309</v>
      </c>
      <c r="F31" s="16">
        <v>2777</v>
      </c>
      <c r="G31" s="16">
        <v>0</v>
      </c>
      <c r="H31" s="57">
        <v>0</v>
      </c>
      <c r="I31" s="15">
        <f t="shared" si="11"/>
        <v>62518</v>
      </c>
      <c r="J31" s="16">
        <v>6252</v>
      </c>
      <c r="K31" s="16">
        <v>56266</v>
      </c>
      <c r="L31" s="16">
        <v>0</v>
      </c>
      <c r="M31" s="57">
        <v>0</v>
      </c>
      <c r="N31" s="15">
        <f t="shared" si="1"/>
        <v>59432</v>
      </c>
      <c r="O31" s="16">
        <f t="shared" si="2"/>
        <v>5943</v>
      </c>
      <c r="P31" s="16">
        <f t="shared" si="3"/>
        <v>53489</v>
      </c>
      <c r="Q31" s="16">
        <f t="shared" si="4"/>
        <v>0</v>
      </c>
      <c r="R31" s="83">
        <f t="shared" si="5"/>
        <v>0</v>
      </c>
    </row>
    <row r="32" spans="1:59" s="91" customFormat="1" x14ac:dyDescent="0.2">
      <c r="A32" s="67" t="s">
        <v>62</v>
      </c>
      <c r="B32" s="22" t="s">
        <v>36</v>
      </c>
      <c r="C32" s="14" t="s">
        <v>35</v>
      </c>
      <c r="D32" s="15">
        <f t="shared" ref="D32" si="12">SUM(E32:G32)</f>
        <v>0</v>
      </c>
      <c r="E32" s="16">
        <v>0</v>
      </c>
      <c r="F32" s="16">
        <v>0</v>
      </c>
      <c r="G32" s="16">
        <v>0</v>
      </c>
      <c r="H32" s="57">
        <v>0</v>
      </c>
      <c r="I32" s="15">
        <f t="shared" ref="I32" si="13">SUM(J32:L32)</f>
        <v>0</v>
      </c>
      <c r="J32" s="16">
        <v>-6</v>
      </c>
      <c r="K32" s="16">
        <v>0</v>
      </c>
      <c r="L32" s="16">
        <v>6</v>
      </c>
      <c r="M32" s="57">
        <v>0</v>
      </c>
      <c r="N32" s="15">
        <f t="shared" ref="N32" si="14">I32-D32</f>
        <v>0</v>
      </c>
      <c r="O32" s="16">
        <f t="shared" ref="O32" si="15">J32-E32</f>
        <v>-6</v>
      </c>
      <c r="P32" s="16">
        <f t="shared" ref="P32" si="16">K32-F32</f>
        <v>0</v>
      </c>
      <c r="Q32" s="16">
        <f t="shared" ref="Q32" si="17">L32-G32</f>
        <v>6</v>
      </c>
      <c r="R32" s="83">
        <f t="shared" ref="R32" si="18">M32-H32</f>
        <v>0</v>
      </c>
    </row>
    <row r="33" spans="1:18" s="91" customFormat="1" ht="15.75" thickBot="1" x14ac:dyDescent="0.25">
      <c r="A33" s="68" t="s">
        <v>62</v>
      </c>
      <c r="B33" s="24" t="s">
        <v>50</v>
      </c>
      <c r="C33" s="167" t="s">
        <v>51</v>
      </c>
      <c r="D33" s="19">
        <f t="shared" si="10"/>
        <v>7335</v>
      </c>
      <c r="E33" s="20">
        <v>1009</v>
      </c>
      <c r="F33" s="20">
        <v>5143</v>
      </c>
      <c r="G33" s="20">
        <v>1183</v>
      </c>
      <c r="H33" s="58">
        <v>0</v>
      </c>
      <c r="I33" s="19">
        <f t="shared" si="11"/>
        <v>7335</v>
      </c>
      <c r="J33" s="20">
        <v>924</v>
      </c>
      <c r="K33" s="20">
        <f>5144+217</f>
        <v>5361</v>
      </c>
      <c r="L33" s="20">
        <v>1050</v>
      </c>
      <c r="M33" s="58">
        <v>0</v>
      </c>
      <c r="N33" s="19">
        <f t="shared" si="1"/>
        <v>0</v>
      </c>
      <c r="O33" s="20">
        <f t="shared" si="2"/>
        <v>-85</v>
      </c>
      <c r="P33" s="20">
        <f t="shared" si="3"/>
        <v>218</v>
      </c>
      <c r="Q33" s="20">
        <f t="shared" si="4"/>
        <v>-133</v>
      </c>
      <c r="R33" s="84">
        <f t="shared" si="5"/>
        <v>0</v>
      </c>
    </row>
    <row r="34" spans="1:18" s="23" customFormat="1" ht="15" customHeight="1" x14ac:dyDescent="0.25">
      <c r="A34" s="66" t="s">
        <v>47</v>
      </c>
      <c r="B34" s="10" t="s">
        <v>39</v>
      </c>
      <c r="C34" s="168"/>
      <c r="D34" s="11">
        <f>SUM(D35:D38)</f>
        <v>2380</v>
      </c>
      <c r="E34" s="12">
        <f t="shared" ref="E34:M34" si="19">SUM(E35:E38)</f>
        <v>182</v>
      </c>
      <c r="F34" s="12">
        <f t="shared" si="19"/>
        <v>1609</v>
      </c>
      <c r="G34" s="12">
        <f t="shared" si="19"/>
        <v>589</v>
      </c>
      <c r="H34" s="64">
        <f t="shared" si="19"/>
        <v>0</v>
      </c>
      <c r="I34" s="11">
        <f t="shared" si="19"/>
        <v>974</v>
      </c>
      <c r="J34" s="12">
        <f>SUM(J35:J38)</f>
        <v>63</v>
      </c>
      <c r="K34" s="12">
        <f t="shared" si="19"/>
        <v>695</v>
      </c>
      <c r="L34" s="12">
        <f t="shared" si="19"/>
        <v>216</v>
      </c>
      <c r="M34" s="56">
        <f t="shared" si="19"/>
        <v>0</v>
      </c>
      <c r="N34" s="12">
        <f t="shared" ref="N34:N35" si="20">I34-D34</f>
        <v>-1406</v>
      </c>
      <c r="O34" s="12">
        <f t="shared" ref="O34:O37" si="21">J34-E34</f>
        <v>-119</v>
      </c>
      <c r="P34" s="12">
        <f t="shared" ref="P34:P37" si="22">K34-F34</f>
        <v>-914</v>
      </c>
      <c r="Q34" s="12">
        <f t="shared" ref="Q34:Q37" si="23">L34-G34</f>
        <v>-373</v>
      </c>
      <c r="R34" s="82">
        <f t="shared" ref="R34:R38" si="24">M34-H34</f>
        <v>0</v>
      </c>
    </row>
    <row r="35" spans="1:18" s="23" customFormat="1" ht="15" customHeight="1" x14ac:dyDescent="0.25">
      <c r="A35" s="67" t="s">
        <v>47</v>
      </c>
      <c r="B35" s="13" t="s">
        <v>11</v>
      </c>
      <c r="C35" s="23" t="s">
        <v>8</v>
      </c>
      <c r="D35" s="15">
        <f t="shared" si="10"/>
        <v>1215</v>
      </c>
      <c r="E35" s="16">
        <v>78</v>
      </c>
      <c r="F35" s="16">
        <v>609</v>
      </c>
      <c r="G35" s="16">
        <v>528</v>
      </c>
      <c r="H35" s="59">
        <v>0</v>
      </c>
      <c r="I35" s="15">
        <f>SUM(J35:L35)</f>
        <v>529</v>
      </c>
      <c r="J35" s="16">
        <v>19</v>
      </c>
      <c r="K35" s="16">
        <f>265+33</f>
        <v>298</v>
      </c>
      <c r="L35" s="16">
        <v>212</v>
      </c>
      <c r="M35" s="57">
        <v>0</v>
      </c>
      <c r="N35" s="16">
        <f t="shared" si="20"/>
        <v>-686</v>
      </c>
      <c r="O35" s="16">
        <f t="shared" si="21"/>
        <v>-59</v>
      </c>
      <c r="P35" s="16">
        <f t="shared" si="22"/>
        <v>-311</v>
      </c>
      <c r="Q35" s="16">
        <f t="shared" si="23"/>
        <v>-316</v>
      </c>
      <c r="R35" s="88">
        <f t="shared" si="24"/>
        <v>0</v>
      </c>
    </row>
    <row r="36" spans="1:18" s="23" customFormat="1" ht="15" customHeight="1" x14ac:dyDescent="0.25">
      <c r="A36" s="67" t="s">
        <v>47</v>
      </c>
      <c r="B36" s="13" t="s">
        <v>11</v>
      </c>
      <c r="C36" s="23" t="s">
        <v>7</v>
      </c>
      <c r="D36" s="15">
        <f t="shared" si="10"/>
        <v>1010</v>
      </c>
      <c r="E36" s="16">
        <v>101</v>
      </c>
      <c r="F36" s="16">
        <v>909</v>
      </c>
      <c r="G36" s="16">
        <v>0</v>
      </c>
      <c r="H36" s="59">
        <v>0</v>
      </c>
      <c r="I36" s="15">
        <f>SUM(J36:L36)</f>
        <v>434</v>
      </c>
      <c r="J36" s="16">
        <v>44</v>
      </c>
      <c r="K36" s="16">
        <v>390</v>
      </c>
      <c r="L36" s="16">
        <v>0</v>
      </c>
      <c r="M36" s="57">
        <v>0</v>
      </c>
      <c r="N36" s="16">
        <f>I36-D36</f>
        <v>-576</v>
      </c>
      <c r="O36" s="16">
        <f t="shared" si="21"/>
        <v>-57</v>
      </c>
      <c r="P36" s="16">
        <f t="shared" si="22"/>
        <v>-519</v>
      </c>
      <c r="Q36" s="16">
        <f t="shared" si="23"/>
        <v>0</v>
      </c>
      <c r="R36" s="88">
        <f t="shared" si="24"/>
        <v>0</v>
      </c>
    </row>
    <row r="37" spans="1:18" s="23" customFormat="1" ht="15" customHeight="1" x14ac:dyDescent="0.25">
      <c r="A37" s="67" t="s">
        <v>47</v>
      </c>
      <c r="B37" s="13" t="s">
        <v>9</v>
      </c>
      <c r="C37" s="23" t="s">
        <v>8</v>
      </c>
      <c r="D37" s="15">
        <f t="shared" si="10"/>
        <v>123</v>
      </c>
      <c r="E37" s="16">
        <v>0</v>
      </c>
      <c r="F37" s="16">
        <v>62</v>
      </c>
      <c r="G37" s="16">
        <v>61</v>
      </c>
      <c r="H37" s="59">
        <v>0</v>
      </c>
      <c r="I37" s="15">
        <f>SUM(J37:L37)</f>
        <v>9</v>
      </c>
      <c r="J37" s="16">
        <v>0</v>
      </c>
      <c r="K37" s="16">
        <v>5</v>
      </c>
      <c r="L37" s="16">
        <v>4</v>
      </c>
      <c r="M37" s="57">
        <v>0</v>
      </c>
      <c r="N37" s="16">
        <f>I37-D37</f>
        <v>-114</v>
      </c>
      <c r="O37" s="16">
        <f t="shared" si="21"/>
        <v>0</v>
      </c>
      <c r="P37" s="16">
        <f t="shared" si="22"/>
        <v>-57</v>
      </c>
      <c r="Q37" s="16">
        <f t="shared" si="23"/>
        <v>-57</v>
      </c>
      <c r="R37" s="88">
        <f t="shared" si="24"/>
        <v>0</v>
      </c>
    </row>
    <row r="38" spans="1:18" s="23" customFormat="1" ht="15" customHeight="1" thickBot="1" x14ac:dyDescent="0.3">
      <c r="A38" s="68" t="s">
        <v>47</v>
      </c>
      <c r="B38" s="17" t="s">
        <v>9</v>
      </c>
      <c r="C38" s="18" t="s">
        <v>10</v>
      </c>
      <c r="D38" s="19">
        <f t="shared" si="10"/>
        <v>32</v>
      </c>
      <c r="E38" s="20">
        <v>3</v>
      </c>
      <c r="F38" s="20">
        <v>29</v>
      </c>
      <c r="G38" s="20">
        <v>0</v>
      </c>
      <c r="H38" s="62">
        <v>0</v>
      </c>
      <c r="I38" s="19">
        <f>SUM(J38:L38)</f>
        <v>2</v>
      </c>
      <c r="J38" s="20">
        <v>0</v>
      </c>
      <c r="K38" s="20">
        <v>2</v>
      </c>
      <c r="L38" s="20">
        <v>0</v>
      </c>
      <c r="M38" s="58">
        <v>0</v>
      </c>
      <c r="N38" s="19">
        <f>I38-D38</f>
        <v>-30</v>
      </c>
      <c r="O38" s="20">
        <f t="shared" ref="O38:O42" si="25">J38-E38</f>
        <v>-3</v>
      </c>
      <c r="P38" s="20">
        <f t="shared" ref="P38:P42" si="26">K38-F38</f>
        <v>-27</v>
      </c>
      <c r="Q38" s="20">
        <f t="shared" ref="Q38:Q42" si="27">L38-G38</f>
        <v>0</v>
      </c>
      <c r="R38" s="89">
        <f t="shared" si="24"/>
        <v>0</v>
      </c>
    </row>
    <row r="39" spans="1:18" s="23" customFormat="1" ht="15" customHeight="1" x14ac:dyDescent="0.25">
      <c r="A39" s="67" t="s">
        <v>63</v>
      </c>
      <c r="B39" s="169" t="s">
        <v>56</v>
      </c>
      <c r="D39" s="26">
        <f>SUM(D40:D43)</f>
        <v>729</v>
      </c>
      <c r="E39" s="27">
        <f t="shared" ref="E39:M39" si="28">SUM(E40:E43)</f>
        <v>16.5</v>
      </c>
      <c r="F39" s="27">
        <f t="shared" si="28"/>
        <v>495</v>
      </c>
      <c r="G39" s="27">
        <f t="shared" si="28"/>
        <v>216.5</v>
      </c>
      <c r="H39" s="59">
        <f t="shared" si="28"/>
        <v>0</v>
      </c>
      <c r="I39" s="26">
        <f t="shared" si="28"/>
        <v>404</v>
      </c>
      <c r="J39" s="27">
        <f t="shared" si="28"/>
        <v>60</v>
      </c>
      <c r="K39" s="27">
        <f t="shared" si="28"/>
        <v>288</v>
      </c>
      <c r="L39" s="27">
        <f t="shared" si="28"/>
        <v>56</v>
      </c>
      <c r="M39" s="139">
        <f t="shared" si="28"/>
        <v>0</v>
      </c>
      <c r="N39" s="27">
        <f t="shared" ref="N39:N40" si="29">I39-D39</f>
        <v>-325</v>
      </c>
      <c r="O39" s="27">
        <f t="shared" si="25"/>
        <v>43.5</v>
      </c>
      <c r="P39" s="27">
        <f t="shared" si="26"/>
        <v>-207</v>
      </c>
      <c r="Q39" s="27">
        <f t="shared" si="27"/>
        <v>-160.5</v>
      </c>
      <c r="R39" s="88">
        <f t="shared" ref="R39:R43" si="30">M39-H39</f>
        <v>0</v>
      </c>
    </row>
    <row r="40" spans="1:18" s="23" customFormat="1" ht="15" customHeight="1" x14ac:dyDescent="0.25">
      <c r="A40" s="67" t="s">
        <v>63</v>
      </c>
      <c r="B40" s="13" t="s">
        <v>11</v>
      </c>
      <c r="C40" s="23" t="s">
        <v>8</v>
      </c>
      <c r="D40" s="15">
        <f t="shared" si="10"/>
        <v>391</v>
      </c>
      <c r="E40" s="16">
        <v>0</v>
      </c>
      <c r="F40" s="16">
        <v>196</v>
      </c>
      <c r="G40" s="16">
        <v>195</v>
      </c>
      <c r="H40" s="59">
        <v>0</v>
      </c>
      <c r="I40" s="15">
        <f>SUM(J40:L40)</f>
        <v>216</v>
      </c>
      <c r="J40" s="16">
        <v>41</v>
      </c>
      <c r="K40" s="16">
        <f>108+13</f>
        <v>121</v>
      </c>
      <c r="L40" s="16">
        <v>54</v>
      </c>
      <c r="M40" s="57">
        <v>0</v>
      </c>
      <c r="N40" s="16">
        <f t="shared" si="29"/>
        <v>-175</v>
      </c>
      <c r="O40" s="16">
        <f t="shared" si="25"/>
        <v>41</v>
      </c>
      <c r="P40" s="16">
        <f t="shared" si="26"/>
        <v>-75</v>
      </c>
      <c r="Q40" s="16">
        <f t="shared" si="27"/>
        <v>-141</v>
      </c>
      <c r="R40" s="88">
        <f t="shared" si="30"/>
        <v>0</v>
      </c>
    </row>
    <row r="41" spans="1:18" s="23" customFormat="1" ht="15" customHeight="1" x14ac:dyDescent="0.25">
      <c r="A41" s="67" t="s">
        <v>63</v>
      </c>
      <c r="B41" s="13" t="s">
        <v>11</v>
      </c>
      <c r="C41" s="23" t="s">
        <v>7</v>
      </c>
      <c r="D41" s="15">
        <f>SUM(E41:G41)+1</f>
        <v>327</v>
      </c>
      <c r="E41" s="16">
        <v>16.5</v>
      </c>
      <c r="F41" s="16">
        <v>293</v>
      </c>
      <c r="G41" s="16">
        <v>16.5</v>
      </c>
      <c r="H41" s="59">
        <v>0</v>
      </c>
      <c r="I41" s="15">
        <f>SUM(J41:L41)</f>
        <v>178</v>
      </c>
      <c r="J41" s="16">
        <v>17</v>
      </c>
      <c r="K41" s="16">
        <v>161</v>
      </c>
      <c r="L41" s="16">
        <v>0</v>
      </c>
      <c r="M41" s="57">
        <v>0</v>
      </c>
      <c r="N41" s="16">
        <f>I41-D41</f>
        <v>-149</v>
      </c>
      <c r="O41" s="16">
        <f t="shared" si="25"/>
        <v>0.5</v>
      </c>
      <c r="P41" s="16">
        <f t="shared" si="26"/>
        <v>-132</v>
      </c>
      <c r="Q41" s="16">
        <f t="shared" si="27"/>
        <v>-16.5</v>
      </c>
      <c r="R41" s="88">
        <f t="shared" si="30"/>
        <v>0</v>
      </c>
    </row>
    <row r="42" spans="1:18" s="23" customFormat="1" ht="15" customHeight="1" x14ac:dyDescent="0.25">
      <c r="A42" s="67" t="s">
        <v>63</v>
      </c>
      <c r="B42" s="13" t="s">
        <v>9</v>
      </c>
      <c r="C42" s="23" t="s">
        <v>8</v>
      </c>
      <c r="D42" s="15">
        <f t="shared" si="10"/>
        <v>9</v>
      </c>
      <c r="E42" s="16">
        <v>0</v>
      </c>
      <c r="F42" s="16">
        <v>4</v>
      </c>
      <c r="G42" s="16">
        <v>5</v>
      </c>
      <c r="H42" s="59">
        <v>0</v>
      </c>
      <c r="I42" s="15">
        <f>SUM(J42:L42)</f>
        <v>8</v>
      </c>
      <c r="J42" s="16">
        <v>2</v>
      </c>
      <c r="K42" s="16">
        <v>4</v>
      </c>
      <c r="L42" s="16">
        <v>2</v>
      </c>
      <c r="M42" s="57">
        <v>0</v>
      </c>
      <c r="N42" s="16">
        <f>I42-D42</f>
        <v>-1</v>
      </c>
      <c r="O42" s="16">
        <f t="shared" si="25"/>
        <v>2</v>
      </c>
      <c r="P42" s="16">
        <f t="shared" si="26"/>
        <v>0</v>
      </c>
      <c r="Q42" s="16">
        <f t="shared" si="27"/>
        <v>-3</v>
      </c>
      <c r="R42" s="88">
        <f t="shared" si="30"/>
        <v>0</v>
      </c>
    </row>
    <row r="43" spans="1:18" s="23" customFormat="1" ht="15" customHeight="1" thickBot="1" x14ac:dyDescent="0.3">
      <c r="A43" s="67" t="s">
        <v>63</v>
      </c>
      <c r="B43" s="17" t="s">
        <v>9</v>
      </c>
      <c r="C43" s="18" t="s">
        <v>10</v>
      </c>
      <c r="D43" s="15">
        <f t="shared" si="10"/>
        <v>2</v>
      </c>
      <c r="E43" s="20">
        <v>0</v>
      </c>
      <c r="F43" s="20">
        <v>2</v>
      </c>
      <c r="G43" s="20">
        <v>0</v>
      </c>
      <c r="H43" s="62">
        <v>0</v>
      </c>
      <c r="I43" s="19">
        <f>SUM(J43:L43)</f>
        <v>2</v>
      </c>
      <c r="J43" s="20">
        <v>0</v>
      </c>
      <c r="K43" s="20">
        <v>2</v>
      </c>
      <c r="L43" s="20">
        <v>0</v>
      </c>
      <c r="M43" s="58">
        <v>0</v>
      </c>
      <c r="N43" s="19">
        <f>I43-D43</f>
        <v>0</v>
      </c>
      <c r="O43" s="20">
        <f t="shared" ref="O43" si="31">J43-E43</f>
        <v>0</v>
      </c>
      <c r="P43" s="20">
        <f t="shared" ref="P43" si="32">K43-F43</f>
        <v>0</v>
      </c>
      <c r="Q43" s="20">
        <f t="shared" ref="Q43" si="33">L43-G43</f>
        <v>0</v>
      </c>
      <c r="R43" s="89">
        <f t="shared" si="30"/>
        <v>0</v>
      </c>
    </row>
    <row r="44" spans="1:18" s="23" customFormat="1" ht="15" customHeight="1" thickBot="1" x14ac:dyDescent="0.3">
      <c r="A44" s="81" t="s">
        <v>64</v>
      </c>
      <c r="B44" s="35" t="s">
        <v>30</v>
      </c>
      <c r="C44" s="170"/>
      <c r="D44" s="108">
        <f t="shared" si="10"/>
        <v>0</v>
      </c>
      <c r="E44" s="107">
        <v>0</v>
      </c>
      <c r="F44" s="107">
        <v>0</v>
      </c>
      <c r="G44" s="107">
        <v>0</v>
      </c>
      <c r="H44" s="60">
        <v>0</v>
      </c>
      <c r="I44" s="108">
        <f t="shared" si="11"/>
        <v>2</v>
      </c>
      <c r="J44" s="107">
        <v>-14</v>
      </c>
      <c r="K44" s="107">
        <v>60</v>
      </c>
      <c r="L44" s="107">
        <v>-44</v>
      </c>
      <c r="M44" s="61">
        <v>0</v>
      </c>
      <c r="N44" s="108">
        <f t="shared" si="1"/>
        <v>2</v>
      </c>
      <c r="O44" s="107">
        <f t="shared" si="2"/>
        <v>-14</v>
      </c>
      <c r="P44" s="107">
        <f t="shared" si="3"/>
        <v>60</v>
      </c>
      <c r="Q44" s="107">
        <f t="shared" si="4"/>
        <v>-44</v>
      </c>
      <c r="R44" s="90">
        <f t="shared" si="5"/>
        <v>0</v>
      </c>
    </row>
    <row r="45" spans="1:18" s="23" customFormat="1" ht="15" customHeight="1" thickBot="1" x14ac:dyDescent="0.3">
      <c r="A45" s="81" t="s">
        <v>65</v>
      </c>
      <c r="B45" s="35" t="s">
        <v>55</v>
      </c>
      <c r="C45" s="170"/>
      <c r="D45" s="108">
        <f t="shared" ref="D45" si="34">SUM(E45:G45)</f>
        <v>13500</v>
      </c>
      <c r="E45" s="107">
        <v>1815</v>
      </c>
      <c r="F45" s="107">
        <v>11685</v>
      </c>
      <c r="G45" s="107">
        <v>0</v>
      </c>
      <c r="H45" s="60">
        <v>0</v>
      </c>
      <c r="I45" s="108">
        <f t="shared" ref="I45" si="35">SUM(J45:L45)</f>
        <v>90853</v>
      </c>
      <c r="J45" s="107">
        <f>430+6568</f>
        <v>6998</v>
      </c>
      <c r="K45" s="107">
        <f>4646+240+57235+2846</f>
        <v>64967</v>
      </c>
      <c r="L45" s="107">
        <f>1565+17323</f>
        <v>18888</v>
      </c>
      <c r="M45" s="61">
        <v>0</v>
      </c>
      <c r="N45" s="108">
        <f t="shared" ref="N45" si="36">I45-D45</f>
        <v>77353</v>
      </c>
      <c r="O45" s="107">
        <f t="shared" ref="O45" si="37">J45-E45</f>
        <v>5183</v>
      </c>
      <c r="P45" s="107">
        <f t="shared" ref="P45" si="38">K45-F45</f>
        <v>53282</v>
      </c>
      <c r="Q45" s="107">
        <f t="shared" ref="Q45" si="39">L45-G45</f>
        <v>18888</v>
      </c>
      <c r="R45" s="90">
        <f t="shared" ref="R45" si="40">M45-H45</f>
        <v>0</v>
      </c>
    </row>
    <row r="46" spans="1:18" s="23" customFormat="1" ht="15" customHeight="1" thickBot="1" x14ac:dyDescent="0.3">
      <c r="A46" s="81" t="s">
        <v>77</v>
      </c>
      <c r="B46" s="35" t="s">
        <v>78</v>
      </c>
      <c r="C46" s="170"/>
      <c r="D46" s="108">
        <f>SUM(E46:G46)</f>
        <v>0</v>
      </c>
      <c r="E46" s="107">
        <v>4752</v>
      </c>
      <c r="F46" s="107">
        <v>-4752</v>
      </c>
      <c r="G46" s="107">
        <v>0</v>
      </c>
      <c r="H46" s="60">
        <v>0</v>
      </c>
      <c r="I46" s="108">
        <f>SUM(J46:L46)</f>
        <v>0</v>
      </c>
      <c r="J46" s="107">
        <f>4840+666</f>
        <v>5506</v>
      </c>
      <c r="K46" s="107">
        <f>-4840-865</f>
        <v>-5705</v>
      </c>
      <c r="L46" s="107">
        <v>199</v>
      </c>
      <c r="M46" s="61">
        <v>0</v>
      </c>
      <c r="N46" s="108">
        <f t="shared" ref="N46:R47" si="41">I46-D46</f>
        <v>0</v>
      </c>
      <c r="O46" s="107">
        <f t="shared" si="41"/>
        <v>754</v>
      </c>
      <c r="P46" s="107">
        <f t="shared" si="41"/>
        <v>-953</v>
      </c>
      <c r="Q46" s="107">
        <f t="shared" si="41"/>
        <v>199</v>
      </c>
      <c r="R46" s="90">
        <f t="shared" si="41"/>
        <v>0</v>
      </c>
    </row>
    <row r="47" spans="1:18" s="96" customFormat="1" ht="16.5" thickBot="1" x14ac:dyDescent="0.3">
      <c r="A47" s="65" t="s">
        <v>67</v>
      </c>
      <c r="B47" s="35" t="s">
        <v>5</v>
      </c>
      <c r="C47" s="171"/>
      <c r="D47" s="108">
        <f>SUM(E47:G47)</f>
        <v>4893</v>
      </c>
      <c r="E47" s="107">
        <v>0</v>
      </c>
      <c r="F47" s="107">
        <v>3365</v>
      </c>
      <c r="G47" s="107">
        <v>1528</v>
      </c>
      <c r="H47" s="61">
        <v>0</v>
      </c>
      <c r="I47" s="108">
        <f>SUM(J47:L47)</f>
        <v>35231</v>
      </c>
      <c r="J47" s="107">
        <v>0</v>
      </c>
      <c r="K47" s="107">
        <v>22977</v>
      </c>
      <c r="L47" s="107">
        <v>12254</v>
      </c>
      <c r="M47" s="61">
        <v>0</v>
      </c>
      <c r="N47" s="108">
        <f t="shared" si="41"/>
        <v>30338</v>
      </c>
      <c r="O47" s="107">
        <f t="shared" si="41"/>
        <v>0</v>
      </c>
      <c r="P47" s="107">
        <f t="shared" si="41"/>
        <v>19612</v>
      </c>
      <c r="Q47" s="107">
        <f t="shared" si="41"/>
        <v>10726</v>
      </c>
      <c r="R47" s="90">
        <f t="shared" si="41"/>
        <v>0</v>
      </c>
    </row>
    <row r="48" spans="1:18" s="96" customFormat="1" ht="16.5" thickBot="1" x14ac:dyDescent="0.3">
      <c r="A48" s="65" t="s">
        <v>66</v>
      </c>
      <c r="B48" s="35" t="s">
        <v>17</v>
      </c>
      <c r="C48" s="171"/>
      <c r="D48" s="108">
        <f t="shared" si="10"/>
        <v>45063</v>
      </c>
      <c r="E48" s="107">
        <v>894</v>
      </c>
      <c r="F48" s="107">
        <v>22532</v>
      </c>
      <c r="G48" s="107">
        <v>21637</v>
      </c>
      <c r="H48" s="63">
        <v>0</v>
      </c>
      <c r="I48" s="108">
        <f t="shared" si="11"/>
        <v>39631</v>
      </c>
      <c r="J48" s="107">
        <v>1021</v>
      </c>
      <c r="K48" s="107">
        <v>19815</v>
      </c>
      <c r="L48" s="107">
        <v>18795</v>
      </c>
      <c r="M48" s="61">
        <v>0</v>
      </c>
      <c r="N48" s="108">
        <f t="shared" si="1"/>
        <v>-5432</v>
      </c>
      <c r="O48" s="107">
        <f t="shared" ref="O48:Q48" si="42">J48-E48</f>
        <v>127</v>
      </c>
      <c r="P48" s="107">
        <f t="shared" si="42"/>
        <v>-2717</v>
      </c>
      <c r="Q48" s="107">
        <f t="shared" si="42"/>
        <v>-2842</v>
      </c>
      <c r="R48" s="90">
        <f t="shared" si="5"/>
        <v>0</v>
      </c>
    </row>
    <row r="49" spans="1:59" s="92" customFormat="1" ht="16.5" thickBot="1" x14ac:dyDescent="0.3">
      <c r="A49" s="65" t="s">
        <v>68</v>
      </c>
      <c r="B49" s="35" t="s">
        <v>79</v>
      </c>
      <c r="C49" s="171"/>
      <c r="D49" s="108">
        <f t="shared" ref="D49" si="43">SUM(E49:G49)</f>
        <v>0</v>
      </c>
      <c r="E49" s="107">
        <v>0</v>
      </c>
      <c r="F49" s="107">
        <v>0</v>
      </c>
      <c r="G49" s="107">
        <v>0</v>
      </c>
      <c r="H49" s="63">
        <v>0</v>
      </c>
      <c r="I49" s="108">
        <f t="shared" ref="I49" si="44">SUM(J49:L49)</f>
        <v>0</v>
      </c>
      <c r="J49" s="107">
        <v>0</v>
      </c>
      <c r="K49" s="107">
        <v>0</v>
      </c>
      <c r="L49" s="107">
        <v>0</v>
      </c>
      <c r="M49" s="61">
        <v>0</v>
      </c>
      <c r="N49" s="108">
        <f t="shared" ref="N49" si="45">I49-D49</f>
        <v>0</v>
      </c>
      <c r="O49" s="107">
        <f t="shared" ref="O49" si="46">J49-E49</f>
        <v>0</v>
      </c>
      <c r="P49" s="107">
        <f t="shared" ref="P49" si="47">K49-F49</f>
        <v>0</v>
      </c>
      <c r="Q49" s="107">
        <f t="shared" ref="Q49" si="48">L49-G49</f>
        <v>0</v>
      </c>
      <c r="R49" s="90">
        <f t="shared" ref="R49" si="49">M49-H49</f>
        <v>0</v>
      </c>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row>
    <row r="50" spans="1:59" s="99" customFormat="1" ht="15" customHeight="1" thickBot="1" x14ac:dyDescent="0.3">
      <c r="A50" s="172"/>
      <c r="B50" s="173"/>
      <c r="C50" s="69" t="s">
        <v>16</v>
      </c>
      <c r="D50" s="108">
        <f>D9+D14+D19+D24+D27+D34+D39+D44+D46+D45+D47+D48+D49</f>
        <v>561723.75</v>
      </c>
      <c r="E50" s="108">
        <f t="shared" ref="E50:M50" si="50">E9+E14+E19+E24+E27+E34+E39+E44+E46+E45+E47+E48+E49</f>
        <v>71640.5</v>
      </c>
      <c r="F50" s="108">
        <f>F9+F14+F19+F24+F27+F34+F39+F44+F46+F45+F47+F48+F49+1</f>
        <v>401632.75</v>
      </c>
      <c r="G50" s="108">
        <f>G9+G14+G19+G24+G27+G34+G39+G44+G46+G45+G47+G48+G49+1</f>
        <v>88450.25</v>
      </c>
      <c r="H50" s="109">
        <f t="shared" si="50"/>
        <v>6343</v>
      </c>
      <c r="I50" s="108">
        <f t="shared" si="50"/>
        <v>714062</v>
      </c>
      <c r="J50" s="108">
        <f t="shared" si="50"/>
        <v>56261</v>
      </c>
      <c r="K50" s="108">
        <f t="shared" si="50"/>
        <v>493629</v>
      </c>
      <c r="L50" s="108">
        <f t="shared" si="50"/>
        <v>164172</v>
      </c>
      <c r="M50" s="109">
        <f t="shared" si="50"/>
        <v>2675</v>
      </c>
      <c r="N50" s="108">
        <f>I50-D50</f>
        <v>152338.25</v>
      </c>
      <c r="O50" s="107">
        <f>J50-E50</f>
        <v>-15379.5</v>
      </c>
      <c r="P50" s="107">
        <f>K50-F50</f>
        <v>91996.25</v>
      </c>
      <c r="Q50" s="107">
        <f t="shared" si="4"/>
        <v>75721.75</v>
      </c>
      <c r="R50" s="111">
        <f t="shared" si="5"/>
        <v>-3668</v>
      </c>
    </row>
    <row r="51" spans="1:59" s="99" customFormat="1" ht="15" customHeight="1" x14ac:dyDescent="0.25">
      <c r="A51" s="174"/>
      <c r="C51" s="30" t="s">
        <v>3</v>
      </c>
      <c r="D51" s="175">
        <f t="shared" ref="D51:M51" si="51">D10+D11+D15+D16+D20+D21+D28+D29+D35+D36+D40+D41</f>
        <v>485309</v>
      </c>
      <c r="E51" s="175">
        <f t="shared" si="51"/>
        <v>62833</v>
      </c>
      <c r="F51" s="175">
        <f t="shared" si="51"/>
        <v>359501.5</v>
      </c>
      <c r="G51" s="175">
        <f t="shared" si="51"/>
        <v>62973.5</v>
      </c>
      <c r="H51" s="176">
        <f t="shared" si="51"/>
        <v>6261</v>
      </c>
      <c r="I51" s="175">
        <f t="shared" si="51"/>
        <v>304495</v>
      </c>
      <c r="J51" s="175">
        <f t="shared" si="51"/>
        <v>35573</v>
      </c>
      <c r="K51" s="175">
        <f t="shared" si="51"/>
        <v>232079</v>
      </c>
      <c r="L51" s="175">
        <f t="shared" si="51"/>
        <v>36843</v>
      </c>
      <c r="M51" s="176">
        <f t="shared" si="51"/>
        <v>2645</v>
      </c>
      <c r="N51" s="110">
        <f>I51-D51</f>
        <v>-180814</v>
      </c>
      <c r="O51" s="16">
        <f t="shared" si="2"/>
        <v>-27260</v>
      </c>
      <c r="P51" s="112">
        <f>K51-F51</f>
        <v>-127422.5</v>
      </c>
      <c r="Q51" s="112">
        <f t="shared" si="4"/>
        <v>-26130.5</v>
      </c>
      <c r="R51" s="86">
        <f t="shared" si="5"/>
        <v>-3616</v>
      </c>
    </row>
    <row r="52" spans="1:59" s="23" customFormat="1" ht="15" customHeight="1" x14ac:dyDescent="0.25">
      <c r="A52" s="67"/>
      <c r="C52" s="30" t="s">
        <v>2</v>
      </c>
      <c r="D52" s="177">
        <f t="shared" ref="D52:M52" si="52">D12+D13+D17+D18+D22+D23+D25+D26+D30+D31+D37+D38+D42+D43</f>
        <v>5623.75</v>
      </c>
      <c r="E52" s="177">
        <f t="shared" si="52"/>
        <v>337.5</v>
      </c>
      <c r="F52" s="177">
        <f>F12+F13+F17+F18+F22+F23+F25+F26+F30+F31+F37+F38+F42+F43+1</f>
        <v>4158.25</v>
      </c>
      <c r="G52" s="177">
        <f t="shared" si="52"/>
        <v>1127.75</v>
      </c>
      <c r="H52" s="178">
        <f t="shared" si="52"/>
        <v>82</v>
      </c>
      <c r="I52" s="177">
        <f t="shared" si="52"/>
        <v>236515</v>
      </c>
      <c r="J52" s="177">
        <f t="shared" si="52"/>
        <v>6259</v>
      </c>
      <c r="K52" s="177">
        <f t="shared" si="52"/>
        <v>154075</v>
      </c>
      <c r="L52" s="177">
        <f t="shared" si="52"/>
        <v>76181</v>
      </c>
      <c r="M52" s="178">
        <f t="shared" si="52"/>
        <v>30</v>
      </c>
      <c r="N52" s="110">
        <f>I52-D52</f>
        <v>230891.25</v>
      </c>
      <c r="O52" s="16">
        <f>J52-E52-1</f>
        <v>5920.5</v>
      </c>
      <c r="P52" s="112">
        <f>K52-F52</f>
        <v>149916.75</v>
      </c>
      <c r="Q52" s="112">
        <f t="shared" ref="Q52:Q53" si="53">L52-G52</f>
        <v>75053.25</v>
      </c>
      <c r="R52" s="86">
        <f t="shared" ref="R52:R53" si="54">M52-H52</f>
        <v>-52</v>
      </c>
    </row>
    <row r="53" spans="1:59" s="23" customFormat="1" ht="15" customHeight="1" thickBot="1" x14ac:dyDescent="0.3">
      <c r="A53" s="68"/>
      <c r="B53" s="179"/>
      <c r="C53" s="36" t="s">
        <v>1</v>
      </c>
      <c r="D53" s="19">
        <f t="shared" ref="D53:M53" si="55">+D32+D33+D44+D46+D45+D47+D48+D49</f>
        <v>70791</v>
      </c>
      <c r="E53" s="19">
        <f t="shared" si="55"/>
        <v>8470</v>
      </c>
      <c r="F53" s="19">
        <f t="shared" si="55"/>
        <v>37973</v>
      </c>
      <c r="G53" s="19">
        <f t="shared" si="55"/>
        <v>24348</v>
      </c>
      <c r="H53" s="113">
        <f t="shared" si="55"/>
        <v>0</v>
      </c>
      <c r="I53" s="19">
        <f t="shared" si="55"/>
        <v>173052</v>
      </c>
      <c r="J53" s="19">
        <f t="shared" si="55"/>
        <v>14429</v>
      </c>
      <c r="K53" s="19">
        <f t="shared" si="55"/>
        <v>107475</v>
      </c>
      <c r="L53" s="19">
        <f t="shared" si="55"/>
        <v>51148</v>
      </c>
      <c r="M53" s="113">
        <f t="shared" si="55"/>
        <v>0</v>
      </c>
      <c r="N53" s="114">
        <f>I53-D53</f>
        <v>102261</v>
      </c>
      <c r="O53" s="20">
        <f t="shared" ref="O53" si="56">J53-E53</f>
        <v>5959</v>
      </c>
      <c r="P53" s="115">
        <f t="shared" ref="P53" si="57">K53-F53</f>
        <v>69502</v>
      </c>
      <c r="Q53" s="115">
        <f t="shared" si="53"/>
        <v>26800</v>
      </c>
      <c r="R53" s="87">
        <f t="shared" si="54"/>
        <v>0</v>
      </c>
    </row>
    <row r="54" spans="1:59" ht="15.75" x14ac:dyDescent="0.25">
      <c r="A54" s="140" t="s">
        <v>0</v>
      </c>
      <c r="B54" s="202"/>
      <c r="D54" s="203"/>
      <c r="E54" s="203"/>
      <c r="F54" s="203"/>
      <c r="G54" s="203"/>
      <c r="H54" s="203"/>
      <c r="I54" s="203"/>
      <c r="J54" s="203"/>
      <c r="K54" s="203"/>
      <c r="L54" s="203"/>
      <c r="M54" s="203"/>
      <c r="N54" s="203"/>
      <c r="O54" s="203"/>
      <c r="P54" s="203"/>
      <c r="Q54" s="203"/>
      <c r="R54" s="203"/>
    </row>
    <row r="55" spans="1:59" ht="15" customHeight="1" x14ac:dyDescent="0.25">
      <c r="A55" s="180" t="s">
        <v>54</v>
      </c>
      <c r="B55" s="204"/>
      <c r="C55" s="50"/>
      <c r="D55" s="205"/>
      <c r="E55" s="50"/>
      <c r="F55" s="50"/>
      <c r="G55" s="50"/>
      <c r="H55" s="50"/>
      <c r="I55" s="50"/>
      <c r="J55" s="50"/>
      <c r="K55" s="50"/>
      <c r="L55" s="50"/>
      <c r="M55" s="50"/>
      <c r="N55" s="50"/>
      <c r="O55" s="50"/>
      <c r="P55" s="50"/>
      <c r="Q55" s="50"/>
      <c r="R55" s="50"/>
    </row>
    <row r="56" spans="1:59" ht="15" customHeight="1" x14ac:dyDescent="0.2">
      <c r="A56" s="180" t="s">
        <v>53</v>
      </c>
      <c r="B56" s="206"/>
      <c r="C56" s="102"/>
      <c r="D56" s="50"/>
      <c r="E56" s="50"/>
      <c r="F56" s="50"/>
      <c r="G56" s="50"/>
      <c r="H56" s="50"/>
      <c r="I56" s="50"/>
      <c r="J56" s="50"/>
      <c r="K56" s="50"/>
      <c r="L56" s="50"/>
      <c r="M56" s="50"/>
      <c r="N56" s="50"/>
      <c r="O56" s="50"/>
      <c r="P56" s="50"/>
      <c r="Q56" s="50"/>
      <c r="R56" s="50"/>
    </row>
    <row r="57" spans="1:59" ht="15" customHeight="1" x14ac:dyDescent="0.2">
      <c r="A57" s="181" t="s">
        <v>80</v>
      </c>
      <c r="B57" s="206"/>
      <c r="C57" s="102"/>
      <c r="D57" s="50"/>
      <c r="E57" s="50"/>
      <c r="F57" s="50"/>
      <c r="G57" s="50"/>
      <c r="H57" s="50"/>
      <c r="I57" s="50"/>
      <c r="J57" s="50"/>
      <c r="K57" s="50"/>
      <c r="L57" s="50"/>
      <c r="M57" s="50"/>
      <c r="N57" s="50"/>
      <c r="O57" s="50"/>
      <c r="P57" s="50"/>
      <c r="Q57" s="50"/>
      <c r="R57" s="50"/>
    </row>
    <row r="58" spans="1:59" ht="15" customHeight="1" x14ac:dyDescent="0.2">
      <c r="A58" s="182" t="s">
        <v>81</v>
      </c>
      <c r="B58" s="206"/>
      <c r="C58" s="102"/>
      <c r="D58" s="50"/>
      <c r="E58" s="50"/>
      <c r="F58" s="50"/>
      <c r="G58" s="50"/>
      <c r="H58" s="50"/>
      <c r="I58" s="50"/>
      <c r="J58" s="50"/>
      <c r="K58" s="50"/>
      <c r="L58" s="50"/>
      <c r="M58" s="50"/>
      <c r="N58" s="50"/>
      <c r="O58" s="50"/>
      <c r="P58" s="50"/>
      <c r="Q58" s="50"/>
      <c r="R58" s="50"/>
    </row>
    <row r="59" spans="1:59" ht="15" customHeight="1" x14ac:dyDescent="0.2">
      <c r="A59" s="182" t="s">
        <v>82</v>
      </c>
      <c r="B59" s="206"/>
      <c r="C59" s="102"/>
      <c r="D59" s="50"/>
      <c r="E59" s="50"/>
      <c r="F59" s="50"/>
      <c r="G59" s="50"/>
      <c r="H59" s="50"/>
      <c r="I59" s="50"/>
      <c r="J59" s="50"/>
      <c r="K59" s="50"/>
      <c r="L59" s="50"/>
      <c r="M59" s="50"/>
      <c r="N59" s="50"/>
      <c r="O59" s="50"/>
      <c r="P59" s="50"/>
      <c r="Q59" s="50"/>
      <c r="R59" s="50"/>
    </row>
    <row r="60" spans="1:59" ht="15" customHeight="1" x14ac:dyDescent="0.2">
      <c r="A60" s="183"/>
      <c r="B60" s="206"/>
      <c r="C60" s="207"/>
      <c r="D60" s="50"/>
      <c r="E60" s="50"/>
      <c r="F60" s="50"/>
      <c r="G60" s="50"/>
      <c r="H60" s="50"/>
      <c r="I60" s="50"/>
      <c r="J60" s="50"/>
      <c r="K60" s="50"/>
      <c r="L60" s="50"/>
      <c r="M60" s="50"/>
      <c r="N60" s="50"/>
      <c r="O60" s="50"/>
      <c r="P60" s="50"/>
      <c r="Q60" s="50"/>
      <c r="R60" s="50"/>
    </row>
    <row r="61" spans="1:59" s="201" customFormat="1" ht="15.75" x14ac:dyDescent="0.25">
      <c r="A61" s="184" t="s">
        <v>75</v>
      </c>
      <c r="B61" s="208"/>
      <c r="C61" s="208"/>
      <c r="D61" s="208"/>
      <c r="E61" s="208"/>
      <c r="F61" s="208"/>
      <c r="G61" s="208"/>
      <c r="H61" s="208"/>
      <c r="I61" s="208"/>
      <c r="J61" s="208"/>
      <c r="K61" s="208"/>
      <c r="L61" s="208"/>
      <c r="M61" s="208"/>
      <c r="N61" s="208"/>
      <c r="O61" s="208"/>
      <c r="P61" s="208"/>
      <c r="Q61" s="208"/>
      <c r="R61" s="209"/>
    </row>
    <row r="62" spans="1:59" ht="13.5" customHeight="1" thickBot="1" x14ac:dyDescent="0.25">
      <c r="A62" s="103" t="s">
        <v>15</v>
      </c>
      <c r="B62" s="210"/>
      <c r="C62" s="116"/>
      <c r="D62" s="153"/>
      <c r="E62" s="153"/>
      <c r="F62" s="153"/>
      <c r="G62" s="153"/>
      <c r="H62" s="154"/>
      <c r="I62" s="153"/>
      <c r="J62" s="153"/>
      <c r="K62" s="153"/>
      <c r="L62" s="153"/>
      <c r="M62" s="154"/>
      <c r="N62" s="153"/>
      <c r="O62" s="153"/>
      <c r="P62" s="153"/>
      <c r="Q62" s="153"/>
      <c r="R62" s="160"/>
    </row>
    <row r="63" spans="1:59" s="94" customFormat="1" ht="15.75" x14ac:dyDescent="0.25">
      <c r="A63" s="70" t="s">
        <v>58</v>
      </c>
      <c r="B63" s="117"/>
      <c r="C63" s="118"/>
      <c r="D63" s="71" t="s">
        <v>69</v>
      </c>
      <c r="E63" s="72"/>
      <c r="F63" s="72"/>
      <c r="G63" s="72"/>
      <c r="H63" s="73"/>
      <c r="I63" s="128" t="s">
        <v>76</v>
      </c>
      <c r="J63" s="129"/>
      <c r="K63" s="129"/>
      <c r="L63" s="129"/>
      <c r="M63" s="130"/>
      <c r="N63" s="74" t="s">
        <v>25</v>
      </c>
      <c r="O63" s="75"/>
      <c r="P63" s="75"/>
      <c r="Q63" s="75"/>
      <c r="R63" s="76"/>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row>
    <row r="64" spans="1:59" s="94" customFormat="1" ht="16.5" thickBot="1" x14ac:dyDescent="0.3">
      <c r="A64" s="119" t="s">
        <v>14</v>
      </c>
      <c r="B64" s="37" t="s">
        <v>13</v>
      </c>
      <c r="C64" s="38" t="s">
        <v>12</v>
      </c>
      <c r="D64" s="6" t="s">
        <v>70</v>
      </c>
      <c r="E64" s="7" t="s">
        <v>71</v>
      </c>
      <c r="F64" s="7" t="s">
        <v>72</v>
      </c>
      <c r="G64" s="8" t="s">
        <v>73</v>
      </c>
      <c r="H64" s="9" t="s">
        <v>74</v>
      </c>
      <c r="I64" s="135" t="s">
        <v>70</v>
      </c>
      <c r="J64" s="135" t="s">
        <v>71</v>
      </c>
      <c r="K64" s="135" t="s">
        <v>72</v>
      </c>
      <c r="L64" s="136" t="s">
        <v>73</v>
      </c>
      <c r="M64" s="137" t="s">
        <v>74</v>
      </c>
      <c r="N64" s="39" t="s">
        <v>23</v>
      </c>
      <c r="O64" s="40" t="s">
        <v>34</v>
      </c>
      <c r="P64" s="40" t="s">
        <v>37</v>
      </c>
      <c r="Q64" s="41" t="s">
        <v>24</v>
      </c>
      <c r="R64" s="120" t="s">
        <v>26</v>
      </c>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3"/>
      <c r="BC64" s="93"/>
      <c r="BD64" s="93"/>
      <c r="BE64" s="93"/>
      <c r="BF64" s="93"/>
      <c r="BG64" s="93"/>
    </row>
    <row r="65" spans="1:59" s="100" customFormat="1" ht="15" customHeight="1" x14ac:dyDescent="0.25">
      <c r="A65" s="67" t="s">
        <v>59</v>
      </c>
      <c r="B65" s="25" t="s">
        <v>27</v>
      </c>
      <c r="C65" s="185"/>
      <c r="D65" s="26">
        <f>SUM(D66:D69)</f>
        <v>15675</v>
      </c>
      <c r="E65" s="27">
        <f t="shared" ref="E65:M65" si="58">SUM(E66:E69)</f>
        <v>618</v>
      </c>
      <c r="F65" s="27">
        <f t="shared" si="58"/>
        <v>10309</v>
      </c>
      <c r="G65" s="27">
        <f>SUM(G66:G69)</f>
        <v>4748</v>
      </c>
      <c r="H65" s="141">
        <f t="shared" si="58"/>
        <v>1557</v>
      </c>
      <c r="I65" s="26">
        <f t="shared" si="58"/>
        <v>16186.8</v>
      </c>
      <c r="J65" s="27">
        <f t="shared" si="58"/>
        <v>640</v>
      </c>
      <c r="K65" s="27">
        <f t="shared" si="58"/>
        <v>10658</v>
      </c>
      <c r="L65" s="27">
        <f t="shared" si="58"/>
        <v>4888.7999999999993</v>
      </c>
      <c r="M65" s="141">
        <f t="shared" si="58"/>
        <v>1698</v>
      </c>
      <c r="N65" s="26">
        <f t="shared" ref="N65:N103" si="59">I65-D65</f>
        <v>511.79999999999927</v>
      </c>
      <c r="O65" s="27">
        <f t="shared" ref="O65:O109" si="60">J65-E65</f>
        <v>22</v>
      </c>
      <c r="P65" s="27">
        <f t="shared" ref="P65:P109" si="61">K65-F65</f>
        <v>349</v>
      </c>
      <c r="Q65" s="27">
        <f t="shared" ref="Q65:Q109" si="62">L65-G65</f>
        <v>140.79999999999927</v>
      </c>
      <c r="R65" s="88">
        <f t="shared" ref="R65:R109" si="63">M65-H65</f>
        <v>141</v>
      </c>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row>
    <row r="66" spans="1:59" s="95" customFormat="1" ht="15" customHeight="1" x14ac:dyDescent="0.2">
      <c r="A66" s="67" t="s">
        <v>59</v>
      </c>
      <c r="B66" s="13" t="s">
        <v>11</v>
      </c>
      <c r="C66" s="14" t="s">
        <v>8</v>
      </c>
      <c r="D66" s="15">
        <f>SUM(E66:G66)</f>
        <v>9465</v>
      </c>
      <c r="E66" s="16">
        <f t="shared" ref="E66:H69" si="64">J10</f>
        <v>0</v>
      </c>
      <c r="F66" s="16">
        <f t="shared" si="64"/>
        <v>4732</v>
      </c>
      <c r="G66" s="16">
        <f t="shared" si="64"/>
        <v>4733</v>
      </c>
      <c r="H66" s="142">
        <f t="shared" si="64"/>
        <v>901</v>
      </c>
      <c r="I66" s="15">
        <f>SUM(J66:L66)</f>
        <v>9746.4</v>
      </c>
      <c r="J66" s="16">
        <v>0</v>
      </c>
      <c r="K66" s="16">
        <v>4873</v>
      </c>
      <c r="L66" s="16">
        <v>4873.3999999999996</v>
      </c>
      <c r="M66" s="142">
        <v>983</v>
      </c>
      <c r="N66" s="15">
        <f t="shared" si="59"/>
        <v>281.39999999999964</v>
      </c>
      <c r="O66" s="16">
        <f t="shared" si="60"/>
        <v>0</v>
      </c>
      <c r="P66" s="16">
        <f t="shared" si="61"/>
        <v>141</v>
      </c>
      <c r="Q66" s="16">
        <f t="shared" si="62"/>
        <v>140.39999999999964</v>
      </c>
      <c r="R66" s="83">
        <f t="shared" si="63"/>
        <v>82</v>
      </c>
    </row>
    <row r="67" spans="1:59" s="95" customFormat="1" ht="15" customHeight="1" x14ac:dyDescent="0.2">
      <c r="A67" s="67" t="s">
        <v>59</v>
      </c>
      <c r="B67" s="13" t="s">
        <v>11</v>
      </c>
      <c r="C67" s="14" t="s">
        <v>10</v>
      </c>
      <c r="D67" s="15">
        <f>SUM(E67:G67)</f>
        <v>6176</v>
      </c>
      <c r="E67" s="16">
        <f t="shared" si="64"/>
        <v>618</v>
      </c>
      <c r="F67" s="16">
        <f t="shared" si="64"/>
        <v>5558</v>
      </c>
      <c r="G67" s="16">
        <f t="shared" si="64"/>
        <v>0</v>
      </c>
      <c r="H67" s="142">
        <f t="shared" si="64"/>
        <v>649</v>
      </c>
      <c r="I67" s="15">
        <f>SUM(J67:L67)</f>
        <v>6405</v>
      </c>
      <c r="J67" s="16">
        <v>640</v>
      </c>
      <c r="K67" s="16">
        <v>5765</v>
      </c>
      <c r="L67" s="16">
        <v>0</v>
      </c>
      <c r="M67" s="142">
        <v>707</v>
      </c>
      <c r="N67" s="15">
        <f t="shared" si="59"/>
        <v>229</v>
      </c>
      <c r="O67" s="16">
        <f t="shared" si="60"/>
        <v>22</v>
      </c>
      <c r="P67" s="16">
        <f t="shared" si="61"/>
        <v>207</v>
      </c>
      <c r="Q67" s="16">
        <f t="shared" si="62"/>
        <v>0</v>
      </c>
      <c r="R67" s="83">
        <f t="shared" si="63"/>
        <v>58</v>
      </c>
    </row>
    <row r="68" spans="1:59" s="95" customFormat="1" ht="15" customHeight="1" x14ac:dyDescent="0.2">
      <c r="A68" s="67" t="s">
        <v>59</v>
      </c>
      <c r="B68" s="13" t="s">
        <v>9</v>
      </c>
      <c r="C68" s="14" t="s">
        <v>8</v>
      </c>
      <c r="D68" s="15">
        <f>SUM(E68:G68)</f>
        <v>30</v>
      </c>
      <c r="E68" s="16">
        <f t="shared" si="64"/>
        <v>0</v>
      </c>
      <c r="F68" s="16">
        <f t="shared" si="64"/>
        <v>15</v>
      </c>
      <c r="G68" s="16">
        <f t="shared" si="64"/>
        <v>15</v>
      </c>
      <c r="H68" s="142">
        <f t="shared" si="64"/>
        <v>5</v>
      </c>
      <c r="I68" s="15">
        <f>SUM(J68:L68)</f>
        <v>31.4</v>
      </c>
      <c r="J68" s="16">
        <v>0</v>
      </c>
      <c r="K68" s="16">
        <v>16</v>
      </c>
      <c r="L68" s="16">
        <v>15.4</v>
      </c>
      <c r="M68" s="142">
        <v>6</v>
      </c>
      <c r="N68" s="15">
        <f t="shared" si="59"/>
        <v>1.3999999999999986</v>
      </c>
      <c r="O68" s="16">
        <f t="shared" si="60"/>
        <v>0</v>
      </c>
      <c r="P68" s="16">
        <f t="shared" si="61"/>
        <v>1</v>
      </c>
      <c r="Q68" s="16">
        <f t="shared" si="62"/>
        <v>0.40000000000000036</v>
      </c>
      <c r="R68" s="83">
        <f t="shared" si="63"/>
        <v>1</v>
      </c>
    </row>
    <row r="69" spans="1:59" s="95" customFormat="1" ht="15" customHeight="1" thickBot="1" x14ac:dyDescent="0.25">
      <c r="A69" s="68" t="s">
        <v>59</v>
      </c>
      <c r="B69" s="17" t="s">
        <v>9</v>
      </c>
      <c r="C69" s="18" t="s">
        <v>7</v>
      </c>
      <c r="D69" s="19">
        <f>SUM(E69:G69)</f>
        <v>4</v>
      </c>
      <c r="E69" s="16">
        <f t="shared" si="64"/>
        <v>0</v>
      </c>
      <c r="F69" s="16">
        <f t="shared" si="64"/>
        <v>4</v>
      </c>
      <c r="G69" s="16">
        <f t="shared" si="64"/>
        <v>0</v>
      </c>
      <c r="H69" s="142">
        <f t="shared" si="64"/>
        <v>2</v>
      </c>
      <c r="I69" s="19">
        <f>SUM(J69:L69)</f>
        <v>4</v>
      </c>
      <c r="J69" s="16">
        <v>0</v>
      </c>
      <c r="K69" s="16">
        <v>4</v>
      </c>
      <c r="L69" s="16">
        <v>0</v>
      </c>
      <c r="M69" s="142">
        <v>2</v>
      </c>
      <c r="N69" s="19">
        <f t="shared" si="59"/>
        <v>0</v>
      </c>
      <c r="O69" s="20">
        <f t="shared" si="60"/>
        <v>0</v>
      </c>
      <c r="P69" s="20">
        <f t="shared" si="61"/>
        <v>0</v>
      </c>
      <c r="Q69" s="20">
        <f t="shared" si="62"/>
        <v>0</v>
      </c>
      <c r="R69" s="84">
        <f t="shared" si="63"/>
        <v>0</v>
      </c>
    </row>
    <row r="70" spans="1:59" s="95" customFormat="1" ht="15" customHeight="1" x14ac:dyDescent="0.25">
      <c r="A70" s="66" t="s">
        <v>60</v>
      </c>
      <c r="B70" s="10" t="s">
        <v>32</v>
      </c>
      <c r="C70" s="186"/>
      <c r="D70" s="11">
        <f>SUM(D71:D74)</f>
        <v>2396</v>
      </c>
      <c r="E70" s="12">
        <f>SUM(E71:E74)</f>
        <v>128</v>
      </c>
      <c r="F70" s="12">
        <f t="shared" ref="F70:M70" si="65">SUM(F71:F74)</f>
        <v>1719</v>
      </c>
      <c r="G70" s="12">
        <f t="shared" si="65"/>
        <v>549</v>
      </c>
      <c r="H70" s="138">
        <f t="shared" si="65"/>
        <v>987</v>
      </c>
      <c r="I70" s="11">
        <f t="shared" si="65"/>
        <v>2447</v>
      </c>
      <c r="J70" s="12">
        <f t="shared" si="65"/>
        <v>129</v>
      </c>
      <c r="K70" s="12">
        <f t="shared" si="65"/>
        <v>1748</v>
      </c>
      <c r="L70" s="12">
        <f t="shared" si="65"/>
        <v>570</v>
      </c>
      <c r="M70" s="138">
        <f t="shared" si="65"/>
        <v>1077</v>
      </c>
      <c r="N70" s="11">
        <f>I70-D70</f>
        <v>51</v>
      </c>
      <c r="O70" s="12">
        <f t="shared" si="60"/>
        <v>1</v>
      </c>
      <c r="P70" s="12">
        <f t="shared" si="61"/>
        <v>29</v>
      </c>
      <c r="Q70" s="12">
        <f t="shared" si="62"/>
        <v>21</v>
      </c>
      <c r="R70" s="82">
        <f t="shared" si="63"/>
        <v>90</v>
      </c>
    </row>
    <row r="71" spans="1:59" s="100" customFormat="1" x14ac:dyDescent="0.2">
      <c r="A71" s="67" t="s">
        <v>60</v>
      </c>
      <c r="B71" s="13" t="s">
        <v>11</v>
      </c>
      <c r="C71" s="14" t="s">
        <v>8</v>
      </c>
      <c r="D71" s="15">
        <f>SUM(E71:G71)</f>
        <v>1094</v>
      </c>
      <c r="E71" s="16">
        <f t="shared" ref="E71:H74" si="66">J15</f>
        <v>0</v>
      </c>
      <c r="F71" s="16">
        <f t="shared" si="66"/>
        <v>557</v>
      </c>
      <c r="G71" s="16">
        <f t="shared" si="66"/>
        <v>537</v>
      </c>
      <c r="H71" s="142">
        <f t="shared" si="66"/>
        <v>467</v>
      </c>
      <c r="I71" s="15">
        <f>SUM(J71:L71)</f>
        <v>1136.5</v>
      </c>
      <c r="J71" s="16">
        <v>0</v>
      </c>
      <c r="K71" s="16">
        <v>578</v>
      </c>
      <c r="L71" s="16">
        <v>558.5</v>
      </c>
      <c r="M71" s="142">
        <v>510</v>
      </c>
      <c r="N71" s="15">
        <f t="shared" si="59"/>
        <v>42.5</v>
      </c>
      <c r="O71" s="16">
        <f t="shared" si="60"/>
        <v>0</v>
      </c>
      <c r="P71" s="16">
        <f t="shared" si="61"/>
        <v>21</v>
      </c>
      <c r="Q71" s="16">
        <f t="shared" si="62"/>
        <v>21.5</v>
      </c>
      <c r="R71" s="83">
        <f t="shared" si="63"/>
        <v>43</v>
      </c>
      <c r="S71" s="95"/>
      <c r="AL71" s="95"/>
      <c r="AM71" s="95"/>
      <c r="AN71" s="95"/>
      <c r="AO71" s="95"/>
      <c r="AP71" s="95"/>
      <c r="AQ71" s="95"/>
      <c r="AR71" s="95"/>
      <c r="AS71" s="95"/>
      <c r="AT71" s="95"/>
      <c r="AU71" s="95"/>
      <c r="AV71" s="95"/>
      <c r="AW71" s="95"/>
      <c r="AX71" s="95"/>
      <c r="AY71" s="95"/>
      <c r="AZ71" s="95"/>
      <c r="BA71" s="95"/>
      <c r="BB71" s="95"/>
      <c r="BC71" s="95"/>
      <c r="BD71" s="95"/>
      <c r="BE71" s="95"/>
      <c r="BF71" s="95"/>
      <c r="BG71" s="95"/>
    </row>
    <row r="72" spans="1:59" s="100" customFormat="1" x14ac:dyDescent="0.2">
      <c r="A72" s="67" t="s">
        <v>60</v>
      </c>
      <c r="B72" s="13" t="s">
        <v>11</v>
      </c>
      <c r="C72" s="14" t="s">
        <v>10</v>
      </c>
      <c r="D72" s="15">
        <f>SUM(E72:G72)</f>
        <v>1273</v>
      </c>
      <c r="E72" s="16">
        <f t="shared" si="66"/>
        <v>128</v>
      </c>
      <c r="F72" s="16">
        <f t="shared" si="66"/>
        <v>1145</v>
      </c>
      <c r="G72" s="16">
        <f t="shared" si="66"/>
        <v>0</v>
      </c>
      <c r="H72" s="142">
        <f t="shared" si="66"/>
        <v>508</v>
      </c>
      <c r="I72" s="15">
        <f>SUM(J72:L72)</f>
        <v>1281</v>
      </c>
      <c r="J72" s="16">
        <v>128</v>
      </c>
      <c r="K72" s="16">
        <v>1153</v>
      </c>
      <c r="L72" s="16">
        <v>0</v>
      </c>
      <c r="M72" s="142">
        <v>555</v>
      </c>
      <c r="N72" s="15">
        <f t="shared" si="59"/>
        <v>8</v>
      </c>
      <c r="O72" s="16">
        <f t="shared" si="60"/>
        <v>0</v>
      </c>
      <c r="P72" s="16">
        <f t="shared" si="61"/>
        <v>8</v>
      </c>
      <c r="Q72" s="16">
        <f t="shared" si="62"/>
        <v>0</v>
      </c>
      <c r="R72" s="83">
        <f t="shared" si="63"/>
        <v>47</v>
      </c>
      <c r="S72" s="95"/>
      <c r="AL72" s="95"/>
      <c r="AM72" s="95"/>
      <c r="AN72" s="95"/>
      <c r="AO72" s="95"/>
      <c r="AP72" s="95"/>
      <c r="AQ72" s="95"/>
      <c r="AR72" s="95"/>
      <c r="AS72" s="95"/>
      <c r="AT72" s="95"/>
      <c r="AU72" s="95"/>
      <c r="AV72" s="95"/>
      <c r="AW72" s="95"/>
      <c r="AX72" s="95"/>
      <c r="AY72" s="95"/>
      <c r="AZ72" s="95"/>
      <c r="BA72" s="95"/>
      <c r="BB72" s="95"/>
      <c r="BC72" s="95"/>
      <c r="BD72" s="95"/>
      <c r="BE72" s="95"/>
      <c r="BF72" s="95"/>
      <c r="BG72" s="95"/>
    </row>
    <row r="73" spans="1:59" s="95" customFormat="1" x14ac:dyDescent="0.2">
      <c r="A73" s="67" t="s">
        <v>60</v>
      </c>
      <c r="B73" s="13" t="s">
        <v>9</v>
      </c>
      <c r="C73" s="14" t="s">
        <v>8</v>
      </c>
      <c r="D73" s="15">
        <f>SUM(E73:G73)</f>
        <v>23</v>
      </c>
      <c r="E73" s="16">
        <f t="shared" si="66"/>
        <v>0</v>
      </c>
      <c r="F73" s="16">
        <f t="shared" si="66"/>
        <v>11</v>
      </c>
      <c r="G73" s="16">
        <f t="shared" si="66"/>
        <v>12</v>
      </c>
      <c r="H73" s="142">
        <f t="shared" si="66"/>
        <v>9</v>
      </c>
      <c r="I73" s="15">
        <f>SUM(J73:L73)</f>
        <v>23.5</v>
      </c>
      <c r="J73" s="16">
        <v>0</v>
      </c>
      <c r="K73" s="16">
        <v>12</v>
      </c>
      <c r="L73" s="16">
        <v>11.5</v>
      </c>
      <c r="M73" s="142">
        <v>9</v>
      </c>
      <c r="N73" s="15">
        <f t="shared" si="59"/>
        <v>0.5</v>
      </c>
      <c r="O73" s="16">
        <f t="shared" si="60"/>
        <v>0</v>
      </c>
      <c r="P73" s="16">
        <f t="shared" si="61"/>
        <v>1</v>
      </c>
      <c r="Q73" s="16">
        <f t="shared" si="62"/>
        <v>-0.5</v>
      </c>
      <c r="R73" s="83">
        <f t="shared" si="63"/>
        <v>0</v>
      </c>
    </row>
    <row r="74" spans="1:59" s="95" customFormat="1" ht="15.75" thickBot="1" x14ac:dyDescent="0.25">
      <c r="A74" s="67" t="s">
        <v>60</v>
      </c>
      <c r="B74" s="13" t="s">
        <v>9</v>
      </c>
      <c r="C74" s="14" t="s">
        <v>7</v>
      </c>
      <c r="D74" s="15">
        <f>SUM(E74:G74)</f>
        <v>6</v>
      </c>
      <c r="E74" s="16">
        <f t="shared" si="66"/>
        <v>0</v>
      </c>
      <c r="F74" s="16">
        <f t="shared" si="66"/>
        <v>6</v>
      </c>
      <c r="G74" s="16">
        <f t="shared" si="66"/>
        <v>0</v>
      </c>
      <c r="H74" s="142">
        <f t="shared" si="66"/>
        <v>3</v>
      </c>
      <c r="I74" s="15">
        <f>SUM(J74:L74)</f>
        <v>6</v>
      </c>
      <c r="J74" s="16">
        <v>1</v>
      </c>
      <c r="K74" s="16">
        <v>5</v>
      </c>
      <c r="L74" s="16">
        <v>0</v>
      </c>
      <c r="M74" s="142">
        <v>3</v>
      </c>
      <c r="N74" s="15">
        <f t="shared" si="59"/>
        <v>0</v>
      </c>
      <c r="O74" s="16">
        <f t="shared" si="60"/>
        <v>1</v>
      </c>
      <c r="P74" s="16">
        <f t="shared" si="61"/>
        <v>-1</v>
      </c>
      <c r="Q74" s="16">
        <f t="shared" si="62"/>
        <v>0</v>
      </c>
      <c r="R74" s="83">
        <f t="shared" si="63"/>
        <v>0</v>
      </c>
    </row>
    <row r="75" spans="1:59" s="95" customFormat="1" ht="15.75" customHeight="1" thickTop="1" x14ac:dyDescent="0.25">
      <c r="A75" s="121" t="s">
        <v>61</v>
      </c>
      <c r="B75" s="104" t="s">
        <v>38</v>
      </c>
      <c r="C75" s="187"/>
      <c r="D75" s="105">
        <f>SUM(D76:D79)</f>
        <v>805</v>
      </c>
      <c r="E75" s="106">
        <f t="shared" ref="E75:M75" si="67">SUM(E76:E79)</f>
        <v>237</v>
      </c>
      <c r="F75" s="106">
        <f t="shared" si="67"/>
        <v>566</v>
      </c>
      <c r="G75" s="106">
        <f t="shared" si="67"/>
        <v>2</v>
      </c>
      <c r="H75" s="143">
        <f t="shared" si="67"/>
        <v>122</v>
      </c>
      <c r="I75" s="105">
        <f t="shared" si="67"/>
        <v>824</v>
      </c>
      <c r="J75" s="106">
        <f t="shared" si="67"/>
        <v>243</v>
      </c>
      <c r="K75" s="106">
        <f t="shared" si="67"/>
        <v>579</v>
      </c>
      <c r="L75" s="106">
        <f t="shared" si="67"/>
        <v>2</v>
      </c>
      <c r="M75" s="143">
        <f t="shared" si="67"/>
        <v>133</v>
      </c>
      <c r="N75" s="105">
        <f t="shared" si="59"/>
        <v>19</v>
      </c>
      <c r="O75" s="106">
        <f t="shared" si="60"/>
        <v>6</v>
      </c>
      <c r="P75" s="106">
        <f t="shared" si="61"/>
        <v>13</v>
      </c>
      <c r="Q75" s="106">
        <f t="shared" si="62"/>
        <v>0</v>
      </c>
      <c r="R75" s="122">
        <f t="shared" si="63"/>
        <v>11</v>
      </c>
    </row>
    <row r="76" spans="1:59" s="95" customFormat="1" x14ac:dyDescent="0.2">
      <c r="A76" s="67" t="s">
        <v>61</v>
      </c>
      <c r="B76" s="13" t="s">
        <v>11</v>
      </c>
      <c r="C76" s="14" t="s">
        <v>8</v>
      </c>
      <c r="D76" s="15">
        <f>SUM(E76:G76)</f>
        <v>395</v>
      </c>
      <c r="E76" s="16">
        <f t="shared" ref="E76:H79" si="68">J20</f>
        <v>197</v>
      </c>
      <c r="F76" s="16">
        <f t="shared" si="68"/>
        <v>198</v>
      </c>
      <c r="G76" s="16">
        <f t="shared" si="68"/>
        <v>0</v>
      </c>
      <c r="H76" s="142">
        <f t="shared" si="68"/>
        <v>61</v>
      </c>
      <c r="I76" s="15">
        <f>SUM(J76:L76)</f>
        <v>404</v>
      </c>
      <c r="J76" s="16">
        <v>202</v>
      </c>
      <c r="K76" s="16">
        <v>202</v>
      </c>
      <c r="L76" s="16">
        <v>0</v>
      </c>
      <c r="M76" s="142">
        <v>66</v>
      </c>
      <c r="N76" s="15">
        <f t="shared" si="59"/>
        <v>9</v>
      </c>
      <c r="O76" s="16">
        <f t="shared" si="60"/>
        <v>5</v>
      </c>
      <c r="P76" s="16">
        <f t="shared" si="61"/>
        <v>4</v>
      </c>
      <c r="Q76" s="16">
        <f t="shared" si="62"/>
        <v>0</v>
      </c>
      <c r="R76" s="83">
        <f t="shared" si="63"/>
        <v>5</v>
      </c>
    </row>
    <row r="77" spans="1:59" s="101" customFormat="1" x14ac:dyDescent="0.2">
      <c r="A77" s="67" t="s">
        <v>61</v>
      </c>
      <c r="B77" s="13" t="s">
        <v>11</v>
      </c>
      <c r="C77" s="14" t="s">
        <v>10</v>
      </c>
      <c r="D77" s="15">
        <f>SUM(E77:G77)</f>
        <v>404</v>
      </c>
      <c r="E77" s="16">
        <f t="shared" si="68"/>
        <v>40</v>
      </c>
      <c r="F77" s="16">
        <f t="shared" si="68"/>
        <v>364</v>
      </c>
      <c r="G77" s="16">
        <f t="shared" si="68"/>
        <v>0</v>
      </c>
      <c r="H77" s="142">
        <f t="shared" si="68"/>
        <v>59</v>
      </c>
      <c r="I77" s="15">
        <f>SUM(J77:L77)</f>
        <v>414</v>
      </c>
      <c r="J77" s="16">
        <v>41</v>
      </c>
      <c r="K77" s="16">
        <v>373</v>
      </c>
      <c r="L77" s="16">
        <v>0</v>
      </c>
      <c r="M77" s="142">
        <v>65</v>
      </c>
      <c r="N77" s="15">
        <f t="shared" si="59"/>
        <v>10</v>
      </c>
      <c r="O77" s="16">
        <f t="shared" si="60"/>
        <v>1</v>
      </c>
      <c r="P77" s="16">
        <f t="shared" si="61"/>
        <v>9</v>
      </c>
      <c r="Q77" s="16">
        <f t="shared" si="62"/>
        <v>0</v>
      </c>
      <c r="R77" s="83">
        <f t="shared" si="63"/>
        <v>6</v>
      </c>
      <c r="S77" s="95"/>
      <c r="T77" s="22"/>
      <c r="U77" s="42"/>
      <c r="V77" s="23"/>
      <c r="W77" s="43"/>
      <c r="X77" s="43"/>
      <c r="Y77" s="43"/>
      <c r="Z77" s="43"/>
      <c r="AA77" s="44"/>
      <c r="AB77" s="43"/>
      <c r="AC77" s="16"/>
      <c r="AD77" s="16"/>
      <c r="AE77" s="16"/>
      <c r="AF77" s="45"/>
      <c r="AG77" s="43"/>
      <c r="AH77" s="43"/>
      <c r="AI77" s="43"/>
      <c r="AJ77" s="43"/>
      <c r="AK77" s="44"/>
      <c r="AL77" s="95"/>
      <c r="AM77" s="95"/>
      <c r="AN77" s="95"/>
      <c r="AO77" s="95"/>
      <c r="AP77" s="95"/>
      <c r="AQ77" s="95"/>
      <c r="AR77" s="95"/>
      <c r="AS77" s="95"/>
      <c r="AT77" s="95"/>
      <c r="AU77" s="95"/>
      <c r="AV77" s="95"/>
      <c r="AW77" s="95"/>
      <c r="AX77" s="95"/>
      <c r="AY77" s="95"/>
      <c r="AZ77" s="95"/>
      <c r="BA77" s="95"/>
      <c r="BB77" s="95"/>
      <c r="BC77" s="95"/>
      <c r="BD77" s="95"/>
      <c r="BE77" s="95"/>
      <c r="BF77" s="95"/>
      <c r="BG77" s="95"/>
    </row>
    <row r="78" spans="1:59" s="95" customFormat="1" x14ac:dyDescent="0.2">
      <c r="A78" s="67" t="s">
        <v>61</v>
      </c>
      <c r="B78" s="13" t="s">
        <v>9</v>
      </c>
      <c r="C78" s="14" t="s">
        <v>8</v>
      </c>
      <c r="D78" s="15">
        <f>SUM(E78:G78)</f>
        <v>4</v>
      </c>
      <c r="E78" s="16">
        <f t="shared" si="68"/>
        <v>0</v>
      </c>
      <c r="F78" s="16">
        <f t="shared" si="68"/>
        <v>2</v>
      </c>
      <c r="G78" s="16">
        <f t="shared" si="68"/>
        <v>2</v>
      </c>
      <c r="H78" s="142">
        <f t="shared" si="68"/>
        <v>1</v>
      </c>
      <c r="I78" s="15">
        <f>SUM(J78:L78)</f>
        <v>4</v>
      </c>
      <c r="J78" s="16">
        <v>0</v>
      </c>
      <c r="K78" s="16">
        <v>2</v>
      </c>
      <c r="L78" s="16">
        <v>2</v>
      </c>
      <c r="M78" s="142">
        <v>1</v>
      </c>
      <c r="N78" s="15">
        <f t="shared" si="59"/>
        <v>0</v>
      </c>
      <c r="O78" s="16">
        <f t="shared" si="60"/>
        <v>0</v>
      </c>
      <c r="P78" s="16">
        <f t="shared" si="61"/>
        <v>0</v>
      </c>
      <c r="Q78" s="16">
        <f t="shared" si="62"/>
        <v>0</v>
      </c>
      <c r="R78" s="83">
        <f t="shared" si="63"/>
        <v>0</v>
      </c>
    </row>
    <row r="79" spans="1:59" s="95" customFormat="1" ht="15.75" thickBot="1" x14ac:dyDescent="0.25">
      <c r="A79" s="67" t="s">
        <v>61</v>
      </c>
      <c r="B79" s="13" t="s">
        <v>9</v>
      </c>
      <c r="C79" s="14" t="s">
        <v>7</v>
      </c>
      <c r="D79" s="15">
        <f>SUM(E79:G79)</f>
        <v>2</v>
      </c>
      <c r="E79" s="16">
        <f t="shared" si="68"/>
        <v>0</v>
      </c>
      <c r="F79" s="16">
        <f t="shared" si="68"/>
        <v>2</v>
      </c>
      <c r="G79" s="16">
        <f t="shared" si="68"/>
        <v>0</v>
      </c>
      <c r="H79" s="142">
        <f t="shared" si="68"/>
        <v>1</v>
      </c>
      <c r="I79" s="15">
        <f>SUM(J79:L79)</f>
        <v>2</v>
      </c>
      <c r="J79" s="16">
        <v>0</v>
      </c>
      <c r="K79" s="16">
        <v>2</v>
      </c>
      <c r="L79" s="16">
        <v>0</v>
      </c>
      <c r="M79" s="142">
        <v>1</v>
      </c>
      <c r="N79" s="15">
        <f t="shared" si="59"/>
        <v>0</v>
      </c>
      <c r="O79" s="16">
        <f t="shared" si="60"/>
        <v>0</v>
      </c>
      <c r="P79" s="16">
        <f t="shared" si="61"/>
        <v>0</v>
      </c>
      <c r="Q79" s="16">
        <f t="shared" si="62"/>
        <v>0</v>
      </c>
      <c r="R79" s="83">
        <f t="shared" si="63"/>
        <v>0</v>
      </c>
    </row>
    <row r="80" spans="1:59" s="95" customFormat="1" ht="15.75" x14ac:dyDescent="0.25">
      <c r="A80" s="66" t="s">
        <v>46</v>
      </c>
      <c r="B80" s="127" t="s">
        <v>28</v>
      </c>
      <c r="C80" s="166"/>
      <c r="D80" s="11">
        <f>SUM(D81:D82)</f>
        <v>159</v>
      </c>
      <c r="E80" s="12">
        <f t="shared" ref="E80:L80" si="69">SUM(E81:E82)</f>
        <v>5</v>
      </c>
      <c r="F80" s="12">
        <f t="shared" si="69"/>
        <v>99</v>
      </c>
      <c r="G80" s="12">
        <f t="shared" si="69"/>
        <v>55</v>
      </c>
      <c r="H80" s="138">
        <f t="shared" si="69"/>
        <v>9</v>
      </c>
      <c r="I80" s="11">
        <f t="shared" si="69"/>
        <v>165</v>
      </c>
      <c r="J80" s="12">
        <f t="shared" si="69"/>
        <v>5</v>
      </c>
      <c r="K80" s="12">
        <f t="shared" si="69"/>
        <v>103</v>
      </c>
      <c r="L80" s="12">
        <f t="shared" si="69"/>
        <v>57</v>
      </c>
      <c r="M80" s="138">
        <f>SUM(M81:M82)</f>
        <v>10</v>
      </c>
      <c r="N80" s="11">
        <f t="shared" si="59"/>
        <v>6</v>
      </c>
      <c r="O80" s="12">
        <f t="shared" si="60"/>
        <v>0</v>
      </c>
      <c r="P80" s="12">
        <f t="shared" si="61"/>
        <v>4</v>
      </c>
      <c r="Q80" s="12">
        <f t="shared" si="62"/>
        <v>2</v>
      </c>
      <c r="R80" s="85">
        <f t="shared" si="63"/>
        <v>1</v>
      </c>
    </row>
    <row r="81" spans="1:18" s="95" customFormat="1" x14ac:dyDescent="0.2">
      <c r="A81" s="67" t="s">
        <v>46</v>
      </c>
      <c r="B81" s="13" t="s">
        <v>9</v>
      </c>
      <c r="C81" s="14" t="s">
        <v>8</v>
      </c>
      <c r="D81" s="15">
        <f>SUM(E81:G81)</f>
        <v>110</v>
      </c>
      <c r="E81" s="16">
        <f t="shared" ref="E81:H82" si="70">J25</f>
        <v>0</v>
      </c>
      <c r="F81" s="16">
        <f t="shared" si="70"/>
        <v>55</v>
      </c>
      <c r="G81" s="16">
        <f t="shared" si="70"/>
        <v>55</v>
      </c>
      <c r="H81" s="142">
        <f t="shared" si="70"/>
        <v>6</v>
      </c>
      <c r="I81" s="15">
        <f>SUM(J81:L81)</f>
        <v>115</v>
      </c>
      <c r="J81" s="16">
        <v>0</v>
      </c>
      <c r="K81" s="16">
        <v>58</v>
      </c>
      <c r="L81" s="16">
        <v>57</v>
      </c>
      <c r="M81" s="142">
        <v>7</v>
      </c>
      <c r="N81" s="15">
        <f t="shared" si="59"/>
        <v>5</v>
      </c>
      <c r="O81" s="16">
        <f t="shared" si="60"/>
        <v>0</v>
      </c>
      <c r="P81" s="16">
        <f t="shared" si="61"/>
        <v>3</v>
      </c>
      <c r="Q81" s="16">
        <f t="shared" si="62"/>
        <v>2</v>
      </c>
      <c r="R81" s="86">
        <f t="shared" si="63"/>
        <v>1</v>
      </c>
    </row>
    <row r="82" spans="1:18" s="95" customFormat="1" ht="15.75" thickBot="1" x14ac:dyDescent="0.25">
      <c r="A82" s="68" t="s">
        <v>46</v>
      </c>
      <c r="B82" s="17" t="s">
        <v>9</v>
      </c>
      <c r="C82" s="18" t="s">
        <v>7</v>
      </c>
      <c r="D82" s="19">
        <f>SUM(E82:G82)</f>
        <v>49</v>
      </c>
      <c r="E82" s="20">
        <f t="shared" si="70"/>
        <v>5</v>
      </c>
      <c r="F82" s="20">
        <f t="shared" si="70"/>
        <v>44</v>
      </c>
      <c r="G82" s="20">
        <f t="shared" si="70"/>
        <v>0</v>
      </c>
      <c r="H82" s="144">
        <f t="shared" si="70"/>
        <v>3</v>
      </c>
      <c r="I82" s="19">
        <f>SUM(J82:L82)</f>
        <v>50</v>
      </c>
      <c r="J82" s="20">
        <v>5</v>
      </c>
      <c r="K82" s="20">
        <v>45</v>
      </c>
      <c r="L82" s="20">
        <v>0</v>
      </c>
      <c r="M82" s="144">
        <v>3</v>
      </c>
      <c r="N82" s="19">
        <f t="shared" si="59"/>
        <v>1</v>
      </c>
      <c r="O82" s="20">
        <f t="shared" si="60"/>
        <v>0</v>
      </c>
      <c r="P82" s="20">
        <f t="shared" si="61"/>
        <v>1</v>
      </c>
      <c r="Q82" s="20">
        <f t="shared" si="62"/>
        <v>0</v>
      </c>
      <c r="R82" s="87">
        <f t="shared" si="63"/>
        <v>0</v>
      </c>
    </row>
    <row r="83" spans="1:18" s="95" customFormat="1" ht="15.75" x14ac:dyDescent="0.25">
      <c r="A83" s="66" t="s">
        <v>62</v>
      </c>
      <c r="B83" s="10" t="s">
        <v>52</v>
      </c>
      <c r="C83" s="186"/>
      <c r="D83" s="11">
        <f>SUM(D84:D89)</f>
        <v>527932</v>
      </c>
      <c r="E83" s="12">
        <f t="shared" ref="E83:H83" si="71">SUM(E84:E89)</f>
        <v>41639</v>
      </c>
      <c r="F83" s="12">
        <f t="shared" si="71"/>
        <v>377839</v>
      </c>
      <c r="G83" s="12">
        <f t="shared" si="71"/>
        <v>108454</v>
      </c>
      <c r="H83" s="145">
        <f t="shared" si="71"/>
        <v>0</v>
      </c>
      <c r="I83" s="11">
        <f>SUM(I84:I89)</f>
        <v>527309</v>
      </c>
      <c r="J83" s="12">
        <f t="shared" ref="J83:M83" si="72">SUM(J84:J89)</f>
        <v>44647</v>
      </c>
      <c r="K83" s="12">
        <f t="shared" si="72"/>
        <v>359543</v>
      </c>
      <c r="L83" s="12">
        <f t="shared" si="72"/>
        <v>123119</v>
      </c>
      <c r="M83" s="145">
        <f t="shared" si="72"/>
        <v>0</v>
      </c>
      <c r="N83" s="11">
        <f t="shared" si="59"/>
        <v>-623</v>
      </c>
      <c r="O83" s="12">
        <f t="shared" si="60"/>
        <v>3008</v>
      </c>
      <c r="P83" s="12">
        <f t="shared" si="61"/>
        <v>-18296</v>
      </c>
      <c r="Q83" s="12">
        <f t="shared" si="62"/>
        <v>14665</v>
      </c>
      <c r="R83" s="85">
        <f t="shared" si="63"/>
        <v>0</v>
      </c>
    </row>
    <row r="84" spans="1:18" s="95" customFormat="1" x14ac:dyDescent="0.2">
      <c r="A84" s="67" t="s">
        <v>62</v>
      </c>
      <c r="B84" s="13" t="s">
        <v>11</v>
      </c>
      <c r="C84" s="14" t="s">
        <v>8</v>
      </c>
      <c r="D84" s="15">
        <f t="shared" ref="D84:D103" si="73">SUM(E84:G84)</f>
        <v>111396</v>
      </c>
      <c r="E84" s="16">
        <f t="shared" ref="E84:H87" si="74">J28</f>
        <v>20099</v>
      </c>
      <c r="F84" s="16">
        <f t="shared" si="74"/>
        <v>62913</v>
      </c>
      <c r="G84" s="16">
        <f t="shared" si="74"/>
        <v>28384</v>
      </c>
      <c r="H84" s="142">
        <f t="shared" si="74"/>
        <v>0</v>
      </c>
      <c r="I84" s="15">
        <f t="shared" ref="I84:I103" si="75">SUM(J84:L84)</f>
        <v>109405</v>
      </c>
      <c r="J84" s="16">
        <v>22259</v>
      </c>
      <c r="K84" s="16">
        <f>54986</f>
        <v>54986</v>
      </c>
      <c r="L84" s="16">
        <v>32160</v>
      </c>
      <c r="M84" s="146">
        <v>0</v>
      </c>
      <c r="N84" s="15">
        <f t="shared" si="59"/>
        <v>-1991</v>
      </c>
      <c r="O84" s="16">
        <f t="shared" si="60"/>
        <v>2160</v>
      </c>
      <c r="P84" s="16">
        <f t="shared" si="61"/>
        <v>-7927</v>
      </c>
      <c r="Q84" s="16">
        <f t="shared" si="62"/>
        <v>3776</v>
      </c>
      <c r="R84" s="86">
        <f t="shared" si="63"/>
        <v>0</v>
      </c>
    </row>
    <row r="85" spans="1:18" s="95" customFormat="1" x14ac:dyDescent="0.2">
      <c r="A85" s="67" t="s">
        <v>62</v>
      </c>
      <c r="B85" s="13" t="s">
        <v>11</v>
      </c>
      <c r="C85" s="14" t="s">
        <v>10</v>
      </c>
      <c r="D85" s="15">
        <f t="shared" si="73"/>
        <v>172935</v>
      </c>
      <c r="E85" s="16">
        <f t="shared" si="74"/>
        <v>14370</v>
      </c>
      <c r="F85" s="16">
        <f t="shared" si="74"/>
        <v>155642</v>
      </c>
      <c r="G85" s="16">
        <f t="shared" si="74"/>
        <v>2923</v>
      </c>
      <c r="H85" s="142">
        <f t="shared" si="74"/>
        <v>0</v>
      </c>
      <c r="I85" s="15">
        <f t="shared" si="75"/>
        <v>169846</v>
      </c>
      <c r="J85" s="16">
        <v>14195</v>
      </c>
      <c r="K85" s="16">
        <v>152862</v>
      </c>
      <c r="L85" s="16">
        <v>2789</v>
      </c>
      <c r="M85" s="146">
        <v>0</v>
      </c>
      <c r="N85" s="15">
        <f t="shared" si="59"/>
        <v>-3089</v>
      </c>
      <c r="O85" s="16">
        <f t="shared" si="60"/>
        <v>-175</v>
      </c>
      <c r="P85" s="16">
        <f t="shared" si="61"/>
        <v>-2780</v>
      </c>
      <c r="Q85" s="16">
        <f t="shared" si="62"/>
        <v>-134</v>
      </c>
      <c r="R85" s="86">
        <f t="shared" si="63"/>
        <v>0</v>
      </c>
    </row>
    <row r="86" spans="1:18" s="95" customFormat="1" x14ac:dyDescent="0.2">
      <c r="A86" s="67" t="s">
        <v>62</v>
      </c>
      <c r="B86" s="13" t="s">
        <v>9</v>
      </c>
      <c r="C86" s="14" t="s">
        <v>8</v>
      </c>
      <c r="D86" s="15">
        <f t="shared" si="73"/>
        <v>173748</v>
      </c>
      <c r="E86" s="16">
        <f t="shared" si="74"/>
        <v>0</v>
      </c>
      <c r="F86" s="16">
        <f t="shared" si="74"/>
        <v>97657</v>
      </c>
      <c r="G86" s="16">
        <f t="shared" si="74"/>
        <v>76091</v>
      </c>
      <c r="H86" s="142">
        <f t="shared" si="74"/>
        <v>0</v>
      </c>
      <c r="I86" s="15">
        <f t="shared" si="75"/>
        <v>171632</v>
      </c>
      <c r="J86" s="16">
        <v>0</v>
      </c>
      <c r="K86" s="16">
        <v>85826</v>
      </c>
      <c r="L86" s="16">
        <v>85806</v>
      </c>
      <c r="M86" s="146">
        <v>0</v>
      </c>
      <c r="N86" s="15">
        <f t="shared" si="59"/>
        <v>-2116</v>
      </c>
      <c r="O86" s="16">
        <f t="shared" si="60"/>
        <v>0</v>
      </c>
      <c r="P86" s="16">
        <f t="shared" si="61"/>
        <v>-11831</v>
      </c>
      <c r="Q86" s="16">
        <f t="shared" si="62"/>
        <v>9715</v>
      </c>
      <c r="R86" s="86">
        <f t="shared" si="63"/>
        <v>0</v>
      </c>
    </row>
    <row r="87" spans="1:18" s="95" customFormat="1" x14ac:dyDescent="0.2">
      <c r="A87" s="67" t="s">
        <v>62</v>
      </c>
      <c r="B87" s="13" t="s">
        <v>9</v>
      </c>
      <c r="C87" s="14" t="s">
        <v>7</v>
      </c>
      <c r="D87" s="15">
        <f t="shared" si="73"/>
        <v>62518</v>
      </c>
      <c r="E87" s="16">
        <f t="shared" si="74"/>
        <v>6252</v>
      </c>
      <c r="F87" s="16">
        <f t="shared" si="74"/>
        <v>56266</v>
      </c>
      <c r="G87" s="16">
        <f t="shared" si="74"/>
        <v>0</v>
      </c>
      <c r="H87" s="142">
        <f t="shared" si="74"/>
        <v>0</v>
      </c>
      <c r="I87" s="15">
        <f t="shared" si="75"/>
        <v>61757</v>
      </c>
      <c r="J87" s="16">
        <v>6176</v>
      </c>
      <c r="K87" s="16">
        <v>55581</v>
      </c>
      <c r="L87" s="16">
        <v>0</v>
      </c>
      <c r="M87" s="146">
        <v>0</v>
      </c>
      <c r="N87" s="15">
        <f t="shared" si="59"/>
        <v>-761</v>
      </c>
      <c r="O87" s="16">
        <f t="shared" si="60"/>
        <v>-76</v>
      </c>
      <c r="P87" s="16">
        <f t="shared" si="61"/>
        <v>-685</v>
      </c>
      <c r="Q87" s="16">
        <f t="shared" si="62"/>
        <v>0</v>
      </c>
      <c r="R87" s="86">
        <f t="shared" si="63"/>
        <v>0</v>
      </c>
    </row>
    <row r="88" spans="1:18" s="95" customFormat="1" x14ac:dyDescent="0.2">
      <c r="A88" s="67" t="s">
        <v>62</v>
      </c>
      <c r="B88" s="13" t="s">
        <v>36</v>
      </c>
      <c r="C88" s="188" t="s">
        <v>35</v>
      </c>
      <c r="D88" s="15">
        <f>SUM(E88:G88)</f>
        <v>0</v>
      </c>
      <c r="E88" s="16">
        <f t="shared" ref="E88:G89" si="76">J32</f>
        <v>-6</v>
      </c>
      <c r="F88" s="16">
        <f t="shared" si="76"/>
        <v>0</v>
      </c>
      <c r="G88" s="16">
        <f t="shared" si="76"/>
        <v>6</v>
      </c>
      <c r="H88" s="142">
        <f>M33</f>
        <v>0</v>
      </c>
      <c r="I88" s="15">
        <f>SUM(J88:L88)</f>
        <v>0</v>
      </c>
      <c r="J88" s="16">
        <v>0</v>
      </c>
      <c r="K88" s="16">
        <v>0</v>
      </c>
      <c r="L88" s="16">
        <v>0</v>
      </c>
      <c r="M88" s="146">
        <v>0</v>
      </c>
      <c r="N88" s="15">
        <f t="shared" ref="N88:R89" si="77">I88-D88</f>
        <v>0</v>
      </c>
      <c r="O88" s="16">
        <f t="shared" si="77"/>
        <v>6</v>
      </c>
      <c r="P88" s="16">
        <f t="shared" si="77"/>
        <v>0</v>
      </c>
      <c r="Q88" s="16">
        <f t="shared" si="77"/>
        <v>-6</v>
      </c>
      <c r="R88" s="86">
        <f t="shared" si="77"/>
        <v>0</v>
      </c>
    </row>
    <row r="89" spans="1:18" s="91" customFormat="1" ht="15.75" thickBot="1" x14ac:dyDescent="0.25">
      <c r="A89" s="189" t="s">
        <v>62</v>
      </c>
      <c r="B89" s="190" t="s">
        <v>50</v>
      </c>
      <c r="C89" s="190" t="s">
        <v>51</v>
      </c>
      <c r="D89" s="19">
        <f>SUM(E89:G89)</f>
        <v>7335</v>
      </c>
      <c r="E89" s="20">
        <f t="shared" si="76"/>
        <v>924</v>
      </c>
      <c r="F89" s="20">
        <f t="shared" si="76"/>
        <v>5361</v>
      </c>
      <c r="G89" s="20">
        <f t="shared" si="76"/>
        <v>1050</v>
      </c>
      <c r="H89" s="144">
        <f>M34</f>
        <v>0</v>
      </c>
      <c r="I89" s="19">
        <f>SUM(J89:L89)</f>
        <v>14669</v>
      </c>
      <c r="J89" s="20">
        <v>2017</v>
      </c>
      <c r="K89" s="20">
        <v>10288</v>
      </c>
      <c r="L89" s="20">
        <v>2364</v>
      </c>
      <c r="M89" s="191">
        <v>0</v>
      </c>
      <c r="N89" s="19">
        <f t="shared" si="77"/>
        <v>7334</v>
      </c>
      <c r="O89" s="20">
        <f t="shared" si="77"/>
        <v>1093</v>
      </c>
      <c r="P89" s="20">
        <f t="shared" si="77"/>
        <v>4927</v>
      </c>
      <c r="Q89" s="20">
        <f t="shared" si="77"/>
        <v>1314</v>
      </c>
      <c r="R89" s="87">
        <f t="shared" si="77"/>
        <v>0</v>
      </c>
    </row>
    <row r="90" spans="1:18" s="23" customFormat="1" ht="15.75" x14ac:dyDescent="0.25">
      <c r="A90" s="66" t="s">
        <v>47</v>
      </c>
      <c r="B90" s="10" t="s">
        <v>39</v>
      </c>
      <c r="C90" s="166"/>
      <c r="D90" s="11">
        <f>SUM(D91:D94)</f>
        <v>974</v>
      </c>
      <c r="E90" s="12">
        <f t="shared" ref="E90:H90" si="78">SUM(E91:E94)</f>
        <v>63</v>
      </c>
      <c r="F90" s="12">
        <f t="shared" si="78"/>
        <v>695</v>
      </c>
      <c r="G90" s="12">
        <f t="shared" si="78"/>
        <v>216</v>
      </c>
      <c r="H90" s="138">
        <f t="shared" si="78"/>
        <v>0</v>
      </c>
      <c r="I90" s="11">
        <f>SUM(I91:I94)</f>
        <v>2147.0214999999998</v>
      </c>
      <c r="J90" s="12">
        <f t="shared" ref="J90:M90" si="79">SUM(J91:J94)</f>
        <v>137.9425</v>
      </c>
      <c r="K90" s="12">
        <f t="shared" si="79"/>
        <v>1457.7750000000001</v>
      </c>
      <c r="L90" s="12">
        <f t="shared" si="79"/>
        <v>551.30399999999997</v>
      </c>
      <c r="M90" s="138">
        <f t="shared" si="79"/>
        <v>0</v>
      </c>
      <c r="N90" s="11">
        <f t="shared" ref="N90:N94" si="80">I90-D90</f>
        <v>1173.0214999999998</v>
      </c>
      <c r="O90" s="12">
        <f t="shared" si="60"/>
        <v>74.942499999999995</v>
      </c>
      <c r="P90" s="12">
        <f t="shared" si="61"/>
        <v>762.77500000000009</v>
      </c>
      <c r="Q90" s="12">
        <f t="shared" si="62"/>
        <v>335.30399999999997</v>
      </c>
      <c r="R90" s="82">
        <f>M90-H90</f>
        <v>0</v>
      </c>
    </row>
    <row r="91" spans="1:18" s="23" customFormat="1" ht="15.75" x14ac:dyDescent="0.25">
      <c r="A91" s="67" t="s">
        <v>47</v>
      </c>
      <c r="B91" s="23" t="s">
        <v>11</v>
      </c>
      <c r="C91" s="14" t="s">
        <v>8</v>
      </c>
      <c r="D91" s="15">
        <f>SUM(E91:G91)</f>
        <v>529</v>
      </c>
      <c r="E91" s="16">
        <f t="shared" ref="E91:G94" si="81">J35</f>
        <v>19</v>
      </c>
      <c r="F91" s="16">
        <f t="shared" si="81"/>
        <v>298</v>
      </c>
      <c r="G91" s="16">
        <f t="shared" si="81"/>
        <v>212</v>
      </c>
      <c r="H91" s="142">
        <f>M40</f>
        <v>0</v>
      </c>
      <c r="I91" s="15">
        <f>SUM(J91:L91)</f>
        <v>1161.8024999999998</v>
      </c>
      <c r="J91" s="16">
        <f>47*0.8835</f>
        <v>41.524499999999996</v>
      </c>
      <c r="K91" s="16">
        <f>658*0.8835</f>
        <v>581.34299999999996</v>
      </c>
      <c r="L91" s="16">
        <f>610*0.8835</f>
        <v>538.93499999999995</v>
      </c>
      <c r="M91" s="146">
        <v>0</v>
      </c>
      <c r="N91" s="15">
        <f t="shared" si="80"/>
        <v>632.80249999999978</v>
      </c>
      <c r="O91" s="16">
        <f>J91-E91</f>
        <v>22.524499999999996</v>
      </c>
      <c r="P91" s="16">
        <f>K91-F91</f>
        <v>283.34299999999996</v>
      </c>
      <c r="Q91" s="16">
        <f>L91-G91</f>
        <v>326.93499999999995</v>
      </c>
      <c r="R91" s="123">
        <f>M91-H91</f>
        <v>0</v>
      </c>
    </row>
    <row r="92" spans="1:18" s="23" customFormat="1" ht="15.75" x14ac:dyDescent="0.25">
      <c r="A92" s="67" t="s">
        <v>47</v>
      </c>
      <c r="B92" s="23" t="s">
        <v>11</v>
      </c>
      <c r="C92" s="14" t="s">
        <v>10</v>
      </c>
      <c r="D92" s="15">
        <f t="shared" ref="D92:D94" si="82">SUM(E92:G92)</f>
        <v>434</v>
      </c>
      <c r="E92" s="16">
        <f t="shared" si="81"/>
        <v>44</v>
      </c>
      <c r="F92" s="16">
        <f t="shared" si="81"/>
        <v>390</v>
      </c>
      <c r="G92" s="16">
        <f t="shared" si="81"/>
        <v>0</v>
      </c>
      <c r="H92" s="142">
        <f>M41</f>
        <v>0</v>
      </c>
      <c r="I92" s="15">
        <f t="shared" ref="I92:I94" si="83">SUM(J92:L92)</f>
        <v>952.41300000000001</v>
      </c>
      <c r="J92" s="16">
        <f>108*0.8835</f>
        <v>95.417999999999992</v>
      </c>
      <c r="K92" s="16">
        <f>970*0.8835</f>
        <v>856.995</v>
      </c>
      <c r="L92" s="16">
        <v>0</v>
      </c>
      <c r="M92" s="146">
        <v>0</v>
      </c>
      <c r="N92" s="15">
        <f t="shared" si="80"/>
        <v>518.41300000000001</v>
      </c>
      <c r="O92" s="16">
        <f t="shared" ref="O92:O95" si="84">J92-E92</f>
        <v>51.417999999999992</v>
      </c>
      <c r="P92" s="16">
        <f t="shared" ref="P92:P95" si="85">K92-F92</f>
        <v>466.995</v>
      </c>
      <c r="Q92" s="16">
        <f t="shared" ref="Q92:Q95" si="86">L92-G92</f>
        <v>0</v>
      </c>
      <c r="R92" s="88">
        <f t="shared" ref="R92:R94" si="87">M92-H92</f>
        <v>0</v>
      </c>
    </row>
    <row r="93" spans="1:18" s="23" customFormat="1" ht="15.75" x14ac:dyDescent="0.25">
      <c r="A93" s="67" t="s">
        <v>47</v>
      </c>
      <c r="B93" s="23" t="s">
        <v>9</v>
      </c>
      <c r="C93" s="14" t="s">
        <v>8</v>
      </c>
      <c r="D93" s="15">
        <f t="shared" si="82"/>
        <v>9</v>
      </c>
      <c r="E93" s="16">
        <f t="shared" si="81"/>
        <v>0</v>
      </c>
      <c r="F93" s="16">
        <f t="shared" si="81"/>
        <v>5</v>
      </c>
      <c r="G93" s="16">
        <f t="shared" si="81"/>
        <v>4</v>
      </c>
      <c r="H93" s="142">
        <f>M42</f>
        <v>0</v>
      </c>
      <c r="I93" s="15">
        <f t="shared" si="83"/>
        <v>25.621499999999997</v>
      </c>
      <c r="J93" s="16">
        <v>0</v>
      </c>
      <c r="K93" s="16">
        <f>15*0.8835</f>
        <v>13.2525</v>
      </c>
      <c r="L93" s="16">
        <f>14*0.8835</f>
        <v>12.369</v>
      </c>
      <c r="M93" s="146">
        <v>0</v>
      </c>
      <c r="N93" s="15">
        <f t="shared" si="80"/>
        <v>16.621499999999997</v>
      </c>
      <c r="O93" s="16">
        <f t="shared" si="84"/>
        <v>0</v>
      </c>
      <c r="P93" s="16">
        <f t="shared" si="85"/>
        <v>8.2524999999999995</v>
      </c>
      <c r="Q93" s="16">
        <f t="shared" si="86"/>
        <v>8.3689999999999998</v>
      </c>
      <c r="R93" s="88">
        <f t="shared" si="87"/>
        <v>0</v>
      </c>
    </row>
    <row r="94" spans="1:18" s="23" customFormat="1" ht="16.5" thickBot="1" x14ac:dyDescent="0.3">
      <c r="A94" s="68" t="s">
        <v>47</v>
      </c>
      <c r="B94" s="192" t="s">
        <v>9</v>
      </c>
      <c r="C94" s="193" t="s">
        <v>7</v>
      </c>
      <c r="D94" s="15">
        <f t="shared" si="82"/>
        <v>2</v>
      </c>
      <c r="E94" s="16">
        <f t="shared" si="81"/>
        <v>0</v>
      </c>
      <c r="F94" s="16">
        <f t="shared" si="81"/>
        <v>2</v>
      </c>
      <c r="G94" s="16">
        <f t="shared" si="81"/>
        <v>0</v>
      </c>
      <c r="H94" s="142">
        <f>M43</f>
        <v>0</v>
      </c>
      <c r="I94" s="15">
        <f t="shared" si="83"/>
        <v>7.1844999999999999</v>
      </c>
      <c r="J94" s="16">
        <v>1</v>
      </c>
      <c r="K94" s="16">
        <f>7*0.8835</f>
        <v>6.1844999999999999</v>
      </c>
      <c r="L94" s="16">
        <v>0</v>
      </c>
      <c r="M94" s="146">
        <v>0</v>
      </c>
      <c r="N94" s="15">
        <f t="shared" si="80"/>
        <v>5.1844999999999999</v>
      </c>
      <c r="O94" s="16">
        <f t="shared" si="84"/>
        <v>1</v>
      </c>
      <c r="P94" s="16">
        <f t="shared" si="85"/>
        <v>4.1844999999999999</v>
      </c>
      <c r="Q94" s="16">
        <f t="shared" si="86"/>
        <v>0</v>
      </c>
      <c r="R94" s="88">
        <f t="shared" si="87"/>
        <v>0</v>
      </c>
    </row>
    <row r="95" spans="1:18" s="23" customFormat="1" ht="15.75" x14ac:dyDescent="0.25">
      <c r="A95" s="66" t="s">
        <v>63</v>
      </c>
      <c r="B95" s="10" t="s">
        <v>56</v>
      </c>
      <c r="C95" s="166"/>
      <c r="D95" s="11">
        <f>SUM(D96:D99)</f>
        <v>404</v>
      </c>
      <c r="E95" s="12">
        <f t="shared" ref="E95:H95" si="88">SUM(E96:E99)</f>
        <v>60</v>
      </c>
      <c r="F95" s="12">
        <f t="shared" si="88"/>
        <v>288</v>
      </c>
      <c r="G95" s="12">
        <f t="shared" si="88"/>
        <v>56</v>
      </c>
      <c r="H95" s="138">
        <f t="shared" si="88"/>
        <v>0</v>
      </c>
      <c r="I95" s="11">
        <f>SUM(I96:I99)</f>
        <v>419</v>
      </c>
      <c r="J95" s="12">
        <f t="shared" ref="J95:M95" si="89">SUM(J96:J99)</f>
        <v>77</v>
      </c>
      <c r="K95" s="12">
        <f t="shared" si="89"/>
        <v>284</v>
      </c>
      <c r="L95" s="12">
        <f t="shared" si="89"/>
        <v>58</v>
      </c>
      <c r="M95" s="138">
        <f t="shared" si="89"/>
        <v>0</v>
      </c>
      <c r="N95" s="11">
        <f t="shared" ref="N95:N99" si="90">I95-D95</f>
        <v>15</v>
      </c>
      <c r="O95" s="12">
        <f t="shared" si="84"/>
        <v>17</v>
      </c>
      <c r="P95" s="12">
        <f t="shared" si="85"/>
        <v>-4</v>
      </c>
      <c r="Q95" s="12">
        <f t="shared" si="86"/>
        <v>2</v>
      </c>
      <c r="R95" s="82">
        <f>M95-H95</f>
        <v>0</v>
      </c>
    </row>
    <row r="96" spans="1:18" s="23" customFormat="1" ht="15.75" x14ac:dyDescent="0.25">
      <c r="A96" s="67" t="s">
        <v>63</v>
      </c>
      <c r="B96" s="23" t="s">
        <v>11</v>
      </c>
      <c r="C96" s="14" t="s">
        <v>8</v>
      </c>
      <c r="D96" s="15">
        <f>SUM(E96:G96)</f>
        <v>216</v>
      </c>
      <c r="E96" s="16">
        <f t="shared" ref="E96:E105" si="91">J40</f>
        <v>41</v>
      </c>
      <c r="F96" s="16">
        <f t="shared" ref="F96:F105" si="92">K40</f>
        <v>121</v>
      </c>
      <c r="G96" s="16">
        <f t="shared" ref="G96:G105" si="93">L40</f>
        <v>54</v>
      </c>
      <c r="H96" s="146">
        <v>0</v>
      </c>
      <c r="I96" s="15">
        <f>SUM(J96:L96)</f>
        <v>226</v>
      </c>
      <c r="J96" s="16">
        <v>57</v>
      </c>
      <c r="K96" s="16">
        <v>113</v>
      </c>
      <c r="L96" s="16">
        <v>56</v>
      </c>
      <c r="M96" s="146">
        <v>0</v>
      </c>
      <c r="N96" s="15">
        <f t="shared" si="90"/>
        <v>10</v>
      </c>
      <c r="O96" s="16">
        <f>J96-E96</f>
        <v>16</v>
      </c>
      <c r="P96" s="16">
        <f>K96-F96</f>
        <v>-8</v>
      </c>
      <c r="Q96" s="16">
        <f>L96-G96</f>
        <v>2</v>
      </c>
      <c r="R96" s="123">
        <f>M96-H96</f>
        <v>0</v>
      </c>
    </row>
    <row r="97" spans="1:18" s="23" customFormat="1" ht="15.75" x14ac:dyDescent="0.25">
      <c r="A97" s="67" t="s">
        <v>63</v>
      </c>
      <c r="B97" s="23" t="s">
        <v>11</v>
      </c>
      <c r="C97" s="14" t="s">
        <v>7</v>
      </c>
      <c r="D97" s="15">
        <f t="shared" ref="D97:D99" si="94">SUM(E97:G97)</f>
        <v>178</v>
      </c>
      <c r="E97" s="16">
        <f t="shared" si="91"/>
        <v>17</v>
      </c>
      <c r="F97" s="16">
        <f t="shared" si="92"/>
        <v>161</v>
      </c>
      <c r="G97" s="16">
        <f t="shared" si="93"/>
        <v>0</v>
      </c>
      <c r="H97" s="146">
        <v>0</v>
      </c>
      <c r="I97" s="15">
        <f t="shared" ref="I97:I99" si="95">SUM(J97:L97)</f>
        <v>184</v>
      </c>
      <c r="J97" s="16">
        <v>18</v>
      </c>
      <c r="K97" s="16">
        <v>166</v>
      </c>
      <c r="L97" s="16">
        <f>L41</f>
        <v>0</v>
      </c>
      <c r="M97" s="146">
        <v>0</v>
      </c>
      <c r="N97" s="15">
        <f t="shared" si="90"/>
        <v>6</v>
      </c>
      <c r="O97" s="16">
        <f t="shared" ref="O97:O99" si="96">J97-E97</f>
        <v>1</v>
      </c>
      <c r="P97" s="16">
        <f t="shared" ref="P97:P99" si="97">K97-F97</f>
        <v>5</v>
      </c>
      <c r="Q97" s="16">
        <f t="shared" ref="Q97:Q99" si="98">L97-G97</f>
        <v>0</v>
      </c>
      <c r="R97" s="88">
        <f t="shared" ref="R97:R99" si="99">M97-H97</f>
        <v>0</v>
      </c>
    </row>
    <row r="98" spans="1:18" s="23" customFormat="1" ht="15.75" x14ac:dyDescent="0.25">
      <c r="A98" s="67" t="s">
        <v>63</v>
      </c>
      <c r="B98" s="23" t="s">
        <v>9</v>
      </c>
      <c r="C98" s="14" t="s">
        <v>8</v>
      </c>
      <c r="D98" s="15">
        <f t="shared" si="94"/>
        <v>8</v>
      </c>
      <c r="E98" s="16">
        <f t="shared" si="91"/>
        <v>2</v>
      </c>
      <c r="F98" s="16">
        <f t="shared" si="92"/>
        <v>4</v>
      </c>
      <c r="G98" s="16">
        <f t="shared" si="93"/>
        <v>2</v>
      </c>
      <c r="H98" s="146">
        <v>0</v>
      </c>
      <c r="I98" s="15">
        <f t="shared" si="95"/>
        <v>7</v>
      </c>
      <c r="J98" s="16">
        <v>2</v>
      </c>
      <c r="K98" s="16">
        <v>3</v>
      </c>
      <c r="L98" s="16">
        <f>L42</f>
        <v>2</v>
      </c>
      <c r="M98" s="146">
        <v>0</v>
      </c>
      <c r="N98" s="15">
        <f t="shared" si="90"/>
        <v>-1</v>
      </c>
      <c r="O98" s="16">
        <f t="shared" si="96"/>
        <v>0</v>
      </c>
      <c r="P98" s="16">
        <f t="shared" si="97"/>
        <v>-1</v>
      </c>
      <c r="Q98" s="16">
        <f t="shared" si="98"/>
        <v>0</v>
      </c>
      <c r="R98" s="88">
        <f t="shared" si="99"/>
        <v>0</v>
      </c>
    </row>
    <row r="99" spans="1:18" s="23" customFormat="1" ht="16.5" thickBot="1" x14ac:dyDescent="0.3">
      <c r="A99" s="68" t="s">
        <v>63</v>
      </c>
      <c r="B99" s="192" t="s">
        <v>9</v>
      </c>
      <c r="C99" s="193" t="s">
        <v>10</v>
      </c>
      <c r="D99" s="15">
        <f t="shared" si="94"/>
        <v>2</v>
      </c>
      <c r="E99" s="16">
        <f t="shared" si="91"/>
        <v>0</v>
      </c>
      <c r="F99" s="16">
        <f t="shared" si="92"/>
        <v>2</v>
      </c>
      <c r="G99" s="16">
        <f t="shared" si="93"/>
        <v>0</v>
      </c>
      <c r="H99" s="146">
        <v>0</v>
      </c>
      <c r="I99" s="15">
        <f t="shared" si="95"/>
        <v>2</v>
      </c>
      <c r="J99" s="16">
        <f>J43</f>
        <v>0</v>
      </c>
      <c r="K99" s="16">
        <f>K43</f>
        <v>2</v>
      </c>
      <c r="L99" s="16">
        <f>L43</f>
        <v>0</v>
      </c>
      <c r="M99" s="146">
        <v>0</v>
      </c>
      <c r="N99" s="15">
        <f t="shared" si="90"/>
        <v>0</v>
      </c>
      <c r="O99" s="16">
        <f t="shared" si="96"/>
        <v>0</v>
      </c>
      <c r="P99" s="16">
        <f t="shared" si="97"/>
        <v>0</v>
      </c>
      <c r="Q99" s="16">
        <f t="shared" si="98"/>
        <v>0</v>
      </c>
      <c r="R99" s="88">
        <f t="shared" si="99"/>
        <v>0</v>
      </c>
    </row>
    <row r="100" spans="1:18" s="23" customFormat="1" ht="16.5" thickBot="1" x14ac:dyDescent="0.3">
      <c r="A100" s="81" t="s">
        <v>64</v>
      </c>
      <c r="B100" s="28" t="s">
        <v>30</v>
      </c>
      <c r="C100" s="194"/>
      <c r="D100" s="108">
        <f t="shared" si="73"/>
        <v>2</v>
      </c>
      <c r="E100" s="107">
        <f t="shared" si="91"/>
        <v>-14</v>
      </c>
      <c r="F100" s="107">
        <f t="shared" si="92"/>
        <v>60</v>
      </c>
      <c r="G100" s="107">
        <f t="shared" si="93"/>
        <v>-44</v>
      </c>
      <c r="H100" s="148">
        <f>M44</f>
        <v>0</v>
      </c>
      <c r="I100" s="108">
        <f t="shared" si="75"/>
        <v>0</v>
      </c>
      <c r="J100" s="107">
        <v>0</v>
      </c>
      <c r="K100" s="107">
        <v>0</v>
      </c>
      <c r="L100" s="107">
        <v>0</v>
      </c>
      <c r="M100" s="147">
        <v>0</v>
      </c>
      <c r="N100" s="108">
        <f t="shared" si="59"/>
        <v>-2</v>
      </c>
      <c r="O100" s="107">
        <f t="shared" si="60"/>
        <v>14</v>
      </c>
      <c r="P100" s="107">
        <f t="shared" si="61"/>
        <v>-60</v>
      </c>
      <c r="Q100" s="107">
        <f t="shared" si="62"/>
        <v>44</v>
      </c>
      <c r="R100" s="90">
        <f t="shared" si="63"/>
        <v>0</v>
      </c>
    </row>
    <row r="101" spans="1:18" s="23" customFormat="1" ht="16.5" thickBot="1" x14ac:dyDescent="0.3">
      <c r="A101" s="81" t="s">
        <v>65</v>
      </c>
      <c r="B101" s="35" t="s">
        <v>55</v>
      </c>
      <c r="C101" s="194"/>
      <c r="D101" s="108">
        <f t="shared" ref="D101" si="100">SUM(E101:G101)</f>
        <v>90853</v>
      </c>
      <c r="E101" s="107">
        <f t="shared" si="91"/>
        <v>6998</v>
      </c>
      <c r="F101" s="107">
        <f t="shared" si="92"/>
        <v>64967</v>
      </c>
      <c r="G101" s="107">
        <f t="shared" si="93"/>
        <v>18888</v>
      </c>
      <c r="H101" s="148">
        <f>M45</f>
        <v>0</v>
      </c>
      <c r="I101" s="108">
        <f t="shared" ref="I101" si="101">SUM(J101:L101)</f>
        <v>79528</v>
      </c>
      <c r="J101" s="107">
        <f>366+5938</f>
        <v>6304</v>
      </c>
      <c r="K101" s="107">
        <f>3872+100+50274+1251</f>
        <v>55497</v>
      </c>
      <c r="L101" s="107">
        <f>1397+16330</f>
        <v>17727</v>
      </c>
      <c r="M101" s="147">
        <v>0</v>
      </c>
      <c r="N101" s="108">
        <f t="shared" ref="N101" si="102">I101-D101</f>
        <v>-11325</v>
      </c>
      <c r="O101" s="107">
        <f t="shared" ref="O101" si="103">J101-E101</f>
        <v>-694</v>
      </c>
      <c r="P101" s="107">
        <f t="shared" ref="P101" si="104">K101-F101</f>
        <v>-9470</v>
      </c>
      <c r="Q101" s="107">
        <f t="shared" ref="Q101" si="105">L101-G101</f>
        <v>-1161</v>
      </c>
      <c r="R101" s="90">
        <f t="shared" ref="R101" si="106">M101-H101</f>
        <v>0</v>
      </c>
    </row>
    <row r="102" spans="1:18" s="23" customFormat="1" ht="16.5" thickBot="1" x14ac:dyDescent="0.3">
      <c r="A102" s="81" t="s">
        <v>77</v>
      </c>
      <c r="B102" s="35" t="s">
        <v>78</v>
      </c>
      <c r="C102" s="194"/>
      <c r="D102" s="108">
        <f>SUM(E102:G102)</f>
        <v>0</v>
      </c>
      <c r="E102" s="107">
        <f t="shared" si="91"/>
        <v>5506</v>
      </c>
      <c r="F102" s="107">
        <f t="shared" si="92"/>
        <v>-5705</v>
      </c>
      <c r="G102" s="107">
        <f t="shared" si="93"/>
        <v>199</v>
      </c>
      <c r="H102" s="161">
        <f>M46</f>
        <v>0</v>
      </c>
      <c r="I102" s="108">
        <f>SUM(J102:L102)</f>
        <v>0</v>
      </c>
      <c r="J102" s="107">
        <v>1331</v>
      </c>
      <c r="K102" s="107">
        <v>-1729</v>
      </c>
      <c r="L102" s="107">
        <v>398</v>
      </c>
      <c r="M102" s="147">
        <v>0</v>
      </c>
      <c r="N102" s="108">
        <f>I102-D102</f>
        <v>0</v>
      </c>
      <c r="O102" s="107">
        <f>J102-E102</f>
        <v>-4175</v>
      </c>
      <c r="P102" s="107">
        <f>K102-F102</f>
        <v>3976</v>
      </c>
      <c r="Q102" s="107">
        <f>L102-G102</f>
        <v>199</v>
      </c>
      <c r="R102" s="90">
        <f>M102-H102</f>
        <v>0</v>
      </c>
    </row>
    <row r="103" spans="1:18" s="23" customFormat="1" ht="17.25" customHeight="1" thickBot="1" x14ac:dyDescent="0.3">
      <c r="A103" s="65" t="s">
        <v>67</v>
      </c>
      <c r="B103" s="28" t="s">
        <v>5</v>
      </c>
      <c r="C103" s="194"/>
      <c r="D103" s="108">
        <f t="shared" si="73"/>
        <v>35231</v>
      </c>
      <c r="E103" s="107">
        <f t="shared" si="91"/>
        <v>0</v>
      </c>
      <c r="F103" s="107">
        <f t="shared" si="92"/>
        <v>22977</v>
      </c>
      <c r="G103" s="107">
        <f t="shared" si="93"/>
        <v>12254</v>
      </c>
      <c r="H103" s="148">
        <f>M47</f>
        <v>0</v>
      </c>
      <c r="I103" s="108">
        <f t="shared" si="75"/>
        <v>16400</v>
      </c>
      <c r="J103" s="107">
        <v>0</v>
      </c>
      <c r="K103" s="107">
        <v>10695</v>
      </c>
      <c r="L103" s="107">
        <v>5705</v>
      </c>
      <c r="M103" s="147">
        <v>0</v>
      </c>
      <c r="N103" s="108">
        <f t="shared" si="59"/>
        <v>-18831</v>
      </c>
      <c r="O103" s="107">
        <f t="shared" si="60"/>
        <v>0</v>
      </c>
      <c r="P103" s="107">
        <f t="shared" si="61"/>
        <v>-12282</v>
      </c>
      <c r="Q103" s="107">
        <f t="shared" si="62"/>
        <v>-6549</v>
      </c>
      <c r="R103" s="90">
        <f t="shared" si="63"/>
        <v>0</v>
      </c>
    </row>
    <row r="104" spans="1:18" s="23" customFormat="1" ht="17.25" customHeight="1" thickBot="1" x14ac:dyDescent="0.3">
      <c r="A104" s="65" t="s">
        <v>66</v>
      </c>
      <c r="B104" s="28" t="s">
        <v>6</v>
      </c>
      <c r="C104" s="194"/>
      <c r="D104" s="108">
        <f>SUM(E104:G104)</f>
        <v>39631</v>
      </c>
      <c r="E104" s="107">
        <f t="shared" si="91"/>
        <v>1021</v>
      </c>
      <c r="F104" s="107">
        <f t="shared" si="92"/>
        <v>19815</v>
      </c>
      <c r="G104" s="107">
        <f t="shared" si="93"/>
        <v>18795</v>
      </c>
      <c r="H104" s="148">
        <f>M48</f>
        <v>0</v>
      </c>
      <c r="I104" s="108">
        <f>SUM(J104:L104)</f>
        <v>40886</v>
      </c>
      <c r="J104" s="107">
        <v>1027</v>
      </c>
      <c r="K104" s="107">
        <v>20443</v>
      </c>
      <c r="L104" s="107">
        <v>19416</v>
      </c>
      <c r="M104" s="147">
        <v>0</v>
      </c>
      <c r="N104" s="108">
        <f>I104-D104</f>
        <v>1255</v>
      </c>
      <c r="O104" s="107">
        <f>J104-E104</f>
        <v>6</v>
      </c>
      <c r="P104" s="107">
        <f>K104-F104</f>
        <v>628</v>
      </c>
      <c r="Q104" s="107">
        <f>L104-G104</f>
        <v>621</v>
      </c>
      <c r="R104" s="90">
        <f>M104-H104</f>
        <v>0</v>
      </c>
    </row>
    <row r="105" spans="1:18" s="23" customFormat="1" ht="17.25" customHeight="1" thickBot="1" x14ac:dyDescent="0.3">
      <c r="A105" s="65" t="s">
        <v>68</v>
      </c>
      <c r="B105" s="28" t="s">
        <v>79</v>
      </c>
      <c r="C105" s="194"/>
      <c r="D105" s="108">
        <f t="shared" ref="D105" si="107">SUM(E105:G105)</f>
        <v>0</v>
      </c>
      <c r="E105" s="107">
        <f t="shared" si="91"/>
        <v>0</v>
      </c>
      <c r="F105" s="107">
        <f t="shared" si="92"/>
        <v>0</v>
      </c>
      <c r="G105" s="107">
        <f t="shared" si="93"/>
        <v>0</v>
      </c>
      <c r="H105" s="148">
        <v>0</v>
      </c>
      <c r="I105" s="108">
        <f t="shared" ref="I105" si="108">SUM(J105:L105)</f>
        <v>5876</v>
      </c>
      <c r="J105" s="107">
        <v>1469</v>
      </c>
      <c r="K105" s="107">
        <v>2938</v>
      </c>
      <c r="L105" s="107">
        <v>1469</v>
      </c>
      <c r="M105" s="147">
        <v>0</v>
      </c>
      <c r="N105" s="108">
        <f t="shared" ref="N105" si="109">I105-D105</f>
        <v>5876</v>
      </c>
      <c r="O105" s="107">
        <f t="shared" ref="O105" si="110">J105-E105</f>
        <v>1469</v>
      </c>
      <c r="P105" s="107">
        <f t="shared" ref="P105" si="111">K105-F105</f>
        <v>2938</v>
      </c>
      <c r="Q105" s="107">
        <f t="shared" ref="Q105" si="112">L105-G105</f>
        <v>1469</v>
      </c>
      <c r="R105" s="90">
        <f t="shared" ref="R105" si="113">M105-H105</f>
        <v>0</v>
      </c>
    </row>
    <row r="106" spans="1:18" s="99" customFormat="1" ht="15" customHeight="1" thickBot="1" x14ac:dyDescent="0.3">
      <c r="A106" s="172"/>
      <c r="B106" s="195"/>
      <c r="C106" s="46" t="s">
        <v>4</v>
      </c>
      <c r="D106" s="108">
        <f>D65+D70+D75+D80+D83+D90+D95+D100+D102+D101+D104+D103+D105</f>
        <v>714062</v>
      </c>
      <c r="E106" s="108">
        <f t="shared" ref="E106:M106" si="114">E65+E70+E75+E80+E83+E90+E95+E100+E102+E101+E104+E103+E105</f>
        <v>56261</v>
      </c>
      <c r="F106" s="108">
        <f t="shared" si="114"/>
        <v>493629</v>
      </c>
      <c r="G106" s="108">
        <f t="shared" si="114"/>
        <v>164172</v>
      </c>
      <c r="H106" s="162">
        <f t="shared" si="114"/>
        <v>2675</v>
      </c>
      <c r="I106" s="108">
        <f t="shared" si="114"/>
        <v>692187.82150000008</v>
      </c>
      <c r="J106" s="108">
        <f t="shared" si="114"/>
        <v>56009.942499999997</v>
      </c>
      <c r="K106" s="108">
        <f t="shared" si="114"/>
        <v>462216.77500000002</v>
      </c>
      <c r="L106" s="108">
        <f t="shared" si="114"/>
        <v>173961.10399999999</v>
      </c>
      <c r="M106" s="162">
        <f t="shared" si="114"/>
        <v>2918</v>
      </c>
      <c r="N106" s="108">
        <f>I106-D106</f>
        <v>-21874.178499999922</v>
      </c>
      <c r="O106" s="108">
        <f t="shared" si="60"/>
        <v>-251.05750000000262</v>
      </c>
      <c r="P106" s="108">
        <f t="shared" si="61"/>
        <v>-31412.224999999977</v>
      </c>
      <c r="Q106" s="108">
        <f t="shared" si="62"/>
        <v>9789.1039999999921</v>
      </c>
      <c r="R106" s="124">
        <f t="shared" si="63"/>
        <v>243</v>
      </c>
    </row>
    <row r="107" spans="1:18" s="99" customFormat="1" ht="15" customHeight="1" x14ac:dyDescent="0.25">
      <c r="A107" s="174"/>
      <c r="B107" s="196"/>
      <c r="C107" s="29" t="s">
        <v>3</v>
      </c>
      <c r="D107" s="175">
        <f t="shared" ref="D107:M107" si="115">D66+D67+D71+D72+D76+D77+D84+D85+D91+D92+D96+D97</f>
        <v>304495</v>
      </c>
      <c r="E107" s="175">
        <f t="shared" si="115"/>
        <v>35573</v>
      </c>
      <c r="F107" s="175">
        <f t="shared" si="115"/>
        <v>232079</v>
      </c>
      <c r="G107" s="175">
        <f t="shared" si="115"/>
        <v>36843</v>
      </c>
      <c r="H107" s="176">
        <f t="shared" si="115"/>
        <v>2645</v>
      </c>
      <c r="I107" s="175">
        <f t="shared" si="115"/>
        <v>301162.11550000001</v>
      </c>
      <c r="J107" s="175">
        <f t="shared" si="115"/>
        <v>37676.942499999997</v>
      </c>
      <c r="K107" s="175">
        <f t="shared" si="115"/>
        <v>222509.33799999999</v>
      </c>
      <c r="L107" s="175">
        <f t="shared" si="115"/>
        <v>40975.834999999999</v>
      </c>
      <c r="M107" s="176">
        <f t="shared" si="115"/>
        <v>2886</v>
      </c>
      <c r="N107" s="15">
        <f>I107-D107</f>
        <v>-3332.8844999999856</v>
      </c>
      <c r="O107" s="15">
        <f t="shared" si="60"/>
        <v>2103.9424999999974</v>
      </c>
      <c r="P107" s="15">
        <f t="shared" si="61"/>
        <v>-9569.6620000000112</v>
      </c>
      <c r="Q107" s="15">
        <f>L107-G107</f>
        <v>4132.8349999999991</v>
      </c>
      <c r="R107" s="125">
        <f t="shared" si="63"/>
        <v>241</v>
      </c>
    </row>
    <row r="108" spans="1:18" s="23" customFormat="1" ht="15" customHeight="1" x14ac:dyDescent="0.25">
      <c r="A108" s="197"/>
      <c r="B108" s="42"/>
      <c r="C108" s="29" t="s">
        <v>2</v>
      </c>
      <c r="D108" s="177">
        <f t="shared" ref="D108:M108" si="116">D68+D69+D73+D74+D78+D79+D81+D82+D86+D87+D93+D94+D98+D99</f>
        <v>236515</v>
      </c>
      <c r="E108" s="177">
        <f t="shared" si="116"/>
        <v>6259</v>
      </c>
      <c r="F108" s="177">
        <f t="shared" si="116"/>
        <v>154075</v>
      </c>
      <c r="G108" s="177">
        <f t="shared" si="116"/>
        <v>76181</v>
      </c>
      <c r="H108" s="178">
        <f t="shared" si="116"/>
        <v>30</v>
      </c>
      <c r="I108" s="177">
        <f t="shared" si="116"/>
        <v>233666.70600000001</v>
      </c>
      <c r="J108" s="177">
        <f t="shared" si="116"/>
        <v>6185</v>
      </c>
      <c r="K108" s="177">
        <f t="shared" si="116"/>
        <v>141575.43700000001</v>
      </c>
      <c r="L108" s="177">
        <f t="shared" si="116"/>
        <v>85906.269</v>
      </c>
      <c r="M108" s="178">
        <f t="shared" si="116"/>
        <v>32</v>
      </c>
      <c r="N108" s="15">
        <f>I108-D108</f>
        <v>-2848.2939999999944</v>
      </c>
      <c r="O108" s="15">
        <f t="shared" si="60"/>
        <v>-74</v>
      </c>
      <c r="P108" s="15">
        <f>K108-F108+1</f>
        <v>-12498.562999999995</v>
      </c>
      <c r="Q108" s="15">
        <f t="shared" si="62"/>
        <v>9725.2690000000002</v>
      </c>
      <c r="R108" s="125">
        <f t="shared" si="63"/>
        <v>2</v>
      </c>
    </row>
    <row r="109" spans="1:18" s="23" customFormat="1" ht="15" customHeight="1" thickBot="1" x14ac:dyDescent="0.3">
      <c r="A109" s="198"/>
      <c r="B109" s="179"/>
      <c r="C109" s="47" t="s">
        <v>1</v>
      </c>
      <c r="D109" s="19">
        <f t="shared" ref="D109:M109" si="117">D88+D89+D100+D102+D101+D104+D103+D105</f>
        <v>173052</v>
      </c>
      <c r="E109" s="19">
        <f t="shared" si="117"/>
        <v>14429</v>
      </c>
      <c r="F109" s="19">
        <f t="shared" si="117"/>
        <v>107475</v>
      </c>
      <c r="G109" s="19">
        <f t="shared" si="117"/>
        <v>51148</v>
      </c>
      <c r="H109" s="163">
        <f t="shared" si="117"/>
        <v>0</v>
      </c>
      <c r="I109" s="19">
        <f t="shared" si="117"/>
        <v>157359</v>
      </c>
      <c r="J109" s="19">
        <f t="shared" si="117"/>
        <v>12148</v>
      </c>
      <c r="K109" s="19">
        <f t="shared" si="117"/>
        <v>98132</v>
      </c>
      <c r="L109" s="19">
        <f t="shared" si="117"/>
        <v>47079</v>
      </c>
      <c r="M109" s="163">
        <f t="shared" si="117"/>
        <v>0</v>
      </c>
      <c r="N109" s="19">
        <f>I109-D109</f>
        <v>-15693</v>
      </c>
      <c r="O109" s="19">
        <f t="shared" si="60"/>
        <v>-2281</v>
      </c>
      <c r="P109" s="19">
        <f t="shared" si="61"/>
        <v>-9343</v>
      </c>
      <c r="Q109" s="19">
        <f t="shared" si="62"/>
        <v>-4069</v>
      </c>
      <c r="R109" s="126">
        <f t="shared" si="63"/>
        <v>0</v>
      </c>
    </row>
    <row r="110" spans="1:18" ht="15.75" x14ac:dyDescent="0.25">
      <c r="A110" s="199" t="s">
        <v>0</v>
      </c>
      <c r="B110" s="55"/>
      <c r="C110" s="102"/>
      <c r="D110" s="203"/>
      <c r="E110" s="203"/>
      <c r="F110" s="203"/>
      <c r="G110" s="203"/>
      <c r="H110" s="203"/>
      <c r="I110" s="203"/>
      <c r="J110" s="203"/>
      <c r="K110" s="203"/>
      <c r="L110" s="203"/>
      <c r="M110" s="203"/>
      <c r="N110" s="203"/>
      <c r="O110" s="203"/>
      <c r="P110" s="203"/>
      <c r="Q110" s="203"/>
      <c r="R110" s="203"/>
    </row>
    <row r="111" spans="1:18" x14ac:dyDescent="0.2">
      <c r="A111" s="180" t="s">
        <v>54</v>
      </c>
      <c r="B111" s="55"/>
      <c r="C111" s="102"/>
      <c r="D111" s="149"/>
      <c r="E111" s="149"/>
      <c r="R111" s="51"/>
    </row>
    <row r="112" spans="1:18" ht="15.75" customHeight="1" x14ac:dyDescent="0.2">
      <c r="A112" s="180" t="s">
        <v>53</v>
      </c>
      <c r="B112" s="102"/>
      <c r="C112" s="50"/>
      <c r="D112" s="50"/>
      <c r="E112" s="50"/>
      <c r="F112" s="50"/>
      <c r="G112" s="50"/>
      <c r="H112" s="50"/>
      <c r="I112" s="50"/>
      <c r="J112" s="50"/>
      <c r="K112" s="50"/>
      <c r="L112" s="50"/>
      <c r="M112" s="50"/>
      <c r="N112" s="50"/>
      <c r="O112" s="50"/>
      <c r="P112" s="50"/>
      <c r="Q112" s="50"/>
      <c r="R112" s="50"/>
    </row>
    <row r="113" spans="1:18" x14ac:dyDescent="0.2">
      <c r="A113" s="181" t="s">
        <v>80</v>
      </c>
      <c r="B113" s="213"/>
      <c r="C113" s="213"/>
      <c r="H113" s="214"/>
      <c r="M113" s="215"/>
      <c r="R113" s="216"/>
    </row>
    <row r="114" spans="1:18" x14ac:dyDescent="0.2">
      <c r="A114" s="182" t="s">
        <v>81</v>
      </c>
      <c r="B114" s="213"/>
      <c r="C114" s="213"/>
      <c r="H114" s="214"/>
      <c r="M114" s="215"/>
      <c r="R114" s="216"/>
    </row>
    <row r="115" spans="1:18" ht="18" customHeight="1" x14ac:dyDescent="0.2">
      <c r="A115" s="182" t="s">
        <v>82</v>
      </c>
      <c r="B115" s="213"/>
      <c r="C115" s="213"/>
      <c r="H115" s="214"/>
      <c r="M115" s="215"/>
      <c r="R115" s="216"/>
    </row>
    <row r="116" spans="1:18" ht="25.5" hidden="1" customHeight="1" x14ac:dyDescent="0.2"/>
    <row r="117" spans="1:18" hidden="1" x14ac:dyDescent="0.2"/>
    <row r="118" spans="1:18" hidden="1" x14ac:dyDescent="0.2"/>
    <row r="119" spans="1:18" hidden="1" x14ac:dyDescent="0.2"/>
    <row r="120" spans="1:18" hidden="1" x14ac:dyDescent="0.2"/>
    <row r="121" spans="1:18" hidden="1" x14ac:dyDescent="0.2"/>
    <row r="122" spans="1:18" hidden="1" x14ac:dyDescent="0.2"/>
    <row r="123" spans="1:18" hidden="1" x14ac:dyDescent="0.2"/>
    <row r="124" spans="1:18" hidden="1" x14ac:dyDescent="0.2"/>
    <row r="125" spans="1:18" hidden="1" x14ac:dyDescent="0.2"/>
    <row r="126" spans="1:18" hidden="1" x14ac:dyDescent="0.2"/>
    <row r="127" spans="1:18" hidden="1" x14ac:dyDescent="0.2"/>
    <row r="128" spans="1:1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sheetData>
  <sheetProtection sheet="1" objects="1" scenarios="1"/>
  <customSheetViews>
    <customSheetView guid="{4495B187-274E-48B4-8304-6FE632D7AFFB}" showPageBreaks="1" fitToPage="1" printArea="1" hiddenRows="1" topLeftCell="L41">
      <selection activeCell="Q100" sqref="Q100"/>
      <rowBreaks count="2" manualBreakCount="2">
        <brk id="4" max="17" man="1"/>
        <brk id="61" max="17" man="1"/>
      </rowBreaks>
      <pageMargins left="0.25" right="0.25" top="0.75" bottom="0.75" header="0.3" footer="0.3"/>
      <printOptions horizontalCentered="1"/>
      <pageSetup scale="41" fitToHeight="0" orientation="landscape" r:id="rId1"/>
      <headerFooter>
        <oddHeader>&amp;LCalifornia Department of Health Care Services&amp;RMay 2020 Medi-Cal Estimate</oddHeader>
      </headerFooter>
    </customSheetView>
    <customSheetView guid="{80F22E93-B41D-44AD-9CAE-9905A667A948}" fitToPage="1" printArea="1" hiddenRows="1">
      <pane xSplit="3" topLeftCell="D1" activePane="topRight" state="frozen"/>
      <selection pane="topRight" activeCell="A105" sqref="A105"/>
      <rowBreaks count="2" manualBreakCount="2">
        <brk id="4" max="17" man="1"/>
        <brk id="61" max="17" man="1"/>
      </rowBreaks>
      <pageMargins left="0.25" right="0.25" top="0.75" bottom="0.75" header="0.3" footer="0.3"/>
      <printOptions horizontalCentered="1"/>
      <pageSetup scale="41" fitToHeight="0" orientation="landscape" r:id="rId2"/>
      <headerFooter>
        <oddHeader>&amp;LCalifornia Department of Health Care Services&amp;RMay 2020 Medi-Cal Estimate</oddHeader>
      </headerFooter>
    </customSheetView>
    <customSheetView guid="{564F5456-EE4F-4364-B038-506ED3C46156}" showPageBreaks="1" fitToPage="1" printArea="1" hiddenRows="1" topLeftCell="A5">
      <pane xSplit="3" topLeftCell="F1" activePane="topRight" state="frozen"/>
      <selection pane="topRight" activeCell="M26" sqref="M26"/>
      <rowBreaks count="2" manualBreakCount="2">
        <brk id="4" max="17" man="1"/>
        <brk id="61" max="17" man="1"/>
      </rowBreaks>
      <pageMargins left="0.25" right="0.25" top="0.75" bottom="0.75" header="0.3" footer="0.3"/>
      <printOptions horizontalCentered="1"/>
      <pageSetup scale="41" fitToHeight="0" orientation="landscape" r:id="rId3"/>
      <headerFooter>
        <oddHeader>&amp;LCalifornia Department of Health Care Services&amp;RMay 2020 Medi-Cal Estimate</oddHeader>
      </headerFooter>
    </customSheetView>
    <customSheetView guid="{884C6854-0683-43B5-8CCC-CC69ACBD79F1}" fitToPage="1" hiddenRows="1">
      <pane xSplit="3" topLeftCell="D1" activePane="topRight" state="frozen"/>
      <selection pane="topRight" activeCell="F11" sqref="F11"/>
      <rowBreaks count="2" manualBreakCount="2">
        <brk id="4" max="17" man="1"/>
        <brk id="61" max="17" man="1"/>
      </rowBreaks>
      <pageMargins left="0.25" right="0.25" top="0.75" bottom="0.75" header="0.3" footer="0.3"/>
      <printOptions horizontalCentered="1"/>
      <pageSetup scale="41" fitToHeight="0" orientation="landscape" r:id="rId4"/>
      <headerFooter>
        <oddHeader>&amp;LCalifornia Department of Health Care Services&amp;RMay 2020 Medi-Cal Estimate</oddHeader>
      </headerFooter>
    </customSheetView>
    <customSheetView guid="{0F3B6941-3E2B-49D1-A33F-4FCB9B7618DA}" scale="70" showPageBreaks="1" fitToPage="1" printArea="1" hiddenRows="1" topLeftCell="A46">
      <selection activeCell="M15" sqref="M15"/>
      <rowBreaks count="2" manualBreakCount="2">
        <brk id="4" max="17" man="1"/>
        <brk id="61" max="17" man="1"/>
      </rowBreaks>
      <pageMargins left="0.25" right="0.25" top="0.75" bottom="0.75" header="0.3" footer="0.3"/>
      <printOptions horizontalCentered="1"/>
      <pageSetup scale="39" fitToHeight="0" orientation="landscape" r:id="rId5"/>
      <headerFooter>
        <oddHeader>&amp;LCalifornia Department of Health Care Services&amp;RMay 2020 Medi-Cal Estimate</oddHeader>
      </headerFooter>
    </customSheetView>
  </customSheetViews>
  <printOptions horizontalCentered="1"/>
  <pageMargins left="0.25" right="0.25" top="0.75" bottom="0.75" header="0.3" footer="0.3"/>
  <pageSetup scale="39" fitToHeight="0" orientation="landscape" r:id="rId6"/>
  <headerFooter>
    <oddHeader>&amp;LCalifornia Department of Health Care Services&amp;RMay 2020 Medi-Cal Estimate</oddHeader>
  </headerFooter>
  <rowBreaks count="2" manualBreakCount="2">
    <brk id="4" max="17" man="1"/>
    <brk id="61" max="17" man="1"/>
  </rowBreaks>
  <ignoredErrors>
    <ignoredError sqref="E9:H9 H10 I9 I42:I45 E14:H14 H11 H12 H13 E19:H19 H17 E24:H24 H22 E27:H34 H25 H26 E39:H39 H35 H36 H37 H38 E44:H46 H40 H41 H42 H43 I47:I48 H15:H16 H18 H20:H21 H23" unlockedFormula="1"/>
    <ignoredError sqref="I14 D19 I19:I41 D44:D46 D39 D24 D27:D34" formulaRange="1" unlockedFormula="1"/>
    <ignoredError sqref="D47" formulaRange="1"/>
    <ignoredError sqref="D14" formula="1" formulaRange="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7</Reading_x0020_Level>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DHCSDOC-376834418-609</_dlc_DocId>
    <_dlc_DocIdUrl xmlns="69bc34b3-1921-46c7-8c7a-d18363374b4b">
      <Url>https://dhcscagovauthoring/dataandstats/reports/_layouts/15/DocIdRedir.aspx?ID=DHCSDOC-376834418-609</Url>
      <Description>DHCSDOC-376834418-609</Description>
    </_dlc_DocIdUrl>
    <TaxCatchAll xmlns="69bc34b3-1921-46c7-8c7a-d18363374b4b">
      <Value>45</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Fiscal Forecasting</TermName>
          <TermId xmlns="http://schemas.microsoft.com/office/infopath/2007/PartnerControls">f301d91f-2d63-4bdb-a1a3-c13e2f7d3764</TermId>
        </TermInfo>
      </Terms>
    </o68eaf9243684232b2418c37bbb152dc>
  </documentManagement>
</p:properties>
</file>

<file path=customXml/itemProps1.xml><?xml version="1.0" encoding="utf-8"?>
<ds:datastoreItem xmlns:ds="http://schemas.openxmlformats.org/officeDocument/2006/customXml" ds:itemID="{BA051548-8030-4581-8C29-340E5D60B903}">
  <ds:schemaRefs>
    <ds:schemaRef ds:uri="http://schemas.microsoft.com/sharepoint/v3/contenttype/forms"/>
  </ds:schemaRefs>
</ds:datastoreItem>
</file>

<file path=customXml/itemProps2.xml><?xml version="1.0" encoding="utf-8"?>
<ds:datastoreItem xmlns:ds="http://schemas.openxmlformats.org/officeDocument/2006/customXml" ds:itemID="{96E637B2-34E1-42F7-BB17-02C4DED0D764}">
  <ds:schemaRefs>
    <ds:schemaRef ds:uri="http://schemas.microsoft.com/sharepoint/events"/>
  </ds:schemaRefs>
</ds:datastoreItem>
</file>

<file path=customXml/itemProps3.xml><?xml version="1.0" encoding="utf-8"?>
<ds:datastoreItem xmlns:ds="http://schemas.openxmlformats.org/officeDocument/2006/customXml" ds:itemID="{11D5E72F-AAD4-44DF-9390-29E143A1611D}"/>
</file>

<file path=customXml/itemProps4.xml><?xml version="1.0" encoding="utf-8"?>
<ds:datastoreItem xmlns:ds="http://schemas.openxmlformats.org/officeDocument/2006/customXml" ds:itemID="{02EE072B-9D54-4A51-A46D-1AC8F162729D}">
  <ds:schemaRefs>
    <ds:schemaRef ds:uri="http://schemas.microsoft.com/sharepoint/v3"/>
    <ds:schemaRef ds:uri="http://purl.org/dc/term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69bc34b3-1921-46c7-8c7a-d18363374b4b"/>
    <ds:schemaRef ds:uri="http://schemas.openxmlformats.org/package/2006/metadata/core-properties"/>
    <ds:schemaRef ds:uri="c1c1dc04-eeda-4b6e-b2df-40979f5da1d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Supplemental Chart 2</vt:lpstr>
      <vt:lpstr>'Supplemental Chart 2'!Print_Area</vt:lpstr>
      <vt:lpstr>'Supplemental Chart 2'!Print_Titles</vt:lpstr>
      <vt:lpstr>TitleRegion2.a53.90.1</vt:lpstr>
      <vt:lpstr>TitleRegion3.a99.r138.1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November 2020 Drug Medi-Cal Supplemental Chart</dc:title>
  <dc:creator>J. Singh</dc:creator>
  <cp:keywords/>
  <cp:lastModifiedBy>Poveda, Kevin (OC)@DHCS</cp:lastModifiedBy>
  <cp:lastPrinted>2020-05-14T04:16:07Z</cp:lastPrinted>
  <dcterms:created xsi:type="dcterms:W3CDTF">2019-08-09T18:02:06Z</dcterms:created>
  <dcterms:modified xsi:type="dcterms:W3CDTF">2021-01-08T22:55:43Z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47664a7d-c571-4a96-81b7-214cb7921297</vt:lpwstr>
  </property>
  <property fmtid="{D5CDD505-2E9C-101B-9397-08002B2CF9AE}" pid="4" name="Division">
    <vt:lpwstr>45;#Fiscal Forecasting|f301d91f-2d63-4bdb-a1a3-c13e2f7d3764</vt:lpwstr>
  </property>
  <property fmtid="{D5CDD505-2E9C-101B-9397-08002B2CF9AE}" pid="5" name="Organization">
    <vt:lpwstr>94</vt:lpwstr>
  </property>
</Properties>
</file>