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5.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81_{C7409A68-2492-40B1-9D8B-168B89C4D367}" xr6:coauthVersionLast="47" xr6:coauthVersionMax="47" xr10:uidLastSave="{00000000-0000-0000-0000-000000000000}"/>
  <bookViews>
    <workbookView xWindow="28680" yWindow="-120" windowWidth="29040" windowHeight="1584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'!$A$1:$U$123</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'!$A$48</definedName>
    <definedName name="TitleRegion3.a99.r138.1">'Supplemental Chart '!$A$90</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'!$V:$XFD</definedName>
    <definedName name="Z_2D811B98_3CFA_41D4_AEE7_AE5AF87BA166_.wvu.PrintArea" localSheetId="0" hidden="1">'Supplemental Chart '!$A$1:$U$123</definedName>
    <definedName name="Z_2D811B98_3CFA_41D4_AEE7_AE5AF87BA166_.wvu.PrintTitles" localSheetId="0" hidden="1">'Supplemental Chart '!$1:$4</definedName>
    <definedName name="Z_2D811B98_3CFA_41D4_AEE7_AE5AF87BA166_.wvu.Rows" localSheetId="0" hidden="1">'Supplemental Chart '!$151:$1048576</definedName>
    <definedName name="Z_392D8166_AC0F_4A11_B402_FCAA1470FA29_.wvu.Cols" localSheetId="0" hidden="1">'Supplemental Chart '!$V:$XFD</definedName>
    <definedName name="Z_392D8166_AC0F_4A11_B402_FCAA1470FA29_.wvu.PrintArea" localSheetId="0" hidden="1">'Supplemental Chart '!$A$1:$U$123</definedName>
    <definedName name="Z_392D8166_AC0F_4A11_B402_FCAA1470FA29_.wvu.PrintTitles" localSheetId="0" hidden="1">'Supplemental Chart '!$1:$4</definedName>
    <definedName name="Z_392D8166_AC0F_4A11_B402_FCAA1470FA29_.wvu.Rows" localSheetId="0" hidden="1">'Supplemental Chart '!$151:$1048576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'!$V:$XFD</definedName>
    <definedName name="Z_AD91D16E_086C_4105_8320_DF4A553F8355_.wvu.PrintArea" localSheetId="0" hidden="1">'Supplemental Chart '!$A$1:$U$123</definedName>
    <definedName name="Z_AD91D16E_086C_4105_8320_DF4A553F8355_.wvu.PrintTitles" localSheetId="0" hidden="1">'Supplemental Chart '!$1:$4</definedName>
    <definedName name="Z_AD91D16E_086C_4105_8320_DF4A553F8355_.wvu.Rows" localSheetId="0" hidden="1">'Supplemental Chart '!$132:$1048576</definedName>
    <definedName name="Z_B195B882_EE77_4420_89B8_1ACDC0879806_.wvu.Cols" localSheetId="0" hidden="1">'Supplemental Chart '!$V:$XFD</definedName>
    <definedName name="Z_B195B882_EE77_4420_89B8_1ACDC0879806_.wvu.PrintArea" localSheetId="0" hidden="1">'Supplemental Chart '!$A$1:$U$123</definedName>
    <definedName name="Z_B195B882_EE77_4420_89B8_1ACDC0879806_.wvu.PrintTitles" localSheetId="0" hidden="1">'Supplemental Chart '!$1:$4</definedName>
    <definedName name="Z_B195B882_EE77_4420_89B8_1ACDC0879806_.wvu.Rows" localSheetId="0" hidden="1">'Supplemental Chart '!$151:$1048576</definedName>
    <definedName name="zz">#REF!</definedName>
    <definedName name="ZZZZZZZZZZZZZZZZZZZZZZZZZZZZZZZZZZZZZZZZZZZ">#REF!</definedName>
  </definedNames>
  <calcPr calcId="191029"/>
  <customWorkbookViews>
    <customWorkbookView name="Stacey, Erik@DHCS - Personal View" guid="{AD91D16E-086C-4105-8320-DF4A553F8355}" mergeInterval="0" personalView="1" maximized="1" xWindow="1912" yWindow="-8" windowWidth="1936" windowHeight="1056" activeSheetId="1"/>
    <customWorkbookView name="Bui, My-Ai (FF)@DHCS - Personal View" guid="{392D8166-AC0F-4A11-B402-FCAA1470FA29}" mergeInterval="0" personalView="1" maximized="1" xWindow="-11" yWindow="-11" windowWidth="1942" windowHeight="1042" activeSheetId="1"/>
    <customWorkbookView name="Wollenberger, Louis@DHCS - Personal View" guid="{B195B882-EE77-4420-89B8-1ACDC0879806}" mergeInterval="0" personalView="1" xWindow="129" yWindow="20" windowWidth="1428" windowHeight="890" activeSheetId="1"/>
    <customWorkbookView name="Ly, Cang@DHCS - Personal View" guid="{2D811B98-3CFA-41D4-AEE7-AE5AF87BA166}" mergeInterval="0" personalView="1" xWindow="2449" yWindow="93" windowWidth="2243" windowHeight="130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8" i="1" l="1"/>
  <c r="M68" i="1"/>
  <c r="K68" i="1"/>
  <c r="N26" i="1"/>
  <c r="M26" i="1"/>
  <c r="K26" i="1"/>
  <c r="L74" i="1" l="1"/>
  <c r="L61" i="1" l="1"/>
  <c r="M71" i="1" l="1"/>
  <c r="K71" i="1"/>
  <c r="M70" i="1"/>
  <c r="M67" i="1" l="1"/>
  <c r="M25" i="1"/>
  <c r="M63" i="1"/>
  <c r="M21" i="1"/>
  <c r="M61" i="1" l="1"/>
  <c r="M78" i="1" s="1"/>
  <c r="M19" i="1"/>
  <c r="M54" i="1"/>
  <c r="M77" i="1" s="1"/>
  <c r="M52" i="1"/>
  <c r="K77" i="1"/>
  <c r="M12" i="1"/>
  <c r="M35" i="1" s="1"/>
  <c r="M11" i="1"/>
  <c r="M10" i="1"/>
  <c r="O77" i="1"/>
  <c r="N77" i="1"/>
  <c r="L77" i="1"/>
  <c r="O76" i="1"/>
  <c r="N76" i="1"/>
  <c r="M76" i="1"/>
  <c r="L76" i="1"/>
  <c r="I77" i="1"/>
  <c r="H77" i="1"/>
  <c r="G77" i="1"/>
  <c r="F77" i="1"/>
  <c r="E77" i="1"/>
  <c r="I76" i="1"/>
  <c r="H76" i="1"/>
  <c r="G76" i="1"/>
  <c r="F76" i="1"/>
  <c r="E76" i="1"/>
  <c r="O35" i="1"/>
  <c r="N35" i="1"/>
  <c r="L35" i="1"/>
  <c r="K35" i="1"/>
  <c r="O34" i="1"/>
  <c r="N34" i="1"/>
  <c r="L34" i="1"/>
  <c r="K34" i="1"/>
  <c r="I35" i="1"/>
  <c r="H35" i="1"/>
  <c r="F35" i="1"/>
  <c r="E35" i="1"/>
  <c r="I34" i="1"/>
  <c r="H34" i="1"/>
  <c r="F34" i="1"/>
  <c r="E34" i="1"/>
  <c r="D74" i="1"/>
  <c r="D73" i="1"/>
  <c r="D72" i="1"/>
  <c r="G71" i="1"/>
  <c r="E71" i="1"/>
  <c r="D70" i="1"/>
  <c r="D69" i="1"/>
  <c r="D68" i="1"/>
  <c r="G67" i="1"/>
  <c r="D67" i="1" s="1"/>
  <c r="D66" i="1"/>
  <c r="D65" i="1"/>
  <c r="D64" i="1"/>
  <c r="D63" i="1"/>
  <c r="I62" i="1"/>
  <c r="H62" i="1"/>
  <c r="G62" i="1"/>
  <c r="F62" i="1"/>
  <c r="E62" i="1"/>
  <c r="D61" i="1"/>
  <c r="D60" i="1"/>
  <c r="D59" i="1"/>
  <c r="D58" i="1"/>
  <c r="D57" i="1"/>
  <c r="I56" i="1"/>
  <c r="H56" i="1"/>
  <c r="G56" i="1"/>
  <c r="F56" i="1"/>
  <c r="E56" i="1"/>
  <c r="D55" i="1"/>
  <c r="D54" i="1"/>
  <c r="D53" i="1"/>
  <c r="D52" i="1"/>
  <c r="I51" i="1"/>
  <c r="H51" i="1"/>
  <c r="G51" i="1"/>
  <c r="F51" i="1"/>
  <c r="E51" i="1"/>
  <c r="G29" i="1"/>
  <c r="E29" i="1"/>
  <c r="G28" i="1"/>
  <c r="H26" i="1"/>
  <c r="H36" i="1" s="1"/>
  <c r="G26" i="1"/>
  <c r="E26" i="1"/>
  <c r="G25" i="1"/>
  <c r="G21" i="1"/>
  <c r="G19" i="1"/>
  <c r="G12" i="1"/>
  <c r="G35" i="1" s="1"/>
  <c r="G10" i="1"/>
  <c r="O36" i="1"/>
  <c r="N36" i="1"/>
  <c r="M36" i="1"/>
  <c r="L36" i="1"/>
  <c r="K36" i="1"/>
  <c r="I36" i="1"/>
  <c r="F36" i="1"/>
  <c r="O78" i="1"/>
  <c r="N78" i="1"/>
  <c r="L78" i="1"/>
  <c r="K78" i="1"/>
  <c r="I78" i="1"/>
  <c r="H78" i="1"/>
  <c r="F78" i="1"/>
  <c r="H75" i="1" l="1"/>
  <c r="E36" i="1"/>
  <c r="M34" i="1"/>
  <c r="D77" i="1"/>
  <c r="K76" i="1"/>
  <c r="G34" i="1"/>
  <c r="F75" i="1"/>
  <c r="E75" i="1"/>
  <c r="I75" i="1"/>
  <c r="G75" i="1"/>
  <c r="D76" i="1"/>
  <c r="D56" i="1"/>
  <c r="D62" i="1"/>
  <c r="D51" i="1"/>
  <c r="D71" i="1"/>
  <c r="G36" i="1"/>
  <c r="D75" i="1" l="1"/>
  <c r="M114" i="1" l="1"/>
  <c r="G78" i="1"/>
  <c r="E78" i="1"/>
  <c r="E114" i="1"/>
  <c r="F114" i="1"/>
  <c r="G114" i="1"/>
  <c r="H114" i="1"/>
  <c r="I114" i="1"/>
  <c r="K114" i="1"/>
  <c r="L114" i="1"/>
  <c r="N114" i="1"/>
  <c r="O114" i="1"/>
  <c r="T71" i="1"/>
  <c r="R71" i="1"/>
  <c r="U71" i="1"/>
  <c r="D29" i="1"/>
  <c r="J29" i="1"/>
  <c r="Q29" i="1"/>
  <c r="R29" i="1"/>
  <c r="S29" i="1"/>
  <c r="T29" i="1"/>
  <c r="U29" i="1"/>
  <c r="E117" i="1"/>
  <c r="F117" i="1"/>
  <c r="G117" i="1"/>
  <c r="H117" i="1"/>
  <c r="I117" i="1"/>
  <c r="K117" i="1"/>
  <c r="L117" i="1"/>
  <c r="M117" i="1"/>
  <c r="N117" i="1"/>
  <c r="O117" i="1"/>
  <c r="J74" i="1"/>
  <c r="Q74" i="1"/>
  <c r="R74" i="1"/>
  <c r="S74" i="1"/>
  <c r="T74" i="1"/>
  <c r="U74" i="1"/>
  <c r="D32" i="1"/>
  <c r="J32" i="1"/>
  <c r="Q32" i="1"/>
  <c r="R32" i="1"/>
  <c r="S32" i="1"/>
  <c r="T32" i="1"/>
  <c r="U32" i="1"/>
  <c r="T114" i="1" l="1"/>
  <c r="S117" i="1"/>
  <c r="D114" i="1"/>
  <c r="Q71" i="1"/>
  <c r="S114" i="1"/>
  <c r="Q117" i="1"/>
  <c r="J71" i="1"/>
  <c r="Q76" i="1"/>
  <c r="R114" i="1"/>
  <c r="R117" i="1"/>
  <c r="U114" i="1"/>
  <c r="Q114" i="1"/>
  <c r="U77" i="1"/>
  <c r="R77" i="1"/>
  <c r="P32" i="1"/>
  <c r="P29" i="1"/>
  <c r="R78" i="1"/>
  <c r="D117" i="1"/>
  <c r="R76" i="1"/>
  <c r="U117" i="1"/>
  <c r="T117" i="1"/>
  <c r="S71" i="1"/>
  <c r="S76" i="1"/>
  <c r="T76" i="1"/>
  <c r="U78" i="1"/>
  <c r="U76" i="1"/>
  <c r="Q77" i="1"/>
  <c r="S77" i="1"/>
  <c r="T77" i="1"/>
  <c r="J114" i="1"/>
  <c r="J117" i="1"/>
  <c r="P74" i="1"/>
  <c r="T78" i="1"/>
  <c r="Q78" i="1"/>
  <c r="P114" i="1" l="1"/>
  <c r="P71" i="1"/>
  <c r="S78" i="1"/>
  <c r="P117" i="1"/>
  <c r="O116" i="1"/>
  <c r="N116" i="1"/>
  <c r="M116" i="1"/>
  <c r="L116" i="1"/>
  <c r="K116" i="1"/>
  <c r="O115" i="1"/>
  <c r="N115" i="1"/>
  <c r="M115" i="1"/>
  <c r="L115" i="1"/>
  <c r="K115" i="1"/>
  <c r="O113" i="1"/>
  <c r="N113" i="1"/>
  <c r="M113" i="1"/>
  <c r="L113" i="1"/>
  <c r="K113" i="1"/>
  <c r="O112" i="1"/>
  <c r="N112" i="1"/>
  <c r="M112" i="1"/>
  <c r="L112" i="1"/>
  <c r="K112" i="1"/>
  <c r="O111" i="1"/>
  <c r="N111" i="1"/>
  <c r="M111" i="1"/>
  <c r="L111" i="1"/>
  <c r="K111" i="1"/>
  <c r="O110" i="1"/>
  <c r="N110" i="1"/>
  <c r="M110" i="1"/>
  <c r="L110" i="1"/>
  <c r="K110" i="1"/>
  <c r="O109" i="1"/>
  <c r="N109" i="1"/>
  <c r="M109" i="1"/>
  <c r="L109" i="1"/>
  <c r="K109" i="1"/>
  <c r="O108" i="1"/>
  <c r="N108" i="1"/>
  <c r="M108" i="1"/>
  <c r="L108" i="1"/>
  <c r="K108" i="1"/>
  <c r="O107" i="1"/>
  <c r="N107" i="1"/>
  <c r="M107" i="1"/>
  <c r="L107" i="1"/>
  <c r="K107" i="1"/>
  <c r="O106" i="1"/>
  <c r="N106" i="1"/>
  <c r="M106" i="1"/>
  <c r="L106" i="1"/>
  <c r="K106" i="1"/>
  <c r="O104" i="1"/>
  <c r="N104" i="1"/>
  <c r="M104" i="1"/>
  <c r="L104" i="1"/>
  <c r="K104" i="1"/>
  <c r="O103" i="1"/>
  <c r="N103" i="1"/>
  <c r="M103" i="1"/>
  <c r="L103" i="1"/>
  <c r="K103" i="1"/>
  <c r="O102" i="1"/>
  <c r="N102" i="1"/>
  <c r="M102" i="1"/>
  <c r="L102" i="1"/>
  <c r="K102" i="1"/>
  <c r="O101" i="1"/>
  <c r="N101" i="1"/>
  <c r="M101" i="1"/>
  <c r="L101" i="1"/>
  <c r="K101" i="1"/>
  <c r="O100" i="1"/>
  <c r="N100" i="1"/>
  <c r="M100" i="1"/>
  <c r="L100" i="1"/>
  <c r="K100" i="1"/>
  <c r="O98" i="1"/>
  <c r="N98" i="1"/>
  <c r="M98" i="1"/>
  <c r="L98" i="1"/>
  <c r="K98" i="1"/>
  <c r="O97" i="1"/>
  <c r="N97" i="1"/>
  <c r="M97" i="1"/>
  <c r="L97" i="1"/>
  <c r="K97" i="1"/>
  <c r="O96" i="1"/>
  <c r="N96" i="1"/>
  <c r="M96" i="1"/>
  <c r="L96" i="1"/>
  <c r="K96" i="1"/>
  <c r="O95" i="1"/>
  <c r="N95" i="1"/>
  <c r="M95" i="1"/>
  <c r="L95" i="1"/>
  <c r="K95" i="1"/>
  <c r="I116" i="1"/>
  <c r="H116" i="1"/>
  <c r="G116" i="1"/>
  <c r="F116" i="1"/>
  <c r="E116" i="1"/>
  <c r="I115" i="1"/>
  <c r="H115" i="1"/>
  <c r="G115" i="1"/>
  <c r="F115" i="1"/>
  <c r="E115" i="1"/>
  <c r="I113" i="1"/>
  <c r="H113" i="1"/>
  <c r="G113" i="1"/>
  <c r="F113" i="1"/>
  <c r="E113" i="1"/>
  <c r="I112" i="1"/>
  <c r="H112" i="1"/>
  <c r="G112" i="1"/>
  <c r="F112" i="1"/>
  <c r="E112" i="1"/>
  <c r="I111" i="1"/>
  <c r="H111" i="1"/>
  <c r="G111" i="1"/>
  <c r="F111" i="1"/>
  <c r="E111" i="1"/>
  <c r="I110" i="1"/>
  <c r="H110" i="1"/>
  <c r="G110" i="1"/>
  <c r="F110" i="1"/>
  <c r="E110" i="1"/>
  <c r="I109" i="1"/>
  <c r="H109" i="1"/>
  <c r="G109" i="1"/>
  <c r="F109" i="1"/>
  <c r="E109" i="1"/>
  <c r="I108" i="1"/>
  <c r="H108" i="1"/>
  <c r="G108" i="1"/>
  <c r="F108" i="1"/>
  <c r="E108" i="1"/>
  <c r="I107" i="1"/>
  <c r="H107" i="1"/>
  <c r="G107" i="1"/>
  <c r="F107" i="1"/>
  <c r="E107" i="1"/>
  <c r="I106" i="1"/>
  <c r="H106" i="1"/>
  <c r="G106" i="1"/>
  <c r="F106" i="1"/>
  <c r="E106" i="1"/>
  <c r="I104" i="1"/>
  <c r="H104" i="1"/>
  <c r="G104" i="1"/>
  <c r="F104" i="1"/>
  <c r="E104" i="1"/>
  <c r="I103" i="1"/>
  <c r="H103" i="1"/>
  <c r="G103" i="1"/>
  <c r="F103" i="1"/>
  <c r="E103" i="1"/>
  <c r="I102" i="1"/>
  <c r="H102" i="1"/>
  <c r="G102" i="1"/>
  <c r="F102" i="1"/>
  <c r="E102" i="1"/>
  <c r="I101" i="1"/>
  <c r="H101" i="1"/>
  <c r="G101" i="1"/>
  <c r="F101" i="1"/>
  <c r="E101" i="1"/>
  <c r="I100" i="1"/>
  <c r="H100" i="1"/>
  <c r="G100" i="1"/>
  <c r="F100" i="1"/>
  <c r="E100" i="1"/>
  <c r="I98" i="1"/>
  <c r="H98" i="1"/>
  <c r="G98" i="1"/>
  <c r="F98" i="1"/>
  <c r="E98" i="1"/>
  <c r="I97" i="1"/>
  <c r="H97" i="1"/>
  <c r="G97" i="1"/>
  <c r="F97" i="1"/>
  <c r="E97" i="1"/>
  <c r="I96" i="1"/>
  <c r="H96" i="1"/>
  <c r="G96" i="1"/>
  <c r="F96" i="1"/>
  <c r="E96" i="1"/>
  <c r="I95" i="1"/>
  <c r="H95" i="1"/>
  <c r="G95" i="1"/>
  <c r="F95" i="1"/>
  <c r="E95" i="1"/>
  <c r="U73" i="1"/>
  <c r="T73" i="1"/>
  <c r="S73" i="1"/>
  <c r="R73" i="1"/>
  <c r="Q73" i="1"/>
  <c r="J73" i="1"/>
  <c r="U72" i="1"/>
  <c r="T72" i="1"/>
  <c r="S72" i="1"/>
  <c r="R72" i="1"/>
  <c r="Q72" i="1"/>
  <c r="J72" i="1"/>
  <c r="U70" i="1"/>
  <c r="T70" i="1"/>
  <c r="S70" i="1"/>
  <c r="R70" i="1"/>
  <c r="Q70" i="1"/>
  <c r="J70" i="1"/>
  <c r="U69" i="1"/>
  <c r="T69" i="1"/>
  <c r="S69" i="1"/>
  <c r="R69" i="1"/>
  <c r="Q69" i="1"/>
  <c r="J69" i="1"/>
  <c r="U68" i="1"/>
  <c r="T68" i="1"/>
  <c r="S68" i="1"/>
  <c r="R68" i="1"/>
  <c r="Q68" i="1"/>
  <c r="J68" i="1"/>
  <c r="U67" i="1"/>
  <c r="T67" i="1"/>
  <c r="S67" i="1"/>
  <c r="R67" i="1"/>
  <c r="Q67" i="1"/>
  <c r="J67" i="1"/>
  <c r="U66" i="1"/>
  <c r="T66" i="1"/>
  <c r="S66" i="1"/>
  <c r="R66" i="1"/>
  <c r="Q66" i="1"/>
  <c r="J66" i="1"/>
  <c r="U65" i="1"/>
  <c r="T65" i="1"/>
  <c r="S65" i="1"/>
  <c r="R65" i="1"/>
  <c r="Q65" i="1"/>
  <c r="J65" i="1"/>
  <c r="U64" i="1"/>
  <c r="T64" i="1"/>
  <c r="S64" i="1"/>
  <c r="R64" i="1"/>
  <c r="Q64" i="1"/>
  <c r="J64" i="1"/>
  <c r="U63" i="1"/>
  <c r="T63" i="1"/>
  <c r="S63" i="1"/>
  <c r="R63" i="1"/>
  <c r="Q63" i="1"/>
  <c r="J63" i="1"/>
  <c r="O62" i="1"/>
  <c r="N62" i="1"/>
  <c r="M62" i="1"/>
  <c r="L62" i="1"/>
  <c r="K62" i="1"/>
  <c r="U61" i="1"/>
  <c r="T61" i="1"/>
  <c r="S61" i="1"/>
  <c r="R61" i="1"/>
  <c r="Q61" i="1"/>
  <c r="J61" i="1"/>
  <c r="U60" i="1"/>
  <c r="T60" i="1"/>
  <c r="S60" i="1"/>
  <c r="R60" i="1"/>
  <c r="Q60" i="1"/>
  <c r="J60" i="1"/>
  <c r="U59" i="1"/>
  <c r="T59" i="1"/>
  <c r="S59" i="1"/>
  <c r="R59" i="1"/>
  <c r="Q59" i="1"/>
  <c r="J59" i="1"/>
  <c r="U58" i="1"/>
  <c r="T58" i="1"/>
  <c r="S58" i="1"/>
  <c r="R58" i="1"/>
  <c r="Q58" i="1"/>
  <c r="J58" i="1"/>
  <c r="U57" i="1"/>
  <c r="T57" i="1"/>
  <c r="S57" i="1"/>
  <c r="R57" i="1"/>
  <c r="Q57" i="1"/>
  <c r="J57" i="1"/>
  <c r="O56" i="1"/>
  <c r="N56" i="1"/>
  <c r="M56" i="1"/>
  <c r="L56" i="1"/>
  <c r="K56" i="1"/>
  <c r="U55" i="1"/>
  <c r="T55" i="1"/>
  <c r="S55" i="1"/>
  <c r="R55" i="1"/>
  <c r="Q55" i="1"/>
  <c r="J55" i="1"/>
  <c r="U54" i="1"/>
  <c r="T54" i="1"/>
  <c r="S54" i="1"/>
  <c r="R54" i="1"/>
  <c r="Q54" i="1"/>
  <c r="J54" i="1"/>
  <c r="U53" i="1"/>
  <c r="T53" i="1"/>
  <c r="R53" i="1"/>
  <c r="Q53" i="1"/>
  <c r="U52" i="1"/>
  <c r="T52" i="1"/>
  <c r="R52" i="1"/>
  <c r="Q52" i="1"/>
  <c r="S52" i="1"/>
  <c r="J52" i="1"/>
  <c r="O51" i="1"/>
  <c r="N51" i="1"/>
  <c r="M51" i="1"/>
  <c r="L51" i="1"/>
  <c r="K51" i="1"/>
  <c r="U110" i="1" l="1"/>
  <c r="K75" i="1"/>
  <c r="O75" i="1"/>
  <c r="F119" i="1"/>
  <c r="M119" i="1"/>
  <c r="K120" i="1"/>
  <c r="T96" i="1"/>
  <c r="R98" i="1"/>
  <c r="H120" i="1"/>
  <c r="O120" i="1"/>
  <c r="L75" i="1"/>
  <c r="R75" i="1" s="1"/>
  <c r="G119" i="1"/>
  <c r="E120" i="1"/>
  <c r="I120" i="1"/>
  <c r="N119" i="1"/>
  <c r="L120" i="1"/>
  <c r="H119" i="1"/>
  <c r="F120" i="1"/>
  <c r="K119" i="1"/>
  <c r="O119" i="1"/>
  <c r="M120" i="1"/>
  <c r="M75" i="1"/>
  <c r="N75" i="1"/>
  <c r="J77" i="1"/>
  <c r="E119" i="1"/>
  <c r="I119" i="1"/>
  <c r="G120" i="1"/>
  <c r="L119" i="1"/>
  <c r="N120" i="1"/>
  <c r="R106" i="1"/>
  <c r="Q107" i="1"/>
  <c r="U107" i="1"/>
  <c r="T108" i="1"/>
  <c r="R110" i="1"/>
  <c r="Q111" i="1"/>
  <c r="U111" i="1"/>
  <c r="T112" i="1"/>
  <c r="S113" i="1"/>
  <c r="R115" i="1"/>
  <c r="Q116" i="1"/>
  <c r="U116" i="1"/>
  <c r="E121" i="1"/>
  <c r="U106" i="1"/>
  <c r="U115" i="1"/>
  <c r="D78" i="1"/>
  <c r="F121" i="1"/>
  <c r="H121" i="1"/>
  <c r="L121" i="1"/>
  <c r="M121" i="1"/>
  <c r="N121" i="1"/>
  <c r="J78" i="1"/>
  <c r="K121" i="1"/>
  <c r="O121" i="1"/>
  <c r="Q102" i="1"/>
  <c r="U102" i="1"/>
  <c r="T103" i="1"/>
  <c r="T111" i="1"/>
  <c r="T116" i="1"/>
  <c r="T107" i="1"/>
  <c r="S104" i="1"/>
  <c r="G121" i="1"/>
  <c r="I121" i="1"/>
  <c r="S96" i="1"/>
  <c r="Q98" i="1"/>
  <c r="U98" i="1"/>
  <c r="R100" i="1"/>
  <c r="Q101" i="1"/>
  <c r="U101" i="1"/>
  <c r="T102" i="1"/>
  <c r="S103" i="1"/>
  <c r="R104" i="1"/>
  <c r="Q106" i="1"/>
  <c r="S108" i="1"/>
  <c r="R109" i="1"/>
  <c r="Q110" i="1"/>
  <c r="S112" i="1"/>
  <c r="R113" i="1"/>
  <c r="Q115" i="1"/>
  <c r="T95" i="1"/>
  <c r="S97" i="1"/>
  <c r="R97" i="1"/>
  <c r="Q95" i="1"/>
  <c r="T100" i="1"/>
  <c r="Q103" i="1"/>
  <c r="S110" i="1"/>
  <c r="R111" i="1"/>
  <c r="U112" i="1"/>
  <c r="Q96" i="1"/>
  <c r="S98" i="1"/>
  <c r="S101" i="1"/>
  <c r="U103" i="1"/>
  <c r="R102" i="1"/>
  <c r="T104" i="1"/>
  <c r="T109" i="1"/>
  <c r="Q112" i="1"/>
  <c r="J97" i="1"/>
  <c r="O94" i="1"/>
  <c r="J98" i="1"/>
  <c r="O99" i="1"/>
  <c r="T106" i="1"/>
  <c r="J107" i="1"/>
  <c r="R108" i="1"/>
  <c r="J109" i="1"/>
  <c r="T110" i="1"/>
  <c r="R112" i="1"/>
  <c r="J113" i="1"/>
  <c r="T115" i="1"/>
  <c r="J116" i="1"/>
  <c r="G99" i="1"/>
  <c r="D101" i="1"/>
  <c r="D109" i="1"/>
  <c r="R51" i="1"/>
  <c r="S109" i="1"/>
  <c r="P52" i="1"/>
  <c r="P55" i="1"/>
  <c r="Q56" i="1"/>
  <c r="U56" i="1"/>
  <c r="J103" i="1"/>
  <c r="I105" i="1"/>
  <c r="K94" i="1"/>
  <c r="J112" i="1"/>
  <c r="J62" i="1"/>
  <c r="P68" i="1"/>
  <c r="P73" i="1"/>
  <c r="U97" i="1"/>
  <c r="K99" i="1"/>
  <c r="S56" i="1"/>
  <c r="P57" i="1"/>
  <c r="P61" i="1"/>
  <c r="U95" i="1"/>
  <c r="Q97" i="1"/>
  <c r="L99" i="1"/>
  <c r="S100" i="1"/>
  <c r="R101" i="1"/>
  <c r="J104" i="1"/>
  <c r="M105" i="1"/>
  <c r="D113" i="1"/>
  <c r="E94" i="1"/>
  <c r="N105" i="1"/>
  <c r="J110" i="1"/>
  <c r="G94" i="1"/>
  <c r="D97" i="1"/>
  <c r="H94" i="1"/>
  <c r="F99" i="1"/>
  <c r="D106" i="1"/>
  <c r="D108" i="1"/>
  <c r="D110" i="1"/>
  <c r="D112" i="1"/>
  <c r="D115" i="1"/>
  <c r="Q51" i="1"/>
  <c r="U51" i="1"/>
  <c r="T51" i="1"/>
  <c r="P65" i="1"/>
  <c r="I94" i="1"/>
  <c r="J100" i="1"/>
  <c r="E105" i="1"/>
  <c r="J96" i="1"/>
  <c r="U96" i="1"/>
  <c r="T97" i="1"/>
  <c r="N99" i="1"/>
  <c r="J101" i="1"/>
  <c r="J102" i="1"/>
  <c r="J106" i="1"/>
  <c r="R107" i="1"/>
  <c r="Q108" i="1"/>
  <c r="U108" i="1"/>
  <c r="J111" i="1"/>
  <c r="T113" i="1"/>
  <c r="J115" i="1"/>
  <c r="R116" i="1"/>
  <c r="L94" i="1"/>
  <c r="M99" i="1"/>
  <c r="K105" i="1"/>
  <c r="O105" i="1"/>
  <c r="S106" i="1"/>
  <c r="J108" i="1"/>
  <c r="S115" i="1"/>
  <c r="N94" i="1"/>
  <c r="R95" i="1"/>
  <c r="L105" i="1"/>
  <c r="R96" i="1"/>
  <c r="Q100" i="1"/>
  <c r="U100" i="1"/>
  <c r="S107" i="1"/>
  <c r="Q109" i="1"/>
  <c r="U109" i="1"/>
  <c r="S111" i="1"/>
  <c r="Q113" i="1"/>
  <c r="U113" i="1"/>
  <c r="S116" i="1"/>
  <c r="Q62" i="1"/>
  <c r="U62" i="1"/>
  <c r="R62" i="1"/>
  <c r="R56" i="1"/>
  <c r="J56" i="1"/>
  <c r="P67" i="1"/>
  <c r="P72" i="1"/>
  <c r="P70" i="1"/>
  <c r="P69" i="1"/>
  <c r="P64" i="1"/>
  <c r="S62" i="1"/>
  <c r="P63" i="1"/>
  <c r="T62" i="1"/>
  <c r="P66" i="1"/>
  <c r="T56" i="1"/>
  <c r="P60" i="1"/>
  <c r="P59" i="1"/>
  <c r="P58" i="1"/>
  <c r="P54" i="1"/>
  <c r="S51" i="1"/>
  <c r="F94" i="1"/>
  <c r="D95" i="1"/>
  <c r="D98" i="1"/>
  <c r="H99" i="1"/>
  <c r="D100" i="1"/>
  <c r="T101" i="1"/>
  <c r="R103" i="1"/>
  <c r="D104" i="1"/>
  <c r="F105" i="1"/>
  <c r="T98" i="1"/>
  <c r="E99" i="1"/>
  <c r="I99" i="1"/>
  <c r="D103" i="1"/>
  <c r="G105" i="1"/>
  <c r="D107" i="1"/>
  <c r="D111" i="1"/>
  <c r="D116" i="1"/>
  <c r="D96" i="1"/>
  <c r="D102" i="1"/>
  <c r="S102" i="1"/>
  <c r="Q104" i="1"/>
  <c r="U104" i="1"/>
  <c r="H105" i="1"/>
  <c r="J95" i="1"/>
  <c r="S95" i="1"/>
  <c r="M94" i="1"/>
  <c r="J53" i="1"/>
  <c r="S53" i="1"/>
  <c r="U31" i="1"/>
  <c r="T31" i="1"/>
  <c r="S31" i="1"/>
  <c r="R31" i="1"/>
  <c r="Q31" i="1"/>
  <c r="J31" i="1"/>
  <c r="D31" i="1"/>
  <c r="U30" i="1"/>
  <c r="T30" i="1"/>
  <c r="S30" i="1"/>
  <c r="R30" i="1"/>
  <c r="Q30" i="1"/>
  <c r="J30" i="1"/>
  <c r="D30" i="1"/>
  <c r="U28" i="1"/>
  <c r="T28" i="1"/>
  <c r="S28" i="1"/>
  <c r="R28" i="1"/>
  <c r="Q28" i="1"/>
  <c r="J28" i="1"/>
  <c r="D28" i="1"/>
  <c r="U27" i="1"/>
  <c r="T27" i="1"/>
  <c r="S27" i="1"/>
  <c r="R27" i="1"/>
  <c r="Q27" i="1"/>
  <c r="J27" i="1"/>
  <c r="D27" i="1"/>
  <c r="U26" i="1"/>
  <c r="T26" i="1"/>
  <c r="S26" i="1"/>
  <c r="R26" i="1"/>
  <c r="Q26" i="1"/>
  <c r="J26" i="1"/>
  <c r="D26" i="1"/>
  <c r="U25" i="1"/>
  <c r="T25" i="1"/>
  <c r="S25" i="1"/>
  <c r="R25" i="1"/>
  <c r="Q25" i="1"/>
  <c r="J25" i="1"/>
  <c r="D25" i="1"/>
  <c r="U24" i="1"/>
  <c r="T24" i="1"/>
  <c r="S24" i="1"/>
  <c r="R24" i="1"/>
  <c r="Q24" i="1"/>
  <c r="J24" i="1"/>
  <c r="D24" i="1"/>
  <c r="U23" i="1"/>
  <c r="T23" i="1"/>
  <c r="S23" i="1"/>
  <c r="R23" i="1"/>
  <c r="Q23" i="1"/>
  <c r="J23" i="1"/>
  <c r="D23" i="1"/>
  <c r="U22" i="1"/>
  <c r="T22" i="1"/>
  <c r="S22" i="1"/>
  <c r="R22" i="1"/>
  <c r="Q22" i="1"/>
  <c r="J22" i="1"/>
  <c r="D22" i="1"/>
  <c r="U21" i="1"/>
  <c r="T21" i="1"/>
  <c r="S21" i="1"/>
  <c r="R21" i="1"/>
  <c r="Q21" i="1"/>
  <c r="J21" i="1"/>
  <c r="D21" i="1"/>
  <c r="O20" i="1"/>
  <c r="N20" i="1"/>
  <c r="M20" i="1"/>
  <c r="L20" i="1"/>
  <c r="K20" i="1"/>
  <c r="I20" i="1"/>
  <c r="H20" i="1"/>
  <c r="G20" i="1"/>
  <c r="F20" i="1"/>
  <c r="E20" i="1"/>
  <c r="U19" i="1"/>
  <c r="T19" i="1"/>
  <c r="S19" i="1"/>
  <c r="R19" i="1"/>
  <c r="Q19" i="1"/>
  <c r="J19" i="1"/>
  <c r="D19" i="1"/>
  <c r="U18" i="1"/>
  <c r="T18" i="1"/>
  <c r="S18" i="1"/>
  <c r="R18" i="1"/>
  <c r="Q18" i="1"/>
  <c r="J18" i="1"/>
  <c r="D18" i="1"/>
  <c r="U17" i="1"/>
  <c r="T17" i="1"/>
  <c r="S17" i="1"/>
  <c r="R17" i="1"/>
  <c r="Q17" i="1"/>
  <c r="J17" i="1"/>
  <c r="D17" i="1"/>
  <c r="U16" i="1"/>
  <c r="T16" i="1"/>
  <c r="S16" i="1"/>
  <c r="R16" i="1"/>
  <c r="Q16" i="1"/>
  <c r="J16" i="1"/>
  <c r="D16" i="1"/>
  <c r="U15" i="1"/>
  <c r="T15" i="1"/>
  <c r="S15" i="1"/>
  <c r="R15" i="1"/>
  <c r="Q15" i="1"/>
  <c r="J15" i="1"/>
  <c r="D15" i="1"/>
  <c r="O14" i="1"/>
  <c r="N14" i="1"/>
  <c r="M14" i="1"/>
  <c r="L14" i="1"/>
  <c r="K14" i="1"/>
  <c r="I14" i="1"/>
  <c r="H14" i="1"/>
  <c r="G14" i="1"/>
  <c r="F14" i="1"/>
  <c r="E14" i="1"/>
  <c r="U13" i="1"/>
  <c r="T13" i="1"/>
  <c r="S13" i="1"/>
  <c r="R13" i="1"/>
  <c r="Q13" i="1"/>
  <c r="J13" i="1"/>
  <c r="D13" i="1"/>
  <c r="U12" i="1"/>
  <c r="T12" i="1"/>
  <c r="S12" i="1"/>
  <c r="R12" i="1"/>
  <c r="Q12" i="1"/>
  <c r="J12" i="1"/>
  <c r="D12" i="1"/>
  <c r="U11" i="1"/>
  <c r="T11" i="1"/>
  <c r="R11" i="1"/>
  <c r="Q11" i="1"/>
  <c r="S11" i="1"/>
  <c r="J11" i="1"/>
  <c r="D11" i="1"/>
  <c r="U10" i="1"/>
  <c r="T10" i="1"/>
  <c r="R10" i="1"/>
  <c r="Q10" i="1"/>
  <c r="D10" i="1"/>
  <c r="O9" i="1"/>
  <c r="N9" i="1"/>
  <c r="L9" i="1"/>
  <c r="K9" i="1"/>
  <c r="I9" i="1"/>
  <c r="H9" i="1"/>
  <c r="G9" i="1"/>
  <c r="F9" i="1"/>
  <c r="E9" i="1"/>
  <c r="M118" i="1" l="1"/>
  <c r="J76" i="1"/>
  <c r="N33" i="1"/>
  <c r="Q121" i="1"/>
  <c r="H33" i="1"/>
  <c r="L118" i="1"/>
  <c r="F33" i="1"/>
  <c r="K33" i="1"/>
  <c r="D34" i="1"/>
  <c r="H118" i="1"/>
  <c r="F118" i="1"/>
  <c r="E33" i="1"/>
  <c r="I33" i="1"/>
  <c r="O33" i="1"/>
  <c r="J119" i="1"/>
  <c r="N118" i="1"/>
  <c r="I118" i="1"/>
  <c r="D120" i="1"/>
  <c r="E118" i="1"/>
  <c r="D35" i="1"/>
  <c r="G118" i="1"/>
  <c r="O118" i="1"/>
  <c r="G33" i="1"/>
  <c r="L33" i="1"/>
  <c r="J35" i="1"/>
  <c r="D119" i="1"/>
  <c r="K118" i="1"/>
  <c r="J120" i="1"/>
  <c r="D36" i="1"/>
  <c r="U121" i="1"/>
  <c r="J36" i="1"/>
  <c r="U75" i="1"/>
  <c r="J121" i="1"/>
  <c r="S120" i="1"/>
  <c r="Q119" i="1"/>
  <c r="S75" i="1"/>
  <c r="T120" i="1"/>
  <c r="D121" i="1"/>
  <c r="T119" i="1"/>
  <c r="U119" i="1"/>
  <c r="Q75" i="1"/>
  <c r="T75" i="1"/>
  <c r="R121" i="1"/>
  <c r="P76" i="1"/>
  <c r="R119" i="1"/>
  <c r="S119" i="1"/>
  <c r="S121" i="1"/>
  <c r="R120" i="1"/>
  <c r="T121" i="1"/>
  <c r="P77" i="1"/>
  <c r="U120" i="1"/>
  <c r="Q120" i="1"/>
  <c r="P78" i="1"/>
  <c r="S105" i="1"/>
  <c r="P101" i="1"/>
  <c r="P110" i="1"/>
  <c r="P116" i="1"/>
  <c r="P115" i="1"/>
  <c r="P113" i="1"/>
  <c r="P107" i="1"/>
  <c r="T94" i="1"/>
  <c r="P109" i="1"/>
  <c r="P112" i="1"/>
  <c r="T99" i="1"/>
  <c r="P103" i="1"/>
  <c r="P62" i="1"/>
  <c r="U94" i="1"/>
  <c r="U99" i="1"/>
  <c r="P98" i="1"/>
  <c r="S99" i="1"/>
  <c r="Q105" i="1"/>
  <c r="U105" i="1"/>
  <c r="P100" i="1"/>
  <c r="S94" i="1"/>
  <c r="P111" i="1"/>
  <c r="P106" i="1"/>
  <c r="Q99" i="1"/>
  <c r="P96" i="1"/>
  <c r="R99" i="1"/>
  <c r="Q94" i="1"/>
  <c r="P18" i="1"/>
  <c r="P56" i="1"/>
  <c r="P108" i="1"/>
  <c r="D94" i="1"/>
  <c r="R105" i="1"/>
  <c r="R94" i="1"/>
  <c r="P102" i="1"/>
  <c r="P22" i="1"/>
  <c r="P26" i="1"/>
  <c r="D105" i="1"/>
  <c r="P97" i="1"/>
  <c r="J105" i="1"/>
  <c r="J99" i="1"/>
  <c r="D99" i="1"/>
  <c r="T105" i="1"/>
  <c r="P104" i="1"/>
  <c r="J20" i="1"/>
  <c r="P21" i="1"/>
  <c r="Q20" i="1"/>
  <c r="U20" i="1"/>
  <c r="S36" i="1"/>
  <c r="P11" i="1"/>
  <c r="U35" i="1"/>
  <c r="P95" i="1"/>
  <c r="J94" i="1"/>
  <c r="J51" i="1"/>
  <c r="P53" i="1"/>
  <c r="Q35" i="1"/>
  <c r="J14" i="1"/>
  <c r="P25" i="1"/>
  <c r="P30" i="1"/>
  <c r="S34" i="1"/>
  <c r="P13" i="1"/>
  <c r="T14" i="1"/>
  <c r="P17" i="1"/>
  <c r="P24" i="1"/>
  <c r="P28" i="1"/>
  <c r="T35" i="1"/>
  <c r="R36" i="1"/>
  <c r="R14" i="1"/>
  <c r="P16" i="1"/>
  <c r="T9" i="1"/>
  <c r="P12" i="1"/>
  <c r="T34" i="1"/>
  <c r="R35" i="1"/>
  <c r="T36" i="1"/>
  <c r="U9" i="1"/>
  <c r="S14" i="1"/>
  <c r="Q14" i="1"/>
  <c r="U14" i="1"/>
  <c r="S20" i="1"/>
  <c r="U34" i="1"/>
  <c r="S35" i="1"/>
  <c r="Q36" i="1"/>
  <c r="U36" i="1"/>
  <c r="R9" i="1"/>
  <c r="Q9" i="1"/>
  <c r="D9" i="1"/>
  <c r="P15" i="1"/>
  <c r="P19" i="1"/>
  <c r="R20" i="1"/>
  <c r="T20" i="1"/>
  <c r="P23" i="1"/>
  <c r="P27" i="1"/>
  <c r="P31" i="1"/>
  <c r="R34" i="1"/>
  <c r="Q34" i="1"/>
  <c r="J10" i="1"/>
  <c r="S10" i="1"/>
  <c r="D14" i="1"/>
  <c r="D20" i="1"/>
  <c r="M9" i="1"/>
  <c r="M33" i="1" s="1"/>
  <c r="J34" i="1" l="1"/>
  <c r="S118" i="1"/>
  <c r="P120" i="1"/>
  <c r="D118" i="1"/>
  <c r="J75" i="1"/>
  <c r="D33" i="1"/>
  <c r="J118" i="1"/>
  <c r="U118" i="1"/>
  <c r="T118" i="1"/>
  <c r="Q118" i="1"/>
  <c r="P119" i="1"/>
  <c r="R118" i="1"/>
  <c r="P121" i="1"/>
  <c r="S9" i="1"/>
  <c r="S33" i="1"/>
  <c r="P99" i="1"/>
  <c r="P105" i="1"/>
  <c r="R33" i="1"/>
  <c r="P36" i="1"/>
  <c r="P20" i="1"/>
  <c r="P35" i="1"/>
  <c r="Q33" i="1"/>
  <c r="U33" i="1"/>
  <c r="P94" i="1"/>
  <c r="P51" i="1"/>
  <c r="T33" i="1"/>
  <c r="P14" i="1"/>
  <c r="P10" i="1"/>
  <c r="P34" i="1"/>
  <c r="J9" i="1"/>
  <c r="J33" i="1" l="1"/>
  <c r="P75" i="1"/>
  <c r="P118" i="1"/>
  <c r="P9" i="1"/>
  <c r="P33" i="1" l="1"/>
</calcChain>
</file>

<file path=xl/sharedStrings.xml><?xml version="1.0" encoding="utf-8"?>
<sst xmlns="http://schemas.openxmlformats.org/spreadsheetml/2006/main" count="306" uniqueCount="86">
  <si>
    <t>DEPARTMENT OF HEALTH CARE SERVICES</t>
  </si>
  <si>
    <t>Drug Medi-Cal Program</t>
  </si>
  <si>
    <t>Comparison of Fiscal Impacts of Policy Changes</t>
  </si>
  <si>
    <t>Cash Comparison</t>
  </si>
  <si>
    <t>(Dollars In Thousands)</t>
  </si>
  <si>
    <t>Fiscal Year 2022-23, November 2022 Estimate Compared to May 2023 Estimate</t>
  </si>
  <si>
    <t>May 2023 POLICY CHANGE</t>
  </si>
  <si>
    <t>November 2022 (N22) Estimate for FY 2022-23</t>
  </si>
  <si>
    <t>May 2023 (M23) Estimate for FY 2022-23</t>
  </si>
  <si>
    <t>DIFFERENCE (Diff), Incr./(Decr.)</t>
  </si>
  <si>
    <t>NO.</t>
  </si>
  <si>
    <t>NAME</t>
  </si>
  <si>
    <t>DESCRIPTION</t>
  </si>
  <si>
    <t>N22 TF</t>
  </si>
  <si>
    <t>N22 GF</t>
  </si>
  <si>
    <r>
      <t>N22 SF</t>
    </r>
    <r>
      <rPr>
        <b/>
        <vertAlign val="superscript"/>
        <sz val="12"/>
        <rFont val="Arial"/>
        <family val="2"/>
      </rPr>
      <t>2,7</t>
    </r>
  </si>
  <si>
    <t>N22 FF</t>
  </si>
  <si>
    <t>N22 CF</t>
  </si>
  <si>
    <t xml:space="preserve">N22 CASELOAD </t>
  </si>
  <si>
    <t xml:space="preserve">M23 TF </t>
  </si>
  <si>
    <t>M23 GF</t>
  </si>
  <si>
    <r>
      <t>M23 SF</t>
    </r>
    <r>
      <rPr>
        <b/>
        <vertAlign val="superscript"/>
        <sz val="12"/>
        <rFont val="Arial"/>
        <family val="2"/>
      </rPr>
      <t>2,7</t>
    </r>
  </si>
  <si>
    <t>M23 FF</t>
  </si>
  <si>
    <r>
      <t>M23 CF</t>
    </r>
    <r>
      <rPr>
        <b/>
        <vertAlign val="superscript"/>
        <sz val="12"/>
        <rFont val="Arial"/>
        <family val="2"/>
      </rPr>
      <t xml:space="preserve"> </t>
    </r>
  </si>
  <si>
    <t>M23 CASELOAD</t>
  </si>
  <si>
    <t>Diff TF</t>
  </si>
  <si>
    <t>Diff GF</t>
  </si>
  <si>
    <t>Diff SF</t>
  </si>
  <si>
    <t>Diff FF</t>
  </si>
  <si>
    <t>Diff CF</t>
  </si>
  <si>
    <t>Diff CASELOAD</t>
  </si>
  <si>
    <t>Base 55</t>
  </si>
  <si>
    <r>
      <t>DRUG MEDI-CAL ORGANIZED DELIVERY SYSTEM WAIVER</t>
    </r>
    <r>
      <rPr>
        <b/>
        <vertAlign val="superscript"/>
        <sz val="12"/>
        <rFont val="Arial"/>
        <family val="2"/>
      </rPr>
      <t>1</t>
    </r>
  </si>
  <si>
    <t xml:space="preserve">Regular </t>
  </si>
  <si>
    <t xml:space="preserve">Current </t>
  </si>
  <si>
    <t>Regular</t>
  </si>
  <si>
    <t>ACA Optional</t>
  </si>
  <si>
    <t>Perinatal</t>
  </si>
  <si>
    <t xml:space="preserve">ACA Optional </t>
  </si>
  <si>
    <t>Base 57</t>
  </si>
  <si>
    <t>DRUG MEDI-CAL STATE PLAN SERVICES</t>
  </si>
  <si>
    <t>Regular 56</t>
  </si>
  <si>
    <r>
      <t>HCBS SP - CONTINGENCY MANAGEMENT</t>
    </r>
    <r>
      <rPr>
        <b/>
        <vertAlign val="superscript"/>
        <sz val="12"/>
        <rFont val="Arial"/>
        <family val="2"/>
      </rPr>
      <t>2</t>
    </r>
  </si>
  <si>
    <t>Regular 58</t>
  </si>
  <si>
    <t xml:space="preserve">DRUG MEDI-CAL ANNUAL RATE ADJUSTMENT </t>
  </si>
  <si>
    <t>Regular 59</t>
  </si>
  <si>
    <t xml:space="preserve">DRUG MEDI-CAL PROGRAM COST SETTLEMENT </t>
  </si>
  <si>
    <t>Regular 159</t>
  </si>
  <si>
    <r>
      <t>COVID-19 BEHAVIORAL HEALTH</t>
    </r>
    <r>
      <rPr>
        <b/>
        <vertAlign val="superscript"/>
        <sz val="12"/>
        <rFont val="Arial"/>
        <family val="2"/>
      </rPr>
      <t>3</t>
    </r>
  </si>
  <si>
    <t>Regular 170</t>
  </si>
  <si>
    <r>
      <t>STATE ONLY CLAIMING ADJUSTMENT - PROSP ADJ.</t>
    </r>
    <r>
      <rPr>
        <b/>
        <vertAlign val="superscript"/>
        <sz val="12"/>
        <rFont val="Arial"/>
        <family val="2"/>
      </rPr>
      <t>4</t>
    </r>
  </si>
  <si>
    <t>Regular 212</t>
  </si>
  <si>
    <r>
      <t>PEER SUPPORT SPECIALIST SERVICES</t>
    </r>
    <r>
      <rPr>
        <b/>
        <vertAlign val="superscript"/>
        <sz val="12"/>
        <rFont val="Arial"/>
        <family val="2"/>
      </rPr>
      <t>5</t>
    </r>
  </si>
  <si>
    <t>Regular 194</t>
  </si>
  <si>
    <r>
      <t>QUALIFYING COMMUNITY-BASED MOBILE CRISIS SERVICES</t>
    </r>
    <r>
      <rPr>
        <b/>
        <vertAlign val="superscript"/>
        <sz val="12"/>
        <rFont val="Arial"/>
        <family val="2"/>
      </rPr>
      <t>6</t>
    </r>
  </si>
  <si>
    <t>OA 13</t>
  </si>
  <si>
    <t>DRUG MEDI-CAL COUNTY ADMIN</t>
  </si>
  <si>
    <t>OA 35</t>
  </si>
  <si>
    <t>DRUG MEDI-CAL PARITY RULE ADMINISTRATION</t>
  </si>
  <si>
    <t>OA 41</t>
  </si>
  <si>
    <r>
      <t>HCBS SP - CONTINGENCY MANAGEMENT ADMIN</t>
    </r>
    <r>
      <rPr>
        <b/>
        <vertAlign val="superscript"/>
        <sz val="12"/>
        <rFont val="Arial"/>
        <family val="2"/>
      </rPr>
      <t>7</t>
    </r>
  </si>
  <si>
    <t xml:space="preserve">   DRUG MEDI-CAL TOTAL</t>
  </si>
  <si>
    <t>Regular Total</t>
  </si>
  <si>
    <t>Perinatal Total</t>
  </si>
  <si>
    <t xml:space="preserve"> Other Total</t>
  </si>
  <si>
    <t>Notes:</t>
  </si>
  <si>
    <t>Amounts may differ due to rounding.</t>
  </si>
  <si>
    <r>
      <rPr>
        <vertAlign val="superscript"/>
        <sz val="11"/>
        <rFont val="Arial"/>
        <family val="2"/>
      </rPr>
      <t>1</t>
    </r>
    <r>
      <rPr>
        <sz val="11"/>
        <rFont val="Arial"/>
        <family val="2"/>
      </rPr>
      <t xml:space="preserve"> The Drug Medi-Cal Organized Delivery System Waiver estimate does not include caseload; the estimate is based on county specific rates and estimated utilization. </t>
    </r>
  </si>
  <si>
    <r>
      <rPr>
        <vertAlign val="superscript"/>
        <sz val="11"/>
        <rFont val="Arial"/>
        <family val="2"/>
      </rPr>
      <t>2</t>
    </r>
    <r>
      <rPr>
        <sz val="11"/>
        <rFont val="Arial"/>
        <family val="2"/>
      </rPr>
      <t xml:space="preserve"> The HCBS SP - Contingency Management policy change estimates the cost of adding Contingency Management as an optional evidence-based service under the DMC-ODS Waiver Program; The non-federal share is funded from the HBCS American Rescue Plan Fund, Item 4260-101-8507. This item is included under SF in this chart.</t>
    </r>
  </si>
  <si>
    <r>
      <rPr>
        <vertAlign val="superscript"/>
        <sz val="11"/>
        <rFont val="Arial"/>
        <family val="2"/>
      </rPr>
      <t>3</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</si>
  <si>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rPr>
        <vertAlign val="superscript"/>
        <sz val="11"/>
        <rFont val="Arial"/>
        <family val="2"/>
      </rPr>
      <t>4</t>
    </r>
    <r>
      <rPr>
        <sz val="11"/>
        <rFont val="Arial"/>
        <family val="2"/>
      </rPr>
      <t xml:space="preserve"> The State Only Claiming Adjustment - Prosp Adj. policy change estimates the return of federal funds to the federal government for claiming for Drug Medi-Cal provided to individuals without satisfactory immigration status in full-scope Medi-Cal coverage. Only the Drug Medi-Cal impact is shown in the table. This policy change represent the prospective  adjustment portions of the previous State-Only Claiming Adjustments - SMHS &amp; DMC policy change in N22.</t>
    </r>
  </si>
  <si>
    <r>
      <rPr>
        <vertAlign val="superscript"/>
        <sz val="11"/>
        <rFont val="Arial"/>
        <family val="2"/>
      </rPr>
      <t>5</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</si>
  <si>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1"/>
        <rFont val="Arial"/>
        <family val="2"/>
      </rPr>
      <t>6</t>
    </r>
    <r>
      <rPr>
        <sz val="11"/>
        <rFont val="Arial"/>
        <family val="2"/>
      </rPr>
      <t xml:space="preserve"> The Qualifying Community-Based Mobile Crisis Services policy change estimates the cost for counties to provide qualifying community-based mobile crisis intervention services to Medi-Cal beneficiaries in need of Medi-Cal behavioral health services. Only the Drug Medi-Cal impact is shown in the table.</t>
    </r>
  </si>
  <si>
    <r>
      <rPr>
        <vertAlign val="superscript"/>
        <sz val="11"/>
        <rFont val="Arial"/>
        <family val="2"/>
      </rPr>
      <t>7</t>
    </r>
    <r>
      <rPr>
        <sz val="11"/>
        <rFont val="Arial"/>
        <family val="2"/>
      </rPr>
      <t xml:space="preserve"> 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 This item is included under SF in this chart.</t>
    </r>
  </si>
  <si>
    <t>Fiscal Year 2023-24, November 2022 Estimate Compared to May 2023 Estimate</t>
  </si>
  <si>
    <t>November 2022 (N22) Estimate for FY 2023-24</t>
  </si>
  <si>
    <t>May 2023 (M23) Estimate for FY 2023-24</t>
  </si>
  <si>
    <t>DIFFERENCE (Diff) , Incr./(Decr.)</t>
  </si>
  <si>
    <r>
      <t>N22 SF</t>
    </r>
    <r>
      <rPr>
        <b/>
        <vertAlign val="superscript"/>
        <sz val="12"/>
        <rFont val="Arial"/>
        <family val="2"/>
      </rPr>
      <t>2,7, 8</t>
    </r>
  </si>
  <si>
    <r>
      <t>M23 SF</t>
    </r>
    <r>
      <rPr>
        <b/>
        <vertAlign val="superscript"/>
        <sz val="12"/>
        <rFont val="Arial"/>
        <family val="2"/>
      </rPr>
      <t>2,7, 8</t>
    </r>
  </si>
  <si>
    <t xml:space="preserve">M23 CF </t>
  </si>
  <si>
    <t xml:space="preserve">Diff CASELOAD </t>
  </si>
  <si>
    <r>
      <rPr>
        <vertAlign val="superscript"/>
        <sz val="11"/>
        <rFont val="Arial"/>
        <family val="2"/>
      </rPr>
      <t>8</t>
    </r>
    <r>
      <rPr>
        <sz val="11"/>
        <rFont val="Arial"/>
        <family val="2"/>
      </rPr>
      <t xml:space="preserve"> Effective July 1, 2023, the Department will implement the CalAIM Behavioral Health Payment Reform and a new Intergovernmental Transfers (IGTs) process. The IGTs will be deposited in the Medi-Cal County Behavioral Health Fund, Item 4260-601-3420. This item is included under SF in this chart.  </t>
    </r>
  </si>
  <si>
    <t>May 2023 Estimate, FY 2022-23 Compared to FY 2023-24</t>
  </si>
  <si>
    <t>TYPE</t>
  </si>
  <si>
    <r>
      <rPr>
        <vertAlign val="superscript"/>
        <sz val="11"/>
        <rFont val="Arial"/>
        <family val="2"/>
      </rPr>
      <t>4</t>
    </r>
    <r>
      <rPr>
        <sz val="11"/>
        <rFont val="Arial"/>
        <family val="2"/>
      </rPr>
      <t xml:space="preserve"> The State Only Claiming Adjustment - Prosp Adj. policy change estimates the return of federal funds to the federal government for claiming for Drug Medi-Cal provided to individuals without satisfactory immigration status in full-scope Medi-Cal coverage. Only the Drug Medi-Cal impact is shown in the table.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</si>
</sst>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3" x14ac:knownFonts="1">
    <font>
      <sz val="11"/>
      <color theme="1"/>
      <name val="Calibri"/>
      <family val="2"/>
      <scheme val="minor"/>
    </font>
    <font>
      <sz val="11"/>
      <color theme="1"/>
      <name val="Calibri"/>
      <family val="2"/>
      <scheme val="minor"/>
    </font>
    <font>
      <sz val="12"/>
      <name val="Arial"/>
      <family val="2"/>
    </font>
    <font>
      <b/>
      <sz val="12"/>
      <name val="Arial"/>
      <family val="2"/>
    </font>
    <font>
      <b/>
      <u/>
      <sz val="12"/>
      <name val="Arial"/>
      <family val="2"/>
    </font>
    <font>
      <b/>
      <vertAlign val="superscript"/>
      <sz val="12"/>
      <name val="Arial"/>
      <family val="2"/>
    </font>
    <font>
      <sz val="11"/>
      <name val="Arial"/>
      <family val="2"/>
    </font>
    <font>
      <strike/>
      <sz val="11"/>
      <name val="Arial"/>
      <family val="2"/>
    </font>
    <font>
      <strike/>
      <sz val="12"/>
      <name val="Arial"/>
      <family val="2"/>
    </font>
    <font>
      <b/>
      <strike/>
      <sz val="12"/>
      <name val="Arial"/>
      <family val="2"/>
    </font>
    <font>
      <vertAlign val="superscript"/>
      <sz val="11"/>
      <name val="Arial"/>
      <family val="2"/>
    </font>
    <font>
      <b/>
      <sz val="11"/>
      <name val="Arial"/>
      <family val="2"/>
    </font>
    <font>
      <sz val="12"/>
      <color rgb="FFFF00FF"/>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1">
    <xf numFmtId="0" fontId="0" fillId="0" borderId="0" xfId="0"/>
    <xf numFmtId="0" fontId="3" fillId="0" borderId="0" xfId="1" applyFont="1" applyFill="1" applyAlignment="1" applyProtection="1">
      <alignment horizontal="centerContinuous"/>
      <protection locked="0"/>
    </xf>
    <xf numFmtId="0" fontId="2" fillId="0" borderId="0" xfId="1" applyFont="1" applyFill="1" applyAlignment="1" applyProtection="1">
      <alignment horizontal="left"/>
      <protection locked="0"/>
    </xf>
    <xf numFmtId="5" fontId="3" fillId="0" borderId="7" xfId="1" applyNumberFormat="1" applyFont="1" applyFill="1" applyBorder="1" applyAlignment="1" applyProtection="1">
      <alignment horizontal="centerContinuous"/>
      <protection locked="0"/>
    </xf>
    <xf numFmtId="5" fontId="3" fillId="2" borderId="2"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wrapText="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2" fillId="0" borderId="4"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5" fontId="2" fillId="0" borderId="14" xfId="1" applyNumberFormat="1" applyFont="1" applyFill="1" applyBorder="1" applyAlignment="1" applyProtection="1">
      <protection locked="0"/>
    </xf>
    <xf numFmtId="5" fontId="2" fillId="0" borderId="15" xfId="1" applyNumberFormat="1" applyFont="1" applyFill="1" applyBorder="1" applyAlignment="1" applyProtection="1">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2" borderId="14"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wrapText="1"/>
      <protection locked="0"/>
    </xf>
    <xf numFmtId="0" fontId="4"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164" fontId="2" fillId="0" borderId="0" xfId="2" applyNumberFormat="1" applyFont="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protection locked="0"/>
    </xf>
    <xf numFmtId="164" fontId="3" fillId="0" borderId="12" xfId="5" applyNumberFormat="1" applyFont="1" applyFill="1" applyBorder="1" applyAlignment="1" applyProtection="1">
      <alignment horizontal="right" indent="1"/>
      <protection locked="0"/>
    </xf>
    <xf numFmtId="164" fontId="2" fillId="0" borderId="0" xfId="5" applyNumberFormat="1" applyFont="1" applyFill="1" applyBorder="1" applyAlignment="1" applyProtection="1">
      <protection locked="0"/>
    </xf>
    <xf numFmtId="0" fontId="3" fillId="2" borderId="12" xfId="1" applyFont="1" applyFill="1" applyBorder="1" applyAlignment="1" applyProtection="1">
      <alignment horizontal="centerContinuous"/>
      <protection locked="0"/>
    </xf>
    <xf numFmtId="0" fontId="3" fillId="2" borderId="13" xfId="1" applyFont="1" applyFill="1" applyBorder="1" applyAlignment="1" applyProtection="1">
      <alignment horizontal="centerContinuous"/>
      <protection locked="0"/>
    </xf>
    <xf numFmtId="5" fontId="3" fillId="2" borderId="11" xfId="1" applyNumberFormat="1" applyFont="1" applyFill="1" applyBorder="1" applyAlignment="1" applyProtection="1">
      <alignment horizontal="centerContinuous"/>
      <protection locked="0"/>
    </xf>
    <xf numFmtId="5" fontId="3" fillId="2" borderId="12" xfId="1" applyNumberFormat="1" applyFont="1" applyFill="1" applyBorder="1" applyAlignment="1" applyProtection="1">
      <alignment horizontal="centerContinuous"/>
      <protection locked="0"/>
    </xf>
    <xf numFmtId="5" fontId="3" fillId="2"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164" fontId="3" fillId="0" borderId="28"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alignment horizontal="right" indent="1"/>
      <protection locked="0"/>
    </xf>
    <xf numFmtId="164" fontId="2" fillId="0" borderId="25"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protection locked="0"/>
    </xf>
    <xf numFmtId="164" fontId="2" fillId="0" borderId="25" xfId="5" applyNumberFormat="1" applyFont="1" applyFill="1" applyBorder="1" applyAlignment="1" applyProtection="1">
      <protection locked="0"/>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2" fillId="0" borderId="0" xfId="1" applyNumberFormat="1" applyFont="1" applyAlignment="1" applyProtection="1">
      <protection locked="0"/>
    </xf>
    <xf numFmtId="5" fontId="6" fillId="0" borderId="0" xfId="1" applyNumberFormat="1" applyFont="1" applyFill="1" applyBorder="1" applyAlignment="1" applyProtection="1">
      <protection locked="0"/>
    </xf>
    <xf numFmtId="0" fontId="2" fillId="0" borderId="7" xfId="1" applyFont="1" applyFill="1" applyBorder="1" applyAlignment="1" applyProtection="1">
      <alignment horizontal="left"/>
      <protection locked="0"/>
    </xf>
    <xf numFmtId="5" fontId="3" fillId="0" borderId="18" xfId="1" applyNumberFormat="1" applyFont="1" applyFill="1" applyBorder="1" applyAlignment="1" applyProtection="1">
      <protection locked="0"/>
    </xf>
    <xf numFmtId="5" fontId="3" fillId="0" borderId="17" xfId="1" applyNumberFormat="1" applyFont="1" applyFill="1" applyBorder="1" applyAlignment="1" applyProtection="1">
      <protection locked="0"/>
    </xf>
    <xf numFmtId="164" fontId="3" fillId="0" borderId="17" xfId="5" applyNumberFormat="1" applyFont="1" applyFill="1" applyBorder="1" applyAlignment="1" applyProtection="1">
      <protection locked="0"/>
    </xf>
    <xf numFmtId="5" fontId="2" fillId="0" borderId="4" xfId="4" applyNumberFormat="1" applyFont="1" applyFill="1" applyBorder="1" applyAlignment="1" applyProtection="1">
      <protection locked="0"/>
    </xf>
    <xf numFmtId="164" fontId="3" fillId="0" borderId="24" xfId="5"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14" xfId="4" applyNumberFormat="1" applyFont="1" applyFill="1" applyBorder="1" applyAlignment="1" applyProtection="1">
      <protection locked="0"/>
    </xf>
    <xf numFmtId="5" fontId="2" fillId="0" borderId="15" xfId="4" applyNumberFormat="1" applyFont="1" applyFill="1" applyBorder="1" applyAlignment="1" applyProtection="1">
      <protection locked="0"/>
    </xf>
    <xf numFmtId="0" fontId="2" fillId="0" borderId="6" xfId="1" applyFont="1" applyFill="1" applyBorder="1" applyProtection="1">
      <protection locked="0"/>
    </xf>
    <xf numFmtId="0" fontId="4" fillId="0" borderId="12" xfId="1" applyFont="1" applyFill="1" applyBorder="1" applyAlignment="1" applyProtection="1">
      <protection locked="0"/>
    </xf>
    <xf numFmtId="0" fontId="4" fillId="0" borderId="13" xfId="1" applyFont="1" applyFill="1" applyBorder="1" applyAlignment="1" applyProtection="1">
      <protection locked="0"/>
    </xf>
    <xf numFmtId="0" fontId="3" fillId="0" borderId="29" xfId="1" applyFont="1" applyFill="1" applyBorder="1" applyAlignment="1" applyProtection="1">
      <alignment horizontal="left"/>
      <protection locked="0"/>
    </xf>
    <xf numFmtId="164" fontId="2" fillId="0" borderId="15" xfId="5" applyNumberFormat="1" applyFont="1" applyFill="1" applyBorder="1" applyAlignment="1" applyProtection="1">
      <protection locked="0"/>
    </xf>
    <xf numFmtId="5" fontId="8" fillId="0" borderId="0" xfId="1" applyNumberFormat="1" applyFont="1" applyAlignment="1" applyProtection="1">
      <protection locked="0"/>
    </xf>
    <xf numFmtId="0" fontId="9" fillId="0" borderId="0" xfId="1" applyFont="1" applyFill="1" applyAlignment="1" applyProtection="1">
      <protection locked="0"/>
    </xf>
    <xf numFmtId="49" fontId="8" fillId="0" borderId="0" xfId="1" applyNumberFormat="1" applyFont="1" applyFill="1" applyAlignment="1" applyProtection="1">
      <alignment horizontal="left"/>
      <protection locked="0"/>
    </xf>
    <xf numFmtId="164" fontId="8" fillId="0" borderId="0" xfId="2" applyNumberFormat="1" applyFont="1" applyAlignment="1" applyProtection="1">
      <protection locked="0"/>
    </xf>
    <xf numFmtId="0" fontId="8" fillId="0" borderId="0" xfId="1" applyFont="1" applyFill="1" applyProtection="1">
      <protection locked="0"/>
    </xf>
    <xf numFmtId="0" fontId="7" fillId="0" borderId="0" xfId="1" applyFont="1" applyProtection="1">
      <protection locked="0"/>
    </xf>
    <xf numFmtId="5" fontId="7" fillId="0" borderId="0" xfId="1" applyNumberFormat="1" applyFont="1" applyAlignment="1" applyProtection="1">
      <protection locked="0"/>
    </xf>
    <xf numFmtId="0" fontId="8" fillId="0" borderId="0" xfId="1" applyFont="1" applyAlignment="1" applyProtection="1">
      <protection locked="0"/>
    </xf>
    <xf numFmtId="0" fontId="6" fillId="0" borderId="0" xfId="1" applyFont="1" applyProtection="1">
      <protection locked="0"/>
    </xf>
    <xf numFmtId="5" fontId="6" fillId="0" borderId="0" xfId="1" applyNumberFormat="1" applyFont="1" applyAlignment="1" applyProtection="1">
      <protection locked="0"/>
    </xf>
    <xf numFmtId="164" fontId="3" fillId="2" borderId="30" xfId="2" applyNumberFormat="1" applyFont="1" applyFill="1" applyBorder="1" applyAlignment="1" applyProtection="1">
      <alignment horizontal="center"/>
      <protection locked="0"/>
    </xf>
    <xf numFmtId="164" fontId="3" fillId="2" borderId="25" xfId="2" applyNumberFormat="1" applyFont="1" applyFill="1" applyBorder="1" applyAlignment="1" applyProtection="1">
      <alignment horizontal="center"/>
      <protection locked="0"/>
    </xf>
    <xf numFmtId="5" fontId="2" fillId="0" borderId="0" xfId="1" applyNumberFormat="1" applyFont="1" applyAlignment="1" applyProtection="1">
      <protection hidden="1"/>
    </xf>
    <xf numFmtId="0" fontId="2" fillId="0" borderId="0" xfId="1" applyFont="1" applyAlignment="1" applyProtection="1">
      <alignment horizontal="left"/>
      <protection hidden="1"/>
    </xf>
    <xf numFmtId="0" fontId="2" fillId="0" borderId="0" xfId="1" applyFont="1" applyProtection="1">
      <protection hidden="1"/>
    </xf>
    <xf numFmtId="164" fontId="2" fillId="0" borderId="0" xfId="2" applyNumberFormat="1" applyFont="1" applyProtection="1">
      <protection hidden="1"/>
    </xf>
    <xf numFmtId="0" fontId="11" fillId="0" borderId="0" xfId="1" applyFont="1" applyFill="1" applyBorder="1" applyAlignment="1" applyProtection="1">
      <alignment horizontal="left" indent="3"/>
      <protection locked="0"/>
    </xf>
    <xf numFmtId="164" fontId="6" fillId="0" borderId="0" xfId="5" applyNumberFormat="1" applyFont="1" applyFill="1" applyBorder="1" applyAlignment="1" applyProtection="1">
      <protection locked="0"/>
    </xf>
    <xf numFmtId="5" fontId="6" fillId="0" borderId="0" xfId="4" applyNumberFormat="1" applyFont="1" applyFill="1" applyBorder="1" applyAlignment="1" applyProtection="1">
      <protection locked="0"/>
    </xf>
    <xf numFmtId="49" fontId="6" fillId="0" borderId="0" xfId="1" applyNumberFormat="1" applyFont="1" applyFill="1" applyAlignment="1" applyProtection="1">
      <protection locked="0"/>
    </xf>
    <xf numFmtId="5" fontId="8" fillId="0" borderId="0" xfId="1" applyNumberFormat="1" applyFont="1" applyFill="1" applyAlignment="1" applyProtection="1">
      <alignment horizontal="left"/>
      <protection locked="0"/>
    </xf>
    <xf numFmtId="0" fontId="2" fillId="0" borderId="0" xfId="1" applyFont="1" applyFill="1" applyProtection="1">
      <protection locked="0" hidden="1"/>
    </xf>
    <xf numFmtId="0" fontId="2" fillId="0" borderId="0" xfId="1" applyFont="1" applyProtection="1">
      <protection locked="0" hidden="1"/>
    </xf>
    <xf numFmtId="0" fontId="3" fillId="0" borderId="0" xfId="1" applyFont="1" applyFill="1" applyProtection="1">
      <protection locked="0" hidden="1"/>
    </xf>
    <xf numFmtId="0" fontId="3" fillId="0" borderId="0" xfId="1" applyFont="1" applyProtection="1">
      <protection locked="0" hidden="1"/>
    </xf>
    <xf numFmtId="0" fontId="2" fillId="0" borderId="0" xfId="1" applyFont="1" applyFill="1" applyBorder="1" applyProtection="1">
      <protection locked="0" hidden="1"/>
    </xf>
    <xf numFmtId="0" fontId="2" fillId="0" borderId="0" xfId="1" applyFont="1" applyFill="1" applyAlignment="1" applyProtection="1">
      <alignment vertical="center"/>
      <protection locked="0" hidden="1"/>
    </xf>
    <xf numFmtId="0" fontId="2" fillId="0" borderId="0" xfId="1" applyFont="1" applyAlignment="1" applyProtection="1">
      <alignment vertical="center"/>
      <protection locked="0" hidden="1"/>
    </xf>
    <xf numFmtId="165" fontId="3" fillId="0" borderId="0" xfId="1" applyNumberFormat="1" applyFont="1" applyFill="1" applyBorder="1" applyProtection="1">
      <protection locked="0" hidden="1"/>
    </xf>
    <xf numFmtId="0" fontId="8" fillId="0" borderId="0" xfId="1" applyFont="1" applyFill="1" applyProtection="1">
      <protection locked="0" hidden="1"/>
    </xf>
    <xf numFmtId="0" fontId="8" fillId="0" borderId="0" xfId="1" applyFont="1" applyProtection="1">
      <protection locked="0" hidden="1"/>
    </xf>
    <xf numFmtId="0" fontId="6" fillId="0" borderId="0" xfId="1" applyFont="1" applyFill="1" applyBorder="1" applyProtection="1">
      <protection locked="0" hidden="1"/>
    </xf>
    <xf numFmtId="0" fontId="6" fillId="0" borderId="0" xfId="1" applyFont="1" applyFill="1" applyProtection="1">
      <protection locked="0" hidden="1"/>
    </xf>
    <xf numFmtId="0" fontId="6" fillId="0" borderId="0" xfId="1" applyFont="1" applyProtection="1">
      <protection locked="0" hidden="1"/>
    </xf>
    <xf numFmtId="164" fontId="2" fillId="0" borderId="16" xfId="5" applyNumberFormat="1" applyFont="1" applyFill="1" applyBorder="1" applyAlignment="1" applyProtection="1">
      <protection locked="0"/>
    </xf>
    <xf numFmtId="164" fontId="3" fillId="0" borderId="18"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9" xfId="5" applyNumberFormat="1" applyFont="1" applyFill="1" applyBorder="1" applyProtection="1">
      <protection locked="0"/>
    </xf>
    <xf numFmtId="164" fontId="2" fillId="0" borderId="3" xfId="5" applyNumberFormat="1" applyFont="1" applyFill="1" applyBorder="1" applyAlignment="1" applyProtection="1">
      <alignment horizontal="right" indent="1"/>
      <protection locked="0"/>
    </xf>
    <xf numFmtId="164" fontId="2" fillId="0" borderId="16" xfId="5" applyNumberFormat="1" applyFont="1" applyFill="1" applyBorder="1" applyAlignment="1" applyProtection="1">
      <alignment horizontal="right" indent="1"/>
      <protection locked="0"/>
    </xf>
    <xf numFmtId="164" fontId="3" fillId="0" borderId="19" xfId="5" applyNumberFormat="1" applyFont="1" applyFill="1" applyBorder="1" applyAlignment="1" applyProtection="1">
      <alignment horizontal="right" indent="1"/>
      <protection locked="0"/>
    </xf>
    <xf numFmtId="0" fontId="4" fillId="0" borderId="4"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4" fillId="0" borderId="26" xfId="1" applyFont="1" applyFill="1" applyBorder="1" applyAlignment="1" applyProtection="1">
      <protection locked="0"/>
    </xf>
    <xf numFmtId="0" fontId="3" fillId="2" borderId="11" xfId="1" applyFont="1" applyFill="1" applyBorder="1" applyAlignment="1" applyProtection="1">
      <alignment horizontal="centerContinuous"/>
      <protection locked="0"/>
    </xf>
    <xf numFmtId="0" fontId="3" fillId="2" borderId="16" xfId="1" applyFont="1" applyFill="1" applyBorder="1" applyAlignment="1" applyProtection="1">
      <alignment horizontal="center"/>
      <protection locked="0"/>
    </xf>
    <xf numFmtId="0" fontId="3" fillId="2" borderId="15" xfId="1" applyFont="1" applyFill="1" applyBorder="1" applyAlignment="1" applyProtection="1">
      <alignment horizontal="center"/>
      <protection locked="0"/>
    </xf>
    <xf numFmtId="164" fontId="2" fillId="0" borderId="14" xfId="5" applyNumberFormat="1" applyFont="1" applyFill="1" applyBorder="1" applyAlignment="1" applyProtection="1">
      <protection locked="0"/>
    </xf>
    <xf numFmtId="164" fontId="2" fillId="0" borderId="3" xfId="3" applyNumberFormat="1" applyFont="1" applyFill="1" applyBorder="1" applyAlignment="1" applyProtection="1">
      <alignment horizontal="right" indent="1"/>
      <protection locked="0"/>
    </xf>
    <xf numFmtId="164" fontId="2" fillId="0" borderId="16" xfId="3" applyNumberFormat="1" applyFont="1" applyFill="1" applyBorder="1" applyAlignment="1" applyProtection="1">
      <alignment horizontal="right" indent="1"/>
      <protection locked="0"/>
    </xf>
    <xf numFmtId="5" fontId="3" fillId="0" borderId="15" xfId="1" applyNumberFormat="1" applyFont="1" applyFill="1" applyBorder="1" applyAlignment="1" applyProtection="1">
      <protection locked="0"/>
    </xf>
    <xf numFmtId="0" fontId="2" fillId="0" borderId="0" xfId="1" applyFont="1" applyFill="1" applyAlignment="1" applyProtection="1">
      <alignment horizontal="centerContinuous"/>
      <protection locked="0"/>
    </xf>
    <xf numFmtId="5" fontId="2" fillId="0" borderId="0" xfId="2" applyNumberFormat="1" applyFont="1" applyFill="1" applyAlignment="1" applyProtection="1">
      <alignment horizontal="centerContinuous"/>
      <protection locked="0"/>
    </xf>
    <xf numFmtId="5" fontId="2" fillId="0" borderId="0" xfId="1" applyNumberFormat="1" applyFont="1" applyFill="1" applyAlignment="1" applyProtection="1">
      <alignment horizontal="centerContinuous"/>
      <protection locked="0"/>
    </xf>
    <xf numFmtId="164" fontId="2" fillId="0" borderId="0" xfId="2" applyNumberFormat="1" applyFont="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3" fillId="2" borderId="33" xfId="1" applyNumberFormat="1" applyFont="1" applyFill="1" applyBorder="1" applyAlignment="1" applyProtection="1">
      <alignment horizontal="center"/>
      <protection locked="0"/>
    </xf>
    <xf numFmtId="0" fontId="3" fillId="2" borderId="34" xfId="1" applyNumberFormat="1" applyFont="1" applyFill="1" applyBorder="1" applyAlignment="1" applyProtection="1">
      <alignment horizontal="center"/>
      <protection locked="0"/>
    </xf>
    <xf numFmtId="0" fontId="3" fillId="2" borderId="34" xfId="1" applyNumberFormat="1" applyFont="1" applyFill="1" applyBorder="1" applyAlignment="1" applyProtection="1">
      <protection locked="0"/>
    </xf>
    <xf numFmtId="5" fontId="3" fillId="2" borderId="32"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wrapText="1"/>
      <protection locked="0"/>
    </xf>
    <xf numFmtId="0" fontId="3" fillId="2" borderId="21"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wrapText="1"/>
      <protection locked="0"/>
    </xf>
    <xf numFmtId="5" fontId="3" fillId="2" borderId="33" xfId="1" applyNumberFormat="1" applyFont="1" applyFill="1" applyBorder="1" applyAlignment="1" applyProtection="1">
      <alignment horizontal="center"/>
      <protection locked="0"/>
    </xf>
    <xf numFmtId="164" fontId="3" fillId="2" borderId="35" xfId="2" applyNumberFormat="1" applyFont="1" applyFill="1" applyBorder="1" applyAlignment="1" applyProtection="1">
      <alignment horizontal="center"/>
      <protection locked="0"/>
    </xf>
    <xf numFmtId="0" fontId="2" fillId="0" borderId="11" xfId="1" applyNumberFormat="1" applyFont="1" applyBorder="1" applyAlignment="1" applyProtection="1">
      <alignment horizontal="left"/>
      <protection locked="0"/>
    </xf>
    <xf numFmtId="0" fontId="3" fillId="0" borderId="12" xfId="1" applyNumberFormat="1" applyFont="1" applyBorder="1" applyAlignment="1" applyProtection="1">
      <protection locked="0"/>
    </xf>
    <xf numFmtId="0" fontId="2" fillId="0" borderId="33" xfId="1" applyNumberFormat="1" applyFont="1" applyBorder="1" applyAlignment="1" applyProtection="1">
      <alignment horizontal="left"/>
      <protection locked="0"/>
    </xf>
    <xf numFmtId="0" fontId="2" fillId="0" borderId="34" xfId="1" applyNumberFormat="1" applyFont="1" applyBorder="1" applyAlignment="1" applyProtection="1">
      <alignment horizontal="left"/>
      <protection locked="0"/>
    </xf>
    <xf numFmtId="0" fontId="2" fillId="0" borderId="34" xfId="1" applyNumberFormat="1" applyFont="1" applyBorder="1" applyAlignment="1" applyProtection="1">
      <protection locked="0"/>
    </xf>
    <xf numFmtId="0" fontId="3" fillId="0" borderId="12" xfId="1" applyNumberFormat="1" applyFont="1" applyBorder="1" applyAlignment="1" applyProtection="1">
      <alignment horizontal="left"/>
      <protection locked="0"/>
    </xf>
    <xf numFmtId="0" fontId="2" fillId="0" borderId="12" xfId="1" applyNumberFormat="1" applyFont="1" applyBorder="1" applyAlignment="1" applyProtection="1">
      <protection locked="0"/>
    </xf>
    <xf numFmtId="0" fontId="2" fillId="0" borderId="11" xfId="1" applyNumberFormat="1" applyFont="1" applyBorder="1" applyAlignment="1" applyProtection="1">
      <alignment horizontal="left" vertical="center"/>
      <protection locked="0"/>
    </xf>
    <xf numFmtId="0" fontId="3" fillId="0" borderId="12" xfId="1" applyNumberFormat="1" applyFont="1" applyBorder="1" applyAlignment="1" applyProtection="1">
      <alignment vertical="center"/>
      <protection locked="0"/>
    </xf>
    <xf numFmtId="0" fontId="2" fillId="0" borderId="12" xfId="1" applyNumberFormat="1" applyFont="1" applyBorder="1" applyAlignment="1" applyProtection="1">
      <alignment vertical="center"/>
      <protection locked="0"/>
    </xf>
    <xf numFmtId="0" fontId="2" fillId="0" borderId="11" xfId="1" applyNumberFormat="1" applyFont="1" applyBorder="1" applyAlignment="1" applyProtection="1">
      <alignment horizontal="left" vertical="center" wrapText="1"/>
      <protection locked="0"/>
    </xf>
    <xf numFmtId="165" fontId="3" fillId="0" borderId="11" xfId="1" applyNumberFormat="1" applyFont="1" applyBorder="1" applyAlignment="1" applyProtection="1">
      <alignment horizontal="left"/>
      <protection locked="0"/>
    </xf>
    <xf numFmtId="165" fontId="3" fillId="0" borderId="12" xfId="1" applyNumberFormat="1" applyFont="1" applyBorder="1" applyAlignment="1" applyProtection="1">
      <protection locked="0"/>
    </xf>
    <xf numFmtId="165" fontId="3" fillId="0" borderId="12" xfId="1" applyNumberFormat="1" applyFont="1" applyBorder="1" applyAlignment="1" applyProtection="1">
      <alignment horizontal="left" indent="3"/>
      <protection locked="0"/>
    </xf>
    <xf numFmtId="5" fontId="2" fillId="0" borderId="22" xfId="4" applyNumberFormat="1" applyFont="1" applyFill="1" applyBorder="1" applyAlignment="1" applyProtection="1">
      <protection locked="0"/>
    </xf>
    <xf numFmtId="164" fontId="2" fillId="0" borderId="22" xfId="5" applyNumberFormat="1" applyFont="1" applyFill="1" applyBorder="1" applyAlignment="1" applyProtection="1">
      <protection locked="0"/>
    </xf>
    <xf numFmtId="165" fontId="3" fillId="0" borderId="34" xfId="1" applyNumberFormat="1" applyFont="1" applyBorder="1" applyAlignment="1" applyProtection="1">
      <alignment horizontal="left" indent="3"/>
      <protection locked="0"/>
    </xf>
    <xf numFmtId="5" fontId="2" fillId="0" borderId="23" xfId="4" applyNumberFormat="1" applyFont="1" applyFill="1" applyBorder="1" applyAlignment="1" applyProtection="1">
      <protection locked="0"/>
    </xf>
    <xf numFmtId="164" fontId="2" fillId="0" borderId="23" xfId="5" applyNumberFormat="1" applyFont="1" applyFill="1" applyBorder="1" applyAlignment="1" applyProtection="1">
      <protection locked="0"/>
    </xf>
    <xf numFmtId="0" fontId="2" fillId="0" borderId="32" xfId="1" applyNumberFormat="1" applyFont="1" applyBorder="1" applyAlignment="1" applyProtection="1">
      <alignment horizontal="left"/>
      <protection locked="0"/>
    </xf>
    <xf numFmtId="0" fontId="2" fillId="0" borderId="21" xfId="1" applyNumberFormat="1" applyFont="1" applyBorder="1" applyAlignment="1" applyProtection="1">
      <protection locked="0"/>
    </xf>
    <xf numFmtId="0" fontId="3" fillId="0" borderId="21" xfId="1" applyNumberFormat="1" applyFont="1" applyBorder="1" applyAlignment="1" applyProtection="1">
      <alignment horizontal="left" indent="3"/>
      <protection locked="0"/>
    </xf>
    <xf numFmtId="0" fontId="11" fillId="0" borderId="0" xfId="1" applyFont="1" applyFill="1" applyAlignment="1" applyProtection="1">
      <alignment horizontal="left"/>
      <protection locked="0"/>
    </xf>
    <xf numFmtId="0" fontId="6" fillId="0" borderId="0" xfId="1" applyFont="1" applyFill="1" applyProtection="1">
      <protection locked="0"/>
    </xf>
    <xf numFmtId="0" fontId="7" fillId="0" borderId="0" xfId="1" applyFont="1" applyFill="1" applyProtection="1">
      <protection locked="0"/>
    </xf>
    <xf numFmtId="49" fontId="6" fillId="0" borderId="0" xfId="1" applyNumberFormat="1" applyFont="1" applyFill="1" applyAlignment="1" applyProtection="1">
      <alignment horizontal="left"/>
      <protection locked="0"/>
    </xf>
    <xf numFmtId="0" fontId="6" fillId="0" borderId="0" xfId="1" applyFont="1" applyAlignment="1" applyProtection="1">
      <alignment horizontal="left"/>
      <protection locked="0"/>
    </xf>
    <xf numFmtId="0" fontId="2" fillId="0" borderId="0" xfId="1" applyFont="1" applyFill="1" applyProtection="1">
      <protection locked="0"/>
    </xf>
    <xf numFmtId="5" fontId="2" fillId="0" borderId="0" xfId="2" applyNumberFormat="1" applyFont="1" applyFill="1" applyAlignment="1" applyProtection="1">
      <protection locked="0"/>
    </xf>
    <xf numFmtId="5" fontId="2" fillId="0" borderId="0" xfId="1" applyNumberFormat="1" applyFont="1" applyFill="1" applyAlignment="1" applyProtection="1">
      <protection locked="0"/>
    </xf>
    <xf numFmtId="164" fontId="2" fillId="0" borderId="0" xfId="2" applyNumberFormat="1" applyFont="1" applyProtection="1">
      <protection locked="0"/>
    </xf>
    <xf numFmtId="0" fontId="3" fillId="2" borderId="36"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wrapText="1"/>
      <protection locked="0"/>
    </xf>
    <xf numFmtId="0" fontId="3" fillId="2" borderId="31" xfId="1" applyNumberFormat="1" applyFont="1" applyFill="1" applyBorder="1" applyAlignment="1" applyProtection="1">
      <alignment horizontal="center"/>
      <protection locked="0"/>
    </xf>
    <xf numFmtId="0" fontId="11" fillId="0" borderId="0" xfId="1" applyFont="1" applyFill="1" applyBorder="1" applyAlignment="1" applyProtection="1">
      <alignment horizontal="left"/>
      <protection locked="0"/>
    </xf>
    <xf numFmtId="0" fontId="6" fillId="0" borderId="0" xfId="1" applyFont="1" applyFill="1" applyBorder="1" applyProtection="1">
      <protection locked="0"/>
    </xf>
    <xf numFmtId="0" fontId="10" fillId="0" borderId="0" xfId="1" applyFont="1" applyFill="1" applyAlignment="1" applyProtection="1">
      <alignment horizontal="right"/>
      <protection locked="0"/>
    </xf>
    <xf numFmtId="0" fontId="2" fillId="0" borderId="6" xfId="1" applyFont="1" applyFill="1" applyBorder="1" applyAlignment="1" applyProtection="1">
      <alignment horizontal="left"/>
      <protection locked="0"/>
    </xf>
    <xf numFmtId="5" fontId="2" fillId="0" borderId="6" xfId="1" applyNumberFormat="1" applyFont="1" applyFill="1" applyBorder="1" applyAlignment="1" applyProtection="1">
      <protection locked="0"/>
    </xf>
    <xf numFmtId="164" fontId="2" fillId="0" borderId="5" xfId="2" applyNumberFormat="1" applyFont="1" applyBorder="1" applyProtection="1">
      <protection locked="0"/>
    </xf>
    <xf numFmtId="165" fontId="6" fillId="0" borderId="0" xfId="1" applyNumberFormat="1" applyFont="1" applyFill="1" applyAlignment="1" applyProtection="1">
      <alignment horizontal="left"/>
      <protection locked="0"/>
    </xf>
    <xf numFmtId="0" fontId="2" fillId="0" borderId="0" xfId="1" applyFont="1" applyProtection="1">
      <protection locked="0"/>
    </xf>
    <xf numFmtId="0" fontId="2" fillId="0" borderId="0" xfId="1" applyFont="1" applyFill="1" applyProtection="1">
      <protection hidden="1"/>
    </xf>
    <xf numFmtId="0" fontId="6" fillId="0" borderId="0" xfId="1" applyFont="1" applyAlignment="1" applyProtection="1">
      <alignment horizontal="left"/>
      <protection hidden="1"/>
    </xf>
    <xf numFmtId="5" fontId="12" fillId="0" borderId="0" xfId="1" applyNumberFormat="1" applyFont="1" applyAlignment="1" applyProtection="1">
      <protection locked="0"/>
    </xf>
    <xf numFmtId="1" fontId="2" fillId="0" borderId="23" xfId="4" applyNumberFormat="1" applyFont="1" applyFill="1" applyBorder="1" applyAlignment="1" applyProtection="1">
      <protection locked="0"/>
    </xf>
    <xf numFmtId="1" fontId="2" fillId="0" borderId="14" xfId="1" applyNumberFormat="1" applyFont="1" applyFill="1" applyBorder="1" applyAlignment="1" applyProtection="1">
      <protection locked="0"/>
    </xf>
    <xf numFmtId="0" fontId="6" fillId="0" borderId="0" xfId="5" applyNumberFormat="1" applyFont="1" applyFill="1" applyBorder="1" applyAlignment="1" applyProtection="1">
      <protection locked="0"/>
    </xf>
  </cellXfs>
  <cellStyles count="6">
    <cellStyle name="Comma" xfId="5" builtinId="3"/>
    <cellStyle name="Comma 17 7 2" xfId="2" xr:uid="{00000000-0005-0000-0000-000001000000}"/>
    <cellStyle name="Comma 2" xfId="3" xr:uid="{00000000-0005-0000-0000-000002000000}"/>
    <cellStyle name="Currency 10 7 2" xfId="4" xr:uid="{00000000-0005-0000-0000-000003000000}"/>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revisionHeaders" Target="revisions/revisionHeaders.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83"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S"/>
      <sheetName val="HS Copy LAW"/>
      <sheetName val="HS (2)"/>
      <sheetName val="hiddenSheet"/>
      <sheetName val="Sum with Factors"/>
      <sheetName val="Defined Input Options"/>
      <sheetName val="Dropdown_Ctrls"/>
      <sheetName val="Options"/>
      <sheetName val="RDO_Non-Expansion_PH COAs"/>
      <sheetName val="B - Medi-Cal Income Statement"/>
      <sheetName val="Rating Regions by HP"/>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s>
    <sheetDataSet>
      <sheetData sheetId="0" refreshError="1">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3" Type="http://schemas.openxmlformats.org/officeDocument/2006/relationships/revisionLog" Target="revisionLog3.xml"/><Relationship Id="rId7" Type="http://schemas.openxmlformats.org/officeDocument/2006/relationships/revisionLog" Target="revisionLog7.xml"/><Relationship Id="rId2" Type="http://schemas.openxmlformats.org/officeDocument/2006/relationships/revisionLog" Target="revisionLog2.xml"/><Relationship Id="rId1" Type="http://schemas.openxmlformats.org/officeDocument/2006/relationships/revisionLog" Target="revisionLog1.xml"/><Relationship Id="rId6" Type="http://schemas.openxmlformats.org/officeDocument/2006/relationships/revisionLog" Target="revisionLog6.xml"/><Relationship Id="rId5" Type="http://schemas.openxmlformats.org/officeDocument/2006/relationships/revisionLog" Target="revisionLog5.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38DBB5C-D333-4CD6-A14B-0A502F5340BB}" diskRevisions="1" revisionId="35" version="5">
  <header guid="{179CFADC-FD4B-4F5B-9969-418A5C30AA8E}" dateTime="2023-05-09T15:43:07" maxSheetId="2" userName="Ly, Cang@DHCS" r:id="rId1">
    <sheetIdMap count="1">
      <sheetId val="1"/>
    </sheetIdMap>
  </header>
  <header guid="{8B0E0FFC-5B83-41D5-BAE1-431619E1B8BD}" dateTime="2023-05-09T16:59:52" maxSheetId="2" userName="Wollenberger, Louis@DHCS" r:id="rId2" minRId="1" maxRId="5">
    <sheetIdMap count="1">
      <sheetId val="1"/>
    </sheetIdMap>
  </header>
  <header guid="{46050C9A-44D8-461D-9EDE-0576ECF23247}" dateTime="2023-05-09T20:51:13" maxSheetId="3" userName="Bui, My-Ai (FF)@DHCS" r:id="rId3" minRId="10" maxRId="11">
    <sheetIdMap count="2">
      <sheetId val="1"/>
      <sheetId val="2"/>
    </sheetIdMap>
  </header>
  <header guid="{5E812705-4084-43A6-863F-AF65CCABA45B}" dateTime="2023-05-10T07:22:33" maxSheetId="3" userName="Ly, Cang@DHCS" r:id="rId4">
    <sheetIdMap count="2">
      <sheetId val="1"/>
      <sheetId val="2"/>
    </sheetIdMap>
  </header>
  <header guid="{0958925D-0515-4853-A26D-850D6EF124E9}" dateTime="2023-05-11T09:35:12" maxSheetId="3" userName="Ly, Cang@DHCS" r:id="rId5">
    <sheetIdMap count="2">
      <sheetId val="1"/>
      <sheetId val="2"/>
    </sheetIdMap>
  </header>
  <header guid="{8E76AD0A-7310-4177-B21A-8D2566677B03}" dateTime="2023-05-11T09:37:01" maxSheetId="3" userName="Ly, Cang@DHCS" r:id="rId6">
    <sheetIdMap count="2">
      <sheetId val="1"/>
      <sheetId val="2"/>
    </sheetIdMap>
  </header>
  <header guid="{78C9A7C1-6D4B-4103-A786-AFC72F6CF7C3}" dateTime="2023-05-11T10:51:51" maxSheetId="3" userName="Stacey, Erik@DHCS" r:id="rId7">
    <sheetIdMap count="2">
      <sheetId val="1"/>
      <sheetId val="2"/>
    </sheetIdMap>
  </header>
  <header guid="{338DBB5C-D333-4CD6-A14B-0A502F5340BB}" dateTime="2023-05-11T10:53:13" maxSheetId="3" userName="Stacey, Erik@DHCS" r:id="rId8">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1" name="_AMO_UniqueIdentifier" oldHidden="1">
    <oldFormula>"'288d8ab6-f140-4796-96b9-7a5e7d0c1258'"</oldFormula>
  </rdn>
  <rcc rId="2" sId="1" numFmtId="11">
    <oc r="M57">
      <v>2664</v>
    </oc>
    <nc r="M57">
      <v>2662</v>
    </nc>
  </rcc>
  <rcc rId="3" sId="1" numFmtId="11">
    <oc r="M58">
      <v>4298</v>
    </oc>
    <nc r="M58">
      <v>4296</v>
    </nc>
  </rcc>
  <rcc rId="4" sId="1" numFmtId="11">
    <oc r="K58">
      <v>476</v>
    </oc>
    <nc r="K58">
      <v>478</v>
    </nc>
  </rcc>
  <rcc rId="5" sId="1" numFmtId="11">
    <oc r="K60">
      <v>1</v>
    </oc>
    <nc r="K60">
      <v>0</v>
    </nc>
  </rcc>
  <rdn rId="0" localSheetId="1" customView="1" name="Z_B195B882_EE77_4420_89B8_1ACDC0879806_.wvu.PrintArea" hidden="1" oldHidden="1">
    <formula>'Supplemental Chart '!$A$1:$U$123</formula>
  </rdn>
  <rdn rId="0" localSheetId="1" customView="1" name="Z_B195B882_EE77_4420_89B8_1ACDC0879806_.wvu.PrintTitles" hidden="1" oldHidden="1">
    <formula>'Supplemental Chart '!$1:$4</formula>
  </rdn>
  <rdn rId="0" localSheetId="1" customView="1" name="Z_B195B882_EE77_4420_89B8_1ACDC0879806_.wvu.Rows" hidden="1" oldHidden="1">
    <formula>'Supplemental Chart '!$151:$1048576</formula>
  </rdn>
  <rdn rId="0" localSheetId="1" customView="1" name="Z_B195B882_EE77_4420_89B8_1ACDC0879806_.wvu.Cols" hidden="1" oldHidden="1">
    <formula>'Supplemental Chart '!$V:$XFD</formula>
  </rdn>
  <rcv guid="{B195B882-EE77-4420-89B8-1ACDC0879806}"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0" sheetId="2" name="[Copy of FFD-FY2324-DMCSupp-001-M23 from DOF 5.6.23_5-9.xlsx]Sheet1" sheetPosition="1"/>
  <rcc rId="11" sId="1" numFmtId="11">
    <oc r="K60">
      <v>0</v>
    </oc>
    <nc r="K60">
      <v>1</v>
    </nc>
  </rcc>
  <rdn rId="0" localSheetId="1" customView="1" name="Z_392D8166_AC0F_4A11_B402_FCAA1470FA29_.wvu.PrintArea" hidden="1" oldHidden="1">
    <formula>'Supplemental Chart '!$A$1:$U$123</formula>
  </rdn>
  <rdn rId="0" localSheetId="1" customView="1" name="Z_392D8166_AC0F_4A11_B402_FCAA1470FA29_.wvu.PrintTitles" hidden="1" oldHidden="1">
    <formula>'Supplemental Chart '!$1:$4</formula>
  </rdn>
  <rdn rId="0" localSheetId="1" customView="1" name="Z_392D8166_AC0F_4A11_B402_FCAA1470FA29_.wvu.Rows" hidden="1" oldHidden="1">
    <formula>'Supplemental Chart '!$151:$1048576</formula>
  </rdn>
  <rdn rId="0" localSheetId="1" customView="1" name="Z_392D8166_AC0F_4A11_B402_FCAA1470FA29_.wvu.Cols" hidden="1" oldHidden="1">
    <formula>'Supplemental Chart '!$V:$XFD</formula>
  </rdn>
  <rcv guid="{392D8166-AC0F-4A11-B402-FCAA1470FA29}"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K56:M64">
    <dxf>
      <fill>
        <patternFill patternType="none">
          <bgColor auto="1"/>
        </patternFill>
      </fill>
    </dxf>
  </rfmt>
  <rfmt sheetId="1" sqref="K99:M107">
    <dxf>
      <fill>
        <patternFill patternType="none">
          <bgColor auto="1"/>
        </patternFill>
      </fill>
    </dxf>
  </rfmt>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811B98-3CFA-41D4-AEE7-AE5AF87BA166}" action="delete"/>
  <rdn rId="0" localSheetId="1" customView="1" name="Z_2D811B98_3CFA_41D4_AEE7_AE5AF87BA166_.wvu.PrintArea" hidden="1" oldHidden="1">
    <formula>'Supplemental Chart '!$A$1:$U$123</formula>
    <oldFormula>'Supplemental Chart '!$A$1:$U$123</oldFormula>
  </rdn>
  <rdn rId="0" localSheetId="1" customView="1" name="Z_2D811B98_3CFA_41D4_AEE7_AE5AF87BA166_.wvu.PrintTitles" hidden="1" oldHidden="1">
    <formula>'Supplemental Chart '!$1:$4</formula>
    <oldFormula>'Supplemental Chart '!$1:$4</oldFormula>
  </rdn>
  <rdn rId="0" localSheetId="1" customView="1" name="Z_2D811B98_3CFA_41D4_AEE7_AE5AF87BA166_.wvu.Rows" hidden="1" oldHidden="1">
    <formula>'Supplemental Chart '!$151:$1048576</formula>
    <oldFormula>'Supplemental Chart '!$151:$1048576</oldFormula>
  </rdn>
  <rdn rId="0" localSheetId="1" customView="1" name="Z_2D811B98_3CFA_41D4_AEE7_AE5AF87BA166_.wvu.Cols" hidden="1" oldHidden="1">
    <formula>'Supplemental Chart '!$V:$XFD</formula>
    <oldFormula>'Supplemental Chart '!$V:$XFD</oldFormula>
  </rdn>
  <rcv guid="{2D811B98-3CFA-41D4-AEE7-AE5AF87BA166}"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D91D16E_086C_4105_8320_DF4A553F8355_.wvu.PrintArea" hidden="1" oldHidden="1">
    <formula>'Supplemental Chart '!$A$1:$U$123</formula>
  </rdn>
  <rdn rId="0" localSheetId="1" customView="1" name="Z_AD91D16E_086C_4105_8320_DF4A553F8355_.wvu.PrintTitles" hidden="1" oldHidden="1">
    <formula>'Supplemental Chart '!$1:$4</formula>
  </rdn>
  <rdn rId="0" localSheetId="1" customView="1" name="Z_AD91D16E_086C_4105_8320_DF4A553F8355_.wvu.Rows" hidden="1" oldHidden="1">
    <formula>'Supplemental Chart '!$151:$1048576,'Supplemental Chart '!$132:$150</formula>
  </rdn>
  <rdn rId="0" localSheetId="1" customView="1" name="Z_AD91D16E_086C_4105_8320_DF4A553F8355_.wvu.Cols" hidden="1" oldHidden="1">
    <formula>'Supplemental Chart '!$V:$XFD</formula>
  </rdn>
  <rcv guid="{AD91D16E-086C-4105-8320-DF4A553F8355}"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D91D16E-086C-4105-8320-DF4A553F8355}" action="delete"/>
  <rdn rId="0" localSheetId="1" customView="1" name="Z_AD91D16E_086C_4105_8320_DF4A553F8355_.wvu.PrintArea" hidden="1" oldHidden="1">
    <formula>'Supplemental Chart '!$A$1:$U$123</formula>
    <oldFormula>'Supplemental Chart '!$A$1:$U$123</oldFormula>
  </rdn>
  <rdn rId="0" localSheetId="1" customView="1" name="Z_AD91D16E_086C_4105_8320_DF4A553F8355_.wvu.PrintTitles" hidden="1" oldHidden="1">
    <formula>'Supplemental Chart '!$1:$4</formula>
    <oldFormula>'Supplemental Chart '!$1:$4</oldFormula>
  </rdn>
  <rdn rId="0" localSheetId="1" customView="1" name="Z_AD91D16E_086C_4105_8320_DF4A553F8355_.wvu.Rows" hidden="1" oldHidden="1">
    <formula>'Supplemental Chart '!$132:$1048576</formula>
    <oldFormula>'Supplemental Chart '!$151:$1048576,'Supplemental Chart '!$132:$150</oldFormula>
  </rdn>
  <rdn rId="0" localSheetId="1" customView="1" name="Z_AD91D16E_086C_4105_8320_DF4A553F8355_.wvu.Cols" hidden="1" oldHidden="1">
    <formula>'Supplemental Chart '!$V:$XFD</formula>
    <oldFormula>'Supplemental Chart '!$V:$XFD</oldFormula>
  </rdn>
  <rcv guid="{AD91D16E-086C-4105-8320-DF4A553F8355}"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131"/>
  <sheetViews>
    <sheetView tabSelected="1" topLeftCell="A4" workbookViewId="0">
      <selection activeCell="B1" sqref="B1:C1048576"/>
    </sheetView>
  </sheetViews>
  <sheetFormatPr defaultColWidth="0" defaultRowHeight="15" customHeight="1" zeroHeight="1" x14ac:dyDescent="0.2"/>
  <cols>
    <col min="1" max="1" width="14.42578125" style="76" customWidth="1"/>
    <col min="2" max="2" width="71.7109375" style="77" bestFit="1" customWidth="1"/>
    <col min="3" max="3" width="31.85546875" style="77" bestFit="1" customWidth="1"/>
    <col min="4" max="4" width="18" style="75" bestFit="1" customWidth="1"/>
    <col min="5" max="6" width="15.42578125" style="75" customWidth="1"/>
    <col min="7" max="8" width="16.5703125" style="75" customWidth="1"/>
    <col min="9" max="9" width="18.42578125" style="77" customWidth="1"/>
    <col min="10" max="10" width="18" style="75" bestFit="1" customWidth="1"/>
    <col min="11" max="12" width="16.5703125" style="75" customWidth="1"/>
    <col min="13" max="13" width="16.42578125" style="75" customWidth="1"/>
    <col min="14" max="14" width="15.42578125" style="75" customWidth="1"/>
    <col min="15" max="15" width="18.42578125" style="77" customWidth="1"/>
    <col min="16" max="16" width="17.5703125" style="75" customWidth="1"/>
    <col min="17" max="18" width="16.5703125" style="75" customWidth="1"/>
    <col min="19" max="20" width="16.42578125" style="75" customWidth="1"/>
    <col min="21" max="21" width="19.42578125" style="78" customWidth="1"/>
    <col min="22" max="23" width="9.42578125" style="175" hidden="1" customWidth="1"/>
    <col min="24" max="24" width="12.42578125" style="175" hidden="1" customWidth="1"/>
    <col min="25" max="62" width="8.5703125" style="175" hidden="1" customWidth="1"/>
    <col min="63" max="16384" width="8.5703125" style="77" hidden="1"/>
  </cols>
  <sheetData>
    <row r="1" spans="1:62" s="85" customFormat="1" ht="15.75" x14ac:dyDescent="0.25">
      <c r="A1" s="1" t="s">
        <v>0</v>
      </c>
      <c r="B1" s="1"/>
      <c r="C1" s="1"/>
      <c r="D1" s="1"/>
      <c r="E1" s="1"/>
      <c r="F1" s="1"/>
      <c r="G1" s="1"/>
      <c r="H1" s="1"/>
      <c r="I1" s="1"/>
      <c r="J1" s="1"/>
      <c r="K1" s="1"/>
      <c r="L1" s="1"/>
      <c r="M1" s="1"/>
      <c r="N1" s="1"/>
      <c r="O1" s="1"/>
      <c r="P1" s="1"/>
      <c r="Q1" s="1"/>
      <c r="R1" s="1"/>
      <c r="S1" s="1"/>
      <c r="T1" s="1"/>
      <c r="U1" s="1"/>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row>
    <row r="2" spans="1:62" s="85" customFormat="1" ht="15.75" x14ac:dyDescent="0.25">
      <c r="A2" s="1" t="s">
        <v>1</v>
      </c>
      <c r="B2" s="1"/>
      <c r="C2" s="1"/>
      <c r="D2" s="1"/>
      <c r="E2" s="1"/>
      <c r="F2" s="1"/>
      <c r="G2" s="1"/>
      <c r="H2" s="1"/>
      <c r="I2" s="1"/>
      <c r="J2" s="1"/>
      <c r="K2" s="1"/>
      <c r="L2" s="1"/>
      <c r="M2" s="1"/>
      <c r="N2" s="1"/>
      <c r="O2" s="1"/>
      <c r="P2" s="1"/>
      <c r="Q2" s="1"/>
      <c r="R2" s="1"/>
      <c r="S2" s="1"/>
      <c r="T2" s="1"/>
      <c r="U2" s="1"/>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row>
    <row r="3" spans="1:62" s="85" customFormat="1" ht="15.75" x14ac:dyDescent="0.25">
      <c r="A3" s="1" t="s">
        <v>2</v>
      </c>
      <c r="B3" s="1"/>
      <c r="C3" s="1"/>
      <c r="D3" s="1"/>
      <c r="E3" s="1"/>
      <c r="F3" s="1"/>
      <c r="G3" s="1"/>
      <c r="H3" s="1"/>
      <c r="I3" s="1"/>
      <c r="J3" s="1"/>
      <c r="K3" s="1"/>
      <c r="L3" s="1"/>
      <c r="M3" s="1"/>
      <c r="N3" s="1"/>
      <c r="O3" s="1"/>
      <c r="P3" s="1"/>
      <c r="Q3" s="1"/>
      <c r="R3" s="1"/>
      <c r="S3" s="1"/>
      <c r="T3" s="1"/>
      <c r="U3" s="1"/>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row>
    <row r="4" spans="1:62" s="85" customFormat="1" ht="15.75" x14ac:dyDescent="0.25">
      <c r="A4" s="1" t="s">
        <v>3</v>
      </c>
      <c r="B4" s="1"/>
      <c r="C4" s="1"/>
      <c r="D4" s="1"/>
      <c r="E4" s="1"/>
      <c r="F4" s="1"/>
      <c r="G4" s="1"/>
      <c r="H4" s="1"/>
      <c r="I4" s="1"/>
      <c r="J4" s="1"/>
      <c r="K4" s="1"/>
      <c r="L4" s="1"/>
      <c r="M4" s="1"/>
      <c r="N4" s="1"/>
      <c r="O4" s="1"/>
      <c r="P4" s="1"/>
      <c r="Q4" s="1"/>
      <c r="R4" s="1"/>
      <c r="S4" s="1"/>
      <c r="T4" s="1"/>
      <c r="U4" s="1"/>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row>
    <row r="5" spans="1:62" s="85" customFormat="1" x14ac:dyDescent="0.2">
      <c r="A5" s="2" t="s">
        <v>4</v>
      </c>
      <c r="B5" s="114"/>
      <c r="C5" s="114"/>
      <c r="D5" s="115"/>
      <c r="E5" s="115"/>
      <c r="F5" s="115"/>
      <c r="G5" s="115"/>
      <c r="H5" s="116"/>
      <c r="I5" s="114"/>
      <c r="J5" s="116"/>
      <c r="K5" s="116"/>
      <c r="L5" s="116"/>
      <c r="M5" s="116"/>
      <c r="N5" s="116"/>
      <c r="O5" s="114"/>
      <c r="P5" s="116"/>
      <c r="Q5" s="116"/>
      <c r="R5" s="116"/>
      <c r="S5" s="116"/>
      <c r="T5" s="116"/>
      <c r="U5" s="117"/>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row>
    <row r="6" spans="1:62" s="85" customFormat="1" ht="15.75" x14ac:dyDescent="0.25">
      <c r="A6" s="118" t="s">
        <v>5</v>
      </c>
      <c r="B6" s="119"/>
      <c r="C6" s="119"/>
      <c r="D6" s="119"/>
      <c r="E6" s="119"/>
      <c r="F6" s="119"/>
      <c r="G6" s="119"/>
      <c r="H6" s="119"/>
      <c r="I6" s="119"/>
      <c r="J6" s="119"/>
      <c r="K6" s="119"/>
      <c r="L6" s="119"/>
      <c r="M6" s="119"/>
      <c r="N6" s="119"/>
      <c r="O6" s="119"/>
      <c r="P6" s="119"/>
      <c r="Q6" s="119"/>
      <c r="R6" s="119"/>
      <c r="S6" s="119"/>
      <c r="T6" s="119"/>
      <c r="U6" s="120"/>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row>
    <row r="7" spans="1:62" s="87" customFormat="1" ht="15.75" x14ac:dyDescent="0.25">
      <c r="A7" s="104" t="s">
        <v>6</v>
      </c>
      <c r="B7" s="22"/>
      <c r="C7" s="23"/>
      <c r="D7" s="105" t="s">
        <v>7</v>
      </c>
      <c r="E7" s="24"/>
      <c r="F7" s="24"/>
      <c r="G7" s="24"/>
      <c r="H7" s="24"/>
      <c r="I7" s="25"/>
      <c r="J7" s="105" t="s">
        <v>8</v>
      </c>
      <c r="K7" s="24"/>
      <c r="L7" s="24"/>
      <c r="M7" s="24"/>
      <c r="N7" s="24"/>
      <c r="O7" s="25"/>
      <c r="P7" s="3" t="s">
        <v>9</v>
      </c>
      <c r="Q7" s="26"/>
      <c r="R7" s="26"/>
      <c r="S7" s="26"/>
      <c r="T7" s="26"/>
      <c r="U7" s="27"/>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row>
    <row r="8" spans="1:62" s="87" customFormat="1" ht="19.5" thickBot="1" x14ac:dyDescent="0.3">
      <c r="A8" s="121" t="s">
        <v>10</v>
      </c>
      <c r="B8" s="122" t="s">
        <v>11</v>
      </c>
      <c r="C8" s="123" t="s">
        <v>12</v>
      </c>
      <c r="D8" s="124" t="s">
        <v>13</v>
      </c>
      <c r="E8" s="125" t="s">
        <v>14</v>
      </c>
      <c r="F8" s="128" t="s">
        <v>15</v>
      </c>
      <c r="G8" s="125" t="s">
        <v>16</v>
      </c>
      <c r="H8" s="126" t="s">
        <v>17</v>
      </c>
      <c r="I8" s="127" t="s">
        <v>18</v>
      </c>
      <c r="J8" s="124" t="s">
        <v>19</v>
      </c>
      <c r="K8" s="128" t="s">
        <v>20</v>
      </c>
      <c r="L8" s="128" t="s">
        <v>21</v>
      </c>
      <c r="M8" s="128" t="s">
        <v>22</v>
      </c>
      <c r="N8" s="129" t="s">
        <v>23</v>
      </c>
      <c r="O8" s="122" t="s">
        <v>24</v>
      </c>
      <c r="P8" s="130" t="s">
        <v>25</v>
      </c>
      <c r="Q8" s="128" t="s">
        <v>26</v>
      </c>
      <c r="R8" s="128" t="s">
        <v>27</v>
      </c>
      <c r="S8" s="128" t="s">
        <v>28</v>
      </c>
      <c r="T8" s="129" t="s">
        <v>29</v>
      </c>
      <c r="U8" s="131" t="s">
        <v>30</v>
      </c>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row>
    <row r="9" spans="1:62" s="84" customFormat="1" ht="18.75" x14ac:dyDescent="0.25">
      <c r="A9" s="132" t="s">
        <v>31</v>
      </c>
      <c r="B9" s="133" t="s">
        <v>32</v>
      </c>
      <c r="C9" s="133"/>
      <c r="D9" s="7">
        <f t="shared" ref="D9:O9" si="0">SUM(D10:D13)</f>
        <v>826151</v>
      </c>
      <c r="E9" s="8">
        <f t="shared" si="0"/>
        <v>107145</v>
      </c>
      <c r="F9" s="8">
        <f t="shared" si="0"/>
        <v>0</v>
      </c>
      <c r="G9" s="8">
        <f t="shared" si="0"/>
        <v>647170</v>
      </c>
      <c r="H9" s="8">
        <f t="shared" si="0"/>
        <v>71836</v>
      </c>
      <c r="I9" s="29">
        <f t="shared" si="0"/>
        <v>0</v>
      </c>
      <c r="J9" s="7">
        <f t="shared" si="0"/>
        <v>854861</v>
      </c>
      <c r="K9" s="8">
        <f t="shared" si="0"/>
        <v>105958</v>
      </c>
      <c r="L9" s="8">
        <f t="shared" si="0"/>
        <v>0</v>
      </c>
      <c r="M9" s="8">
        <f t="shared" si="0"/>
        <v>675669</v>
      </c>
      <c r="N9" s="8">
        <f t="shared" si="0"/>
        <v>73234</v>
      </c>
      <c r="O9" s="29">
        <f t="shared" si="0"/>
        <v>0</v>
      </c>
      <c r="P9" s="7">
        <f t="shared" ref="P9:U19" si="1">J9-D9</f>
        <v>28710</v>
      </c>
      <c r="Q9" s="8">
        <f t="shared" si="1"/>
        <v>-1187</v>
      </c>
      <c r="R9" s="8">
        <f t="shared" si="1"/>
        <v>0</v>
      </c>
      <c r="S9" s="8">
        <f t="shared" si="1"/>
        <v>28499</v>
      </c>
      <c r="T9" s="8">
        <f t="shared" si="1"/>
        <v>1398</v>
      </c>
      <c r="U9" s="40">
        <f t="shared" si="1"/>
        <v>0</v>
      </c>
    </row>
    <row r="10" spans="1:62" s="84" customFormat="1" x14ac:dyDescent="0.2">
      <c r="A10" s="134" t="s">
        <v>31</v>
      </c>
      <c r="B10" s="135" t="s">
        <v>33</v>
      </c>
      <c r="C10" s="136" t="s">
        <v>34</v>
      </c>
      <c r="D10" s="9">
        <f>SUM(E10:H10)</f>
        <v>269371</v>
      </c>
      <c r="E10" s="10">
        <v>59765</v>
      </c>
      <c r="F10" s="10">
        <v>0</v>
      </c>
      <c r="G10" s="10">
        <f>135482+12452</f>
        <v>147934</v>
      </c>
      <c r="H10" s="10">
        <v>61672</v>
      </c>
      <c r="I10" s="101">
        <v>0</v>
      </c>
      <c r="J10" s="9">
        <f t="shared" ref="J10:J13" si="2">SUM(K10:N10)</f>
        <v>271704</v>
      </c>
      <c r="K10" s="10">
        <v>56367</v>
      </c>
      <c r="L10" s="10">
        <v>0</v>
      </c>
      <c r="M10" s="10">
        <f>136707+15930</f>
        <v>152637</v>
      </c>
      <c r="N10" s="10">
        <v>62700</v>
      </c>
      <c r="O10" s="101">
        <v>0</v>
      </c>
      <c r="P10" s="9">
        <f t="shared" si="1"/>
        <v>2333</v>
      </c>
      <c r="Q10" s="10">
        <f t="shared" si="1"/>
        <v>-3398</v>
      </c>
      <c r="R10" s="10">
        <f t="shared" si="1"/>
        <v>0</v>
      </c>
      <c r="S10" s="10">
        <f t="shared" si="1"/>
        <v>4703</v>
      </c>
      <c r="T10" s="10">
        <f t="shared" si="1"/>
        <v>1028</v>
      </c>
      <c r="U10" s="41">
        <f t="shared" si="1"/>
        <v>0</v>
      </c>
    </row>
    <row r="11" spans="1:62" s="84" customFormat="1" x14ac:dyDescent="0.2">
      <c r="A11" s="134" t="s">
        <v>31</v>
      </c>
      <c r="B11" s="135" t="s">
        <v>35</v>
      </c>
      <c r="C11" s="136" t="s">
        <v>36</v>
      </c>
      <c r="D11" s="9">
        <f>SUM(E11:H11)</f>
        <v>549352</v>
      </c>
      <c r="E11" s="10">
        <v>47165</v>
      </c>
      <c r="F11" s="10">
        <v>0</v>
      </c>
      <c r="G11" s="10">
        <v>494417</v>
      </c>
      <c r="H11" s="10">
        <v>7770</v>
      </c>
      <c r="I11" s="101">
        <v>0</v>
      </c>
      <c r="J11" s="9">
        <f t="shared" si="2"/>
        <v>575740</v>
      </c>
      <c r="K11" s="10">
        <v>49380</v>
      </c>
      <c r="L11" s="10">
        <v>0</v>
      </c>
      <c r="M11" s="10">
        <f>518166</f>
        <v>518166</v>
      </c>
      <c r="N11" s="10">
        <v>8194</v>
      </c>
      <c r="O11" s="101">
        <v>0</v>
      </c>
      <c r="P11" s="9">
        <f t="shared" si="1"/>
        <v>26388</v>
      </c>
      <c r="Q11" s="10">
        <f t="shared" si="1"/>
        <v>2215</v>
      </c>
      <c r="R11" s="10">
        <f t="shared" si="1"/>
        <v>0</v>
      </c>
      <c r="S11" s="10">
        <f t="shared" si="1"/>
        <v>23749</v>
      </c>
      <c r="T11" s="10">
        <f t="shared" si="1"/>
        <v>424</v>
      </c>
      <c r="U11" s="41">
        <f t="shared" si="1"/>
        <v>0</v>
      </c>
    </row>
    <row r="12" spans="1:62" s="84" customFormat="1" x14ac:dyDescent="0.2">
      <c r="A12" s="134" t="s">
        <v>31</v>
      </c>
      <c r="B12" s="135" t="s">
        <v>37</v>
      </c>
      <c r="C12" s="136" t="s">
        <v>34</v>
      </c>
      <c r="D12" s="9">
        <f>SUM(E12:H12)</f>
        <v>5281</v>
      </c>
      <c r="E12" s="10">
        <v>0</v>
      </c>
      <c r="F12" s="10">
        <v>0</v>
      </c>
      <c r="G12" s="10">
        <f>2641+246</f>
        <v>2887</v>
      </c>
      <c r="H12" s="10">
        <v>2394</v>
      </c>
      <c r="I12" s="101">
        <v>0</v>
      </c>
      <c r="J12" s="9">
        <f t="shared" si="2"/>
        <v>5307</v>
      </c>
      <c r="K12" s="10">
        <v>0</v>
      </c>
      <c r="L12" s="10">
        <v>0</v>
      </c>
      <c r="M12" s="10">
        <f>2654+313</f>
        <v>2967</v>
      </c>
      <c r="N12" s="10">
        <v>2340</v>
      </c>
      <c r="O12" s="101">
        <v>0</v>
      </c>
      <c r="P12" s="9">
        <f t="shared" si="1"/>
        <v>26</v>
      </c>
      <c r="Q12" s="10">
        <f t="shared" si="1"/>
        <v>0</v>
      </c>
      <c r="R12" s="10">
        <f t="shared" si="1"/>
        <v>0</v>
      </c>
      <c r="S12" s="10">
        <f t="shared" si="1"/>
        <v>80</v>
      </c>
      <c r="T12" s="10">
        <f t="shared" si="1"/>
        <v>-54</v>
      </c>
      <c r="U12" s="41">
        <f t="shared" si="1"/>
        <v>0</v>
      </c>
    </row>
    <row r="13" spans="1:62" s="84" customFormat="1" ht="15.75" thickBot="1" x14ac:dyDescent="0.25">
      <c r="A13" s="134" t="s">
        <v>31</v>
      </c>
      <c r="B13" s="135" t="s">
        <v>37</v>
      </c>
      <c r="C13" s="136" t="s">
        <v>38</v>
      </c>
      <c r="D13" s="11">
        <f>SUM(E13:H13)</f>
        <v>2147</v>
      </c>
      <c r="E13" s="12">
        <v>215</v>
      </c>
      <c r="F13" s="12">
        <v>0</v>
      </c>
      <c r="G13" s="12">
        <v>1932</v>
      </c>
      <c r="H13" s="12">
        <v>0</v>
      </c>
      <c r="I13" s="102">
        <v>0</v>
      </c>
      <c r="J13" s="11">
        <f t="shared" si="2"/>
        <v>2110</v>
      </c>
      <c r="K13" s="12">
        <v>211</v>
      </c>
      <c r="L13" s="12">
        <v>0</v>
      </c>
      <c r="M13" s="12">
        <v>1899</v>
      </c>
      <c r="N13" s="12">
        <v>0</v>
      </c>
      <c r="O13" s="102">
        <v>0</v>
      </c>
      <c r="P13" s="9">
        <f t="shared" si="1"/>
        <v>-37</v>
      </c>
      <c r="Q13" s="10">
        <f t="shared" si="1"/>
        <v>-4</v>
      </c>
      <c r="R13" s="10">
        <f t="shared" si="1"/>
        <v>0</v>
      </c>
      <c r="S13" s="10">
        <f t="shared" si="1"/>
        <v>-33</v>
      </c>
      <c r="T13" s="10">
        <f t="shared" si="1"/>
        <v>0</v>
      </c>
      <c r="U13" s="41">
        <f t="shared" si="1"/>
        <v>0</v>
      </c>
    </row>
    <row r="14" spans="1:62" s="84" customFormat="1" ht="15.75" x14ac:dyDescent="0.25">
      <c r="A14" s="132" t="s">
        <v>39</v>
      </c>
      <c r="B14" s="137" t="s">
        <v>40</v>
      </c>
      <c r="C14" s="137"/>
      <c r="D14" s="13">
        <f t="shared" ref="D14:O14" si="3">SUM(D15:D18)</f>
        <v>8804</v>
      </c>
      <c r="E14" s="14">
        <f t="shared" si="3"/>
        <v>461</v>
      </c>
      <c r="F14" s="14">
        <f t="shared" si="3"/>
        <v>0</v>
      </c>
      <c r="G14" s="14">
        <f t="shared" si="3"/>
        <v>5960</v>
      </c>
      <c r="H14" s="14">
        <f t="shared" si="3"/>
        <v>2383</v>
      </c>
      <c r="I14" s="31">
        <f t="shared" si="3"/>
        <v>1053</v>
      </c>
      <c r="J14" s="13">
        <f t="shared" si="3"/>
        <v>11361</v>
      </c>
      <c r="K14" s="14">
        <f t="shared" si="3"/>
        <v>698</v>
      </c>
      <c r="L14" s="14">
        <f t="shared" si="3"/>
        <v>0</v>
      </c>
      <c r="M14" s="14">
        <f t="shared" si="3"/>
        <v>8041</v>
      </c>
      <c r="N14" s="14">
        <f t="shared" si="3"/>
        <v>2622</v>
      </c>
      <c r="O14" s="30">
        <f t="shared" si="3"/>
        <v>1188</v>
      </c>
      <c r="P14" s="7">
        <f t="shared" si="1"/>
        <v>2557</v>
      </c>
      <c r="Q14" s="8">
        <f t="shared" si="1"/>
        <v>237</v>
      </c>
      <c r="R14" s="8">
        <f t="shared" si="1"/>
        <v>0</v>
      </c>
      <c r="S14" s="8">
        <f t="shared" si="1"/>
        <v>2081</v>
      </c>
      <c r="T14" s="8">
        <f t="shared" si="1"/>
        <v>239</v>
      </c>
      <c r="U14" s="40">
        <f t="shared" si="1"/>
        <v>135</v>
      </c>
    </row>
    <row r="15" spans="1:62" s="84" customFormat="1" x14ac:dyDescent="0.2">
      <c r="A15" s="134" t="s">
        <v>39</v>
      </c>
      <c r="B15" s="136" t="s">
        <v>35</v>
      </c>
      <c r="C15" s="136" t="s">
        <v>34</v>
      </c>
      <c r="D15" s="9">
        <f>SUM(E15:H15)</f>
        <v>4905</v>
      </c>
      <c r="E15" s="10">
        <v>71</v>
      </c>
      <c r="F15" s="10">
        <v>0</v>
      </c>
      <c r="G15" s="10">
        <v>2455</v>
      </c>
      <c r="H15" s="10">
        <v>2379</v>
      </c>
      <c r="I15" s="111">
        <v>570</v>
      </c>
      <c r="J15" s="9">
        <f>SUM(K15:N15)</f>
        <v>5446</v>
      </c>
      <c r="K15" s="10">
        <v>108</v>
      </c>
      <c r="L15" s="10">
        <v>0</v>
      </c>
      <c r="M15" s="10">
        <v>2728</v>
      </c>
      <c r="N15" s="10">
        <v>2610</v>
      </c>
      <c r="O15" s="111">
        <v>530</v>
      </c>
      <c r="P15" s="9">
        <f>J15-D15</f>
        <v>541</v>
      </c>
      <c r="Q15" s="10">
        <f t="shared" si="1"/>
        <v>37</v>
      </c>
      <c r="R15" s="10">
        <f t="shared" si="1"/>
        <v>0</v>
      </c>
      <c r="S15" s="10">
        <f t="shared" si="1"/>
        <v>273</v>
      </c>
      <c r="T15" s="10">
        <f t="shared" si="1"/>
        <v>231</v>
      </c>
      <c r="U15" s="41">
        <f>O15-I15</f>
        <v>-40</v>
      </c>
    </row>
    <row r="16" spans="1:62" s="84" customFormat="1" x14ac:dyDescent="0.2">
      <c r="A16" s="134" t="s">
        <v>39</v>
      </c>
      <c r="B16" s="136" t="s">
        <v>35</v>
      </c>
      <c r="C16" s="136" t="s">
        <v>36</v>
      </c>
      <c r="D16" s="9">
        <f>SUM(E16:H16)</f>
        <v>3878</v>
      </c>
      <c r="E16" s="10">
        <v>389</v>
      </c>
      <c r="F16" s="10">
        <v>0</v>
      </c>
      <c r="G16" s="10">
        <v>3489</v>
      </c>
      <c r="H16" s="10">
        <v>0</v>
      </c>
      <c r="I16" s="111">
        <v>481</v>
      </c>
      <c r="J16" s="9">
        <f>SUM(K16:N16)</f>
        <v>5880</v>
      </c>
      <c r="K16" s="10">
        <v>589</v>
      </c>
      <c r="L16" s="10">
        <v>0</v>
      </c>
      <c r="M16" s="10">
        <v>5291</v>
      </c>
      <c r="N16" s="10">
        <v>0</v>
      </c>
      <c r="O16" s="111">
        <v>656</v>
      </c>
      <c r="P16" s="9">
        <f t="shared" ref="P16:P19" si="4">J16-D16</f>
        <v>2002</v>
      </c>
      <c r="Q16" s="10">
        <f t="shared" si="1"/>
        <v>200</v>
      </c>
      <c r="R16" s="10">
        <f t="shared" si="1"/>
        <v>0</v>
      </c>
      <c r="S16" s="10">
        <f t="shared" si="1"/>
        <v>1802</v>
      </c>
      <c r="T16" s="10">
        <f t="shared" si="1"/>
        <v>0</v>
      </c>
      <c r="U16" s="41">
        <f t="shared" si="1"/>
        <v>175</v>
      </c>
    </row>
    <row r="17" spans="1:62" s="84" customFormat="1" x14ac:dyDescent="0.2">
      <c r="A17" s="134" t="s">
        <v>39</v>
      </c>
      <c r="B17" s="136" t="s">
        <v>37</v>
      </c>
      <c r="C17" s="136" t="s">
        <v>34</v>
      </c>
      <c r="D17" s="9">
        <f>SUM(E17:H17)</f>
        <v>8</v>
      </c>
      <c r="E17" s="10">
        <v>0</v>
      </c>
      <c r="F17" s="10">
        <v>0</v>
      </c>
      <c r="G17" s="10">
        <v>4</v>
      </c>
      <c r="H17" s="10">
        <v>4</v>
      </c>
      <c r="I17" s="111">
        <v>1</v>
      </c>
      <c r="J17" s="9">
        <f>SUM(K17:N17)</f>
        <v>24</v>
      </c>
      <c r="K17" s="10">
        <v>0</v>
      </c>
      <c r="L17" s="10">
        <v>0</v>
      </c>
      <c r="M17" s="10">
        <v>12</v>
      </c>
      <c r="N17" s="10">
        <v>12</v>
      </c>
      <c r="O17" s="111">
        <v>1</v>
      </c>
      <c r="P17" s="9">
        <f t="shared" si="4"/>
        <v>16</v>
      </c>
      <c r="Q17" s="10">
        <f t="shared" si="1"/>
        <v>0</v>
      </c>
      <c r="R17" s="10">
        <f t="shared" si="1"/>
        <v>0</v>
      </c>
      <c r="S17" s="10">
        <f t="shared" si="1"/>
        <v>8</v>
      </c>
      <c r="T17" s="10">
        <f t="shared" si="1"/>
        <v>8</v>
      </c>
      <c r="U17" s="41">
        <f t="shared" si="1"/>
        <v>0</v>
      </c>
    </row>
    <row r="18" spans="1:62" s="84" customFormat="1" ht="15.75" thickBot="1" x14ac:dyDescent="0.25">
      <c r="A18" s="134" t="s">
        <v>39</v>
      </c>
      <c r="B18" s="136" t="s">
        <v>37</v>
      </c>
      <c r="C18" s="136" t="s">
        <v>38</v>
      </c>
      <c r="D18" s="11">
        <f>SUM(E18:H18)</f>
        <v>13</v>
      </c>
      <c r="E18" s="12">
        <v>1</v>
      </c>
      <c r="F18" s="12">
        <v>0</v>
      </c>
      <c r="G18" s="12">
        <v>12</v>
      </c>
      <c r="H18" s="12">
        <v>0</v>
      </c>
      <c r="I18" s="112">
        <v>1</v>
      </c>
      <c r="J18" s="11">
        <f>SUM(K18:N18)</f>
        <v>11</v>
      </c>
      <c r="K18" s="12">
        <v>1</v>
      </c>
      <c r="L18" s="12">
        <v>0</v>
      </c>
      <c r="M18" s="12">
        <v>10</v>
      </c>
      <c r="N18" s="12">
        <v>0</v>
      </c>
      <c r="O18" s="112">
        <v>1</v>
      </c>
      <c r="P18" s="11">
        <f t="shared" si="4"/>
        <v>-2</v>
      </c>
      <c r="Q18" s="12">
        <f t="shared" si="1"/>
        <v>0</v>
      </c>
      <c r="R18" s="12">
        <f t="shared" si="1"/>
        <v>0</v>
      </c>
      <c r="S18" s="12">
        <f t="shared" si="1"/>
        <v>-2</v>
      </c>
      <c r="T18" s="12">
        <f t="shared" si="1"/>
        <v>0</v>
      </c>
      <c r="U18" s="42">
        <f t="shared" si="1"/>
        <v>0</v>
      </c>
    </row>
    <row r="19" spans="1:62" s="84" customFormat="1" ht="16.149999999999999" customHeight="1" thickBot="1" x14ac:dyDescent="0.3">
      <c r="A19" s="132" t="s">
        <v>41</v>
      </c>
      <c r="B19" s="133" t="s">
        <v>42</v>
      </c>
      <c r="C19" s="138"/>
      <c r="D19" s="51">
        <f t="shared" ref="D19" si="5">SUM(E19:H19)</f>
        <v>9846</v>
      </c>
      <c r="E19" s="50">
        <v>0</v>
      </c>
      <c r="F19" s="50">
        <v>4440</v>
      </c>
      <c r="G19" s="50">
        <f>5267+139</f>
        <v>5406</v>
      </c>
      <c r="H19" s="50">
        <v>0</v>
      </c>
      <c r="I19" s="103">
        <v>0</v>
      </c>
      <c r="J19" s="51">
        <f t="shared" ref="J19" si="6">SUM(K19:N19)</f>
        <v>8067</v>
      </c>
      <c r="K19" s="50">
        <v>0</v>
      </c>
      <c r="L19" s="50">
        <v>4066</v>
      </c>
      <c r="M19" s="50">
        <f>3915+86</f>
        <v>4001</v>
      </c>
      <c r="N19" s="50">
        <v>0</v>
      </c>
      <c r="O19" s="103">
        <v>0</v>
      </c>
      <c r="P19" s="51">
        <f t="shared" si="4"/>
        <v>-1779</v>
      </c>
      <c r="Q19" s="50">
        <f t="shared" si="1"/>
        <v>0</v>
      </c>
      <c r="R19" s="50">
        <f t="shared" si="1"/>
        <v>-374</v>
      </c>
      <c r="S19" s="50">
        <f t="shared" si="1"/>
        <v>-1405</v>
      </c>
      <c r="T19" s="50">
        <f t="shared" si="1"/>
        <v>0</v>
      </c>
      <c r="U19" s="99">
        <f t="shared" si="1"/>
        <v>0</v>
      </c>
    </row>
    <row r="20" spans="1:62" s="84" customFormat="1" ht="15.75" x14ac:dyDescent="0.25">
      <c r="A20" s="132" t="s">
        <v>43</v>
      </c>
      <c r="B20" s="137" t="s">
        <v>44</v>
      </c>
      <c r="C20" s="137"/>
      <c r="D20" s="7">
        <f>SUM(D21:D24)</f>
        <v>799</v>
      </c>
      <c r="E20" s="8">
        <f t="shared" ref="E20:O20" si="7">SUM(E21:E24)</f>
        <v>46</v>
      </c>
      <c r="F20" s="8">
        <f t="shared" si="7"/>
        <v>0</v>
      </c>
      <c r="G20" s="8">
        <f t="shared" si="7"/>
        <v>586</v>
      </c>
      <c r="H20" s="8">
        <f t="shared" si="7"/>
        <v>167</v>
      </c>
      <c r="I20" s="32">
        <f t="shared" si="7"/>
        <v>0</v>
      </c>
      <c r="J20" s="7">
        <f t="shared" si="7"/>
        <v>412</v>
      </c>
      <c r="K20" s="8">
        <f>SUM(K21:K24)</f>
        <v>23</v>
      </c>
      <c r="L20" s="8">
        <f>SUM(L21:L24)</f>
        <v>0</v>
      </c>
      <c r="M20" s="8">
        <f t="shared" si="7"/>
        <v>308</v>
      </c>
      <c r="N20" s="8">
        <f t="shared" si="7"/>
        <v>81</v>
      </c>
      <c r="O20" s="29">
        <f t="shared" si="7"/>
        <v>0</v>
      </c>
      <c r="P20" s="8">
        <f t="shared" ref="P20:P21" si="8">J20-D20</f>
        <v>-387</v>
      </c>
      <c r="Q20" s="8">
        <f t="shared" ref="Q20:U24" si="9">K20-E20</f>
        <v>-23</v>
      </c>
      <c r="R20" s="8">
        <f t="shared" si="9"/>
        <v>0</v>
      </c>
      <c r="S20" s="8">
        <f t="shared" si="9"/>
        <v>-278</v>
      </c>
      <c r="T20" s="8">
        <f t="shared" si="9"/>
        <v>-86</v>
      </c>
      <c r="U20" s="40">
        <f t="shared" si="9"/>
        <v>0</v>
      </c>
      <c r="V20" s="88"/>
    </row>
    <row r="21" spans="1:62" s="84" customFormat="1" ht="15.75" x14ac:dyDescent="0.25">
      <c r="A21" s="134" t="s">
        <v>43</v>
      </c>
      <c r="B21" s="135" t="s">
        <v>35</v>
      </c>
      <c r="C21" s="135" t="s">
        <v>34</v>
      </c>
      <c r="D21" s="9">
        <f t="shared" ref="D21:D24" si="10">SUM(E21:H21)</f>
        <v>374</v>
      </c>
      <c r="E21" s="10">
        <v>3</v>
      </c>
      <c r="F21" s="10">
        <v>0</v>
      </c>
      <c r="G21" s="10">
        <f>187+17</f>
        <v>204</v>
      </c>
      <c r="H21" s="10">
        <v>167</v>
      </c>
      <c r="I21" s="101">
        <v>0</v>
      </c>
      <c r="J21" s="9">
        <f>SUM(K21:N21)</f>
        <v>187</v>
      </c>
      <c r="K21" s="10">
        <v>1</v>
      </c>
      <c r="L21" s="10">
        <v>0</v>
      </c>
      <c r="M21" s="10">
        <f>94+11</f>
        <v>105</v>
      </c>
      <c r="N21" s="10">
        <v>81</v>
      </c>
      <c r="O21" s="101">
        <v>0</v>
      </c>
      <c r="P21" s="10">
        <f t="shared" si="8"/>
        <v>-187</v>
      </c>
      <c r="Q21" s="10">
        <f t="shared" si="9"/>
        <v>-2</v>
      </c>
      <c r="R21" s="10">
        <f t="shared" si="9"/>
        <v>0</v>
      </c>
      <c r="S21" s="10">
        <f t="shared" si="9"/>
        <v>-99</v>
      </c>
      <c r="T21" s="10">
        <f t="shared" si="9"/>
        <v>-86</v>
      </c>
      <c r="U21" s="45">
        <f t="shared" si="9"/>
        <v>0</v>
      </c>
      <c r="V21" s="88"/>
    </row>
    <row r="22" spans="1:62" s="84" customFormat="1" ht="15.75" x14ac:dyDescent="0.25">
      <c r="A22" s="134" t="s">
        <v>43</v>
      </c>
      <c r="B22" s="135" t="s">
        <v>35</v>
      </c>
      <c r="C22" s="135" t="s">
        <v>38</v>
      </c>
      <c r="D22" s="9">
        <f t="shared" si="10"/>
        <v>424</v>
      </c>
      <c r="E22" s="10">
        <v>43</v>
      </c>
      <c r="F22" s="10">
        <v>0</v>
      </c>
      <c r="G22" s="10">
        <v>381</v>
      </c>
      <c r="H22" s="10">
        <v>0</v>
      </c>
      <c r="I22" s="101">
        <v>0</v>
      </c>
      <c r="J22" s="9">
        <f>SUM(K22:N22)</f>
        <v>225</v>
      </c>
      <c r="K22" s="10">
        <v>22</v>
      </c>
      <c r="L22" s="10">
        <v>0</v>
      </c>
      <c r="M22" s="10">
        <v>203</v>
      </c>
      <c r="N22" s="10">
        <v>0</v>
      </c>
      <c r="O22" s="101">
        <v>0</v>
      </c>
      <c r="P22" s="10">
        <f>J22-D22</f>
        <v>-199</v>
      </c>
      <c r="Q22" s="10">
        <f t="shared" si="9"/>
        <v>-21</v>
      </c>
      <c r="R22" s="10">
        <f t="shared" si="9"/>
        <v>0</v>
      </c>
      <c r="S22" s="10">
        <f t="shared" si="9"/>
        <v>-178</v>
      </c>
      <c r="T22" s="10">
        <f t="shared" si="9"/>
        <v>0</v>
      </c>
      <c r="U22" s="45">
        <f t="shared" si="9"/>
        <v>0</v>
      </c>
      <c r="V22" s="88"/>
    </row>
    <row r="23" spans="1:62" s="84" customFormat="1" ht="15.75" x14ac:dyDescent="0.25">
      <c r="A23" s="134" t="s">
        <v>43</v>
      </c>
      <c r="B23" s="135" t="s">
        <v>37</v>
      </c>
      <c r="C23" s="135" t="s">
        <v>34</v>
      </c>
      <c r="D23" s="9">
        <f t="shared" si="10"/>
        <v>1</v>
      </c>
      <c r="E23" s="10">
        <v>0</v>
      </c>
      <c r="F23" s="10">
        <v>0</v>
      </c>
      <c r="G23" s="10">
        <v>1</v>
      </c>
      <c r="H23" s="10">
        <v>0</v>
      </c>
      <c r="I23" s="101">
        <v>0</v>
      </c>
      <c r="J23" s="9">
        <f>SUM(K23:N23)</f>
        <v>0</v>
      </c>
      <c r="K23" s="10">
        <v>0</v>
      </c>
      <c r="L23" s="10">
        <v>0</v>
      </c>
      <c r="M23" s="10">
        <v>0</v>
      </c>
      <c r="N23" s="10">
        <v>0</v>
      </c>
      <c r="O23" s="101">
        <v>0</v>
      </c>
      <c r="P23" s="10">
        <f>J23-D23</f>
        <v>-1</v>
      </c>
      <c r="Q23" s="10">
        <f t="shared" si="9"/>
        <v>0</v>
      </c>
      <c r="R23" s="10">
        <f t="shared" si="9"/>
        <v>0</v>
      </c>
      <c r="S23" s="10">
        <f t="shared" si="9"/>
        <v>-1</v>
      </c>
      <c r="T23" s="10">
        <f t="shared" si="9"/>
        <v>0</v>
      </c>
      <c r="U23" s="45">
        <f t="shared" si="9"/>
        <v>0</v>
      </c>
      <c r="V23" s="88"/>
    </row>
    <row r="24" spans="1:62" s="84" customFormat="1" ht="16.5" thickBot="1" x14ac:dyDescent="0.3">
      <c r="A24" s="134" t="s">
        <v>43</v>
      </c>
      <c r="B24" s="135" t="s">
        <v>37</v>
      </c>
      <c r="C24" s="135" t="s">
        <v>36</v>
      </c>
      <c r="D24" s="11">
        <f t="shared" si="10"/>
        <v>0</v>
      </c>
      <c r="E24" s="12">
        <v>0</v>
      </c>
      <c r="F24" s="12">
        <v>0</v>
      </c>
      <c r="G24" s="12">
        <v>0</v>
      </c>
      <c r="H24" s="12">
        <v>0</v>
      </c>
      <c r="I24" s="102">
        <v>0</v>
      </c>
      <c r="J24" s="11">
        <f>SUM(K24:N24)</f>
        <v>0</v>
      </c>
      <c r="K24" s="12">
        <v>0</v>
      </c>
      <c r="L24" s="12">
        <v>0</v>
      </c>
      <c r="M24" s="12">
        <v>0</v>
      </c>
      <c r="N24" s="12">
        <v>0</v>
      </c>
      <c r="O24" s="102">
        <v>0</v>
      </c>
      <c r="P24" s="11">
        <f>J24-D24</f>
        <v>0</v>
      </c>
      <c r="Q24" s="12">
        <f t="shared" si="9"/>
        <v>0</v>
      </c>
      <c r="R24" s="12">
        <f t="shared" si="9"/>
        <v>0</v>
      </c>
      <c r="S24" s="12">
        <f t="shared" si="9"/>
        <v>0</v>
      </c>
      <c r="T24" s="12">
        <f t="shared" si="9"/>
        <v>0</v>
      </c>
      <c r="U24" s="46">
        <f t="shared" si="9"/>
        <v>0</v>
      </c>
      <c r="V24" s="88"/>
    </row>
    <row r="25" spans="1:62" s="84" customFormat="1" ht="15.75" customHeight="1" thickBot="1" x14ac:dyDescent="0.3">
      <c r="A25" s="132" t="s">
        <v>45</v>
      </c>
      <c r="B25" s="137" t="s">
        <v>46</v>
      </c>
      <c r="C25" s="137"/>
      <c r="D25" s="51">
        <f>SUM(E25:H25)</f>
        <v>-3361</v>
      </c>
      <c r="E25" s="50">
        <v>-272</v>
      </c>
      <c r="F25" s="50">
        <v>0</v>
      </c>
      <c r="G25" s="50">
        <f>(-1779)+81</f>
        <v>-1698</v>
      </c>
      <c r="H25" s="50">
        <v>-1391</v>
      </c>
      <c r="I25" s="98">
        <v>0</v>
      </c>
      <c r="J25" s="51">
        <f>SUM(K25:N25)</f>
        <v>-3361</v>
      </c>
      <c r="K25" s="50">
        <v>-272</v>
      </c>
      <c r="L25" s="50">
        <v>0</v>
      </c>
      <c r="M25" s="50">
        <f>-1779+81</f>
        <v>-1698</v>
      </c>
      <c r="N25" s="50">
        <v>-1391</v>
      </c>
      <c r="O25" s="103">
        <v>0</v>
      </c>
      <c r="P25" s="51">
        <f>J25-D25</f>
        <v>0</v>
      </c>
      <c r="Q25" s="50">
        <f>K25-E25</f>
        <v>0</v>
      </c>
      <c r="R25" s="50">
        <f>L25-F25</f>
        <v>0</v>
      </c>
      <c r="S25" s="50">
        <f>M25-G25</f>
        <v>0</v>
      </c>
      <c r="T25" s="50">
        <f>N25-H25</f>
        <v>0</v>
      </c>
      <c r="U25" s="99">
        <f>O25-I25</f>
        <v>0</v>
      </c>
      <c r="V25" s="88"/>
    </row>
    <row r="26" spans="1:62" s="84" customFormat="1" ht="15.75" customHeight="1" thickBot="1" x14ac:dyDescent="0.3">
      <c r="A26" s="132" t="s">
        <v>47</v>
      </c>
      <c r="B26" s="137" t="s">
        <v>48</v>
      </c>
      <c r="C26" s="137"/>
      <c r="D26" s="51">
        <f t="shared" ref="D26" si="11">SUM(E26:H26)</f>
        <v>10542</v>
      </c>
      <c r="E26" s="50">
        <f>52+1599</f>
        <v>1651</v>
      </c>
      <c r="F26" s="50">
        <v>0</v>
      </c>
      <c r="G26" s="50">
        <f>382+7681</f>
        <v>8063</v>
      </c>
      <c r="H26" s="50">
        <f>107+721</f>
        <v>828</v>
      </c>
      <c r="I26" s="98">
        <v>0</v>
      </c>
      <c r="J26" s="51">
        <f t="shared" ref="J26" si="12">SUM(K26:N26)</f>
        <v>17413</v>
      </c>
      <c r="K26" s="50">
        <f>70+2331</f>
        <v>2401</v>
      </c>
      <c r="L26" s="50">
        <v>0</v>
      </c>
      <c r="M26" s="50">
        <f>464+12938</f>
        <v>13402</v>
      </c>
      <c r="N26" s="50">
        <f>109+1501</f>
        <v>1610</v>
      </c>
      <c r="O26" s="103">
        <v>0</v>
      </c>
      <c r="P26" s="51">
        <f t="shared" ref="P26:U36" si="13">J26-D26</f>
        <v>6871</v>
      </c>
      <c r="Q26" s="50">
        <f t="shared" si="13"/>
        <v>750</v>
      </c>
      <c r="R26" s="50">
        <f t="shared" si="13"/>
        <v>0</v>
      </c>
      <c r="S26" s="50">
        <f t="shared" si="13"/>
        <v>5339</v>
      </c>
      <c r="T26" s="50">
        <f t="shared" si="13"/>
        <v>782</v>
      </c>
      <c r="U26" s="99">
        <f t="shared" si="13"/>
        <v>0</v>
      </c>
      <c r="V26" s="88"/>
    </row>
    <row r="27" spans="1:62" s="88" customFormat="1" ht="15.75" customHeight="1" thickBot="1" x14ac:dyDescent="0.3">
      <c r="A27" s="139" t="s">
        <v>49</v>
      </c>
      <c r="B27" s="140" t="s">
        <v>50</v>
      </c>
      <c r="C27" s="141"/>
      <c r="D27" s="51">
        <f>SUM(E27:H27)</f>
        <v>0</v>
      </c>
      <c r="E27" s="50">
        <v>4198</v>
      </c>
      <c r="F27" s="50">
        <v>0</v>
      </c>
      <c r="G27" s="50">
        <v>-4198</v>
      </c>
      <c r="H27" s="50">
        <v>0</v>
      </c>
      <c r="I27" s="98">
        <v>0</v>
      </c>
      <c r="J27" s="51">
        <f>SUM(K27:N27)</f>
        <v>0</v>
      </c>
      <c r="K27" s="50">
        <v>4198</v>
      </c>
      <c r="L27" s="50">
        <v>0</v>
      </c>
      <c r="M27" s="50">
        <v>-4198</v>
      </c>
      <c r="N27" s="50">
        <v>0</v>
      </c>
      <c r="O27" s="103">
        <v>0</v>
      </c>
      <c r="P27" s="51">
        <f t="shared" si="13"/>
        <v>0</v>
      </c>
      <c r="Q27" s="50">
        <f t="shared" si="13"/>
        <v>0</v>
      </c>
      <c r="R27" s="50">
        <f t="shared" si="13"/>
        <v>0</v>
      </c>
      <c r="S27" s="50">
        <f t="shared" si="13"/>
        <v>0</v>
      </c>
      <c r="T27" s="50">
        <f t="shared" si="13"/>
        <v>0</v>
      </c>
      <c r="U27" s="99">
        <f t="shared" si="13"/>
        <v>0</v>
      </c>
      <c r="W27" s="84"/>
      <c r="X27" s="84"/>
      <c r="Y27" s="84"/>
      <c r="Z27" s="84"/>
      <c r="AA27" s="84"/>
    </row>
    <row r="28" spans="1:62" s="88" customFormat="1" ht="15.75" customHeight="1" thickBot="1" x14ac:dyDescent="0.3">
      <c r="A28" s="139" t="s">
        <v>51</v>
      </c>
      <c r="B28" s="140" t="s">
        <v>52</v>
      </c>
      <c r="C28" s="138"/>
      <c r="D28" s="51">
        <f>SUM(E28:H28)</f>
        <v>6218</v>
      </c>
      <c r="E28" s="50">
        <v>0</v>
      </c>
      <c r="F28" s="50">
        <v>0</v>
      </c>
      <c r="G28" s="50">
        <f>4761+71</f>
        <v>4832</v>
      </c>
      <c r="H28" s="50">
        <v>1386</v>
      </c>
      <c r="I28" s="98">
        <v>0</v>
      </c>
      <c r="J28" s="51">
        <f>SUM(K28:N28)</f>
        <v>6216</v>
      </c>
      <c r="K28" s="50">
        <v>0</v>
      </c>
      <c r="L28" s="50">
        <v>0</v>
      </c>
      <c r="M28" s="50">
        <v>4902</v>
      </c>
      <c r="N28" s="50">
        <v>1314</v>
      </c>
      <c r="O28" s="103"/>
      <c r="P28" s="51">
        <f t="shared" si="13"/>
        <v>-2</v>
      </c>
      <c r="Q28" s="50">
        <f t="shared" si="13"/>
        <v>0</v>
      </c>
      <c r="R28" s="50">
        <f t="shared" si="13"/>
        <v>0</v>
      </c>
      <c r="S28" s="50">
        <f t="shared" si="13"/>
        <v>70</v>
      </c>
      <c r="T28" s="50">
        <f t="shared" si="13"/>
        <v>-72</v>
      </c>
      <c r="U28" s="99">
        <f t="shared" si="13"/>
        <v>0</v>
      </c>
      <c r="W28" s="84"/>
      <c r="X28" s="84"/>
      <c r="Y28" s="84"/>
      <c r="Z28" s="84"/>
      <c r="AA28" s="84"/>
    </row>
    <row r="29" spans="1:62" s="88" customFormat="1" ht="15.75" customHeight="1" thickBot="1" x14ac:dyDescent="0.3">
      <c r="A29" s="139" t="s">
        <v>53</v>
      </c>
      <c r="B29" s="140" t="s">
        <v>54</v>
      </c>
      <c r="C29" s="138"/>
      <c r="D29" s="51">
        <f>SUM(E29:H29)</f>
        <v>6575</v>
      </c>
      <c r="E29" s="50">
        <f>789+197</f>
        <v>986</v>
      </c>
      <c r="F29" s="50">
        <v>0</v>
      </c>
      <c r="G29" s="50">
        <f>4471+1118</f>
        <v>5589</v>
      </c>
      <c r="H29" s="50">
        <v>0</v>
      </c>
      <c r="I29" s="98">
        <v>0</v>
      </c>
      <c r="J29" s="51">
        <f>SUM(K29:N29)</f>
        <v>0</v>
      </c>
      <c r="K29" s="50">
        <v>0</v>
      </c>
      <c r="L29" s="50">
        <v>0</v>
      </c>
      <c r="M29" s="50">
        <v>0</v>
      </c>
      <c r="N29" s="50">
        <v>0</v>
      </c>
      <c r="O29" s="103">
        <v>0</v>
      </c>
      <c r="P29" s="51">
        <f t="shared" ref="P29" si="14">J29-D29</f>
        <v>-6575</v>
      </c>
      <c r="Q29" s="50">
        <f t="shared" ref="Q29" si="15">K29-E29</f>
        <v>-986</v>
      </c>
      <c r="R29" s="50">
        <f t="shared" ref="R29" si="16">L29-F29</f>
        <v>0</v>
      </c>
      <c r="S29" s="50">
        <f t="shared" ref="S29" si="17">M29-G29</f>
        <v>-5589</v>
      </c>
      <c r="T29" s="50">
        <f t="shared" ref="T29" si="18">N29-H29</f>
        <v>0</v>
      </c>
      <c r="U29" s="99">
        <f t="shared" ref="U29" si="19">O29-I29</f>
        <v>0</v>
      </c>
      <c r="W29" s="84"/>
      <c r="X29" s="84"/>
      <c r="Y29" s="84"/>
      <c r="Z29" s="84"/>
      <c r="AA29" s="84"/>
    </row>
    <row r="30" spans="1:62" s="89" customFormat="1" ht="15.75" customHeight="1" thickBot="1" x14ac:dyDescent="0.3">
      <c r="A30" s="142" t="s">
        <v>55</v>
      </c>
      <c r="B30" s="140" t="s">
        <v>56</v>
      </c>
      <c r="C30" s="140"/>
      <c r="D30" s="51">
        <f>SUM(E30:H30)</f>
        <v>81411</v>
      </c>
      <c r="E30" s="50">
        <v>92</v>
      </c>
      <c r="F30" s="50">
        <v>0</v>
      </c>
      <c r="G30" s="50">
        <v>44642</v>
      </c>
      <c r="H30" s="50">
        <v>36677</v>
      </c>
      <c r="I30" s="100">
        <v>0</v>
      </c>
      <c r="J30" s="51">
        <f>SUM(K30:N30)</f>
        <v>78420</v>
      </c>
      <c r="K30" s="50">
        <v>0</v>
      </c>
      <c r="L30" s="50">
        <v>0</v>
      </c>
      <c r="M30" s="50">
        <v>42749</v>
      </c>
      <c r="N30" s="50">
        <v>35671</v>
      </c>
      <c r="O30" s="103">
        <v>0</v>
      </c>
      <c r="P30" s="51">
        <f t="shared" si="13"/>
        <v>-2991</v>
      </c>
      <c r="Q30" s="50">
        <f t="shared" si="13"/>
        <v>-92</v>
      </c>
      <c r="R30" s="50">
        <f t="shared" si="13"/>
        <v>0</v>
      </c>
      <c r="S30" s="50">
        <f t="shared" si="13"/>
        <v>-1893</v>
      </c>
      <c r="T30" s="50">
        <f t="shared" si="13"/>
        <v>-1006</v>
      </c>
      <c r="U30" s="99">
        <f t="shared" si="13"/>
        <v>0</v>
      </c>
      <c r="W30" s="84"/>
      <c r="X30" s="84"/>
      <c r="Y30" s="84"/>
      <c r="Z30" s="84"/>
      <c r="AA30" s="84"/>
    </row>
    <row r="31" spans="1:62" s="90" customFormat="1" ht="15.75" customHeight="1" thickBot="1" x14ac:dyDescent="0.3">
      <c r="A31" s="142" t="s">
        <v>57</v>
      </c>
      <c r="B31" s="140" t="s">
        <v>58</v>
      </c>
      <c r="C31" s="140"/>
      <c r="D31" s="51">
        <f t="shared" ref="D31" si="20">SUM(E31:H31)</f>
        <v>5876</v>
      </c>
      <c r="E31" s="50">
        <v>1469</v>
      </c>
      <c r="F31" s="50">
        <v>0</v>
      </c>
      <c r="G31" s="50">
        <v>2938</v>
      </c>
      <c r="H31" s="50">
        <v>1469</v>
      </c>
      <c r="I31" s="100">
        <v>0</v>
      </c>
      <c r="J31" s="51">
        <f t="shared" ref="J31" si="21">SUM(K31:N31)</f>
        <v>1957</v>
      </c>
      <c r="K31" s="50">
        <v>489</v>
      </c>
      <c r="L31" s="50">
        <v>0</v>
      </c>
      <c r="M31" s="50">
        <v>979</v>
      </c>
      <c r="N31" s="50">
        <v>489</v>
      </c>
      <c r="O31" s="103">
        <v>0</v>
      </c>
      <c r="P31" s="51">
        <f t="shared" ref="P31:U31" si="22">J31-D31</f>
        <v>-3919</v>
      </c>
      <c r="Q31" s="50">
        <f t="shared" si="22"/>
        <v>-980</v>
      </c>
      <c r="R31" s="50">
        <f t="shared" si="22"/>
        <v>0</v>
      </c>
      <c r="S31" s="50">
        <f t="shared" si="22"/>
        <v>-1959</v>
      </c>
      <c r="T31" s="50">
        <f t="shared" si="22"/>
        <v>-980</v>
      </c>
      <c r="U31" s="99">
        <f t="shared" si="22"/>
        <v>0</v>
      </c>
      <c r="V31" s="89"/>
      <c r="W31" s="84"/>
      <c r="X31" s="84"/>
      <c r="Y31" s="84"/>
      <c r="Z31" s="84"/>
      <c r="AA31" s="84"/>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row>
    <row r="32" spans="1:62" s="90" customFormat="1" ht="15.75" customHeight="1" thickBot="1" x14ac:dyDescent="0.3">
      <c r="A32" s="142" t="s">
        <v>59</v>
      </c>
      <c r="B32" s="140" t="s">
        <v>60</v>
      </c>
      <c r="C32" s="140"/>
      <c r="D32" s="51">
        <f t="shared" ref="D32" si="23">SUM(E32:H32)</f>
        <v>2084</v>
      </c>
      <c r="E32" s="50">
        <v>0</v>
      </c>
      <c r="F32" s="50">
        <v>1042</v>
      </c>
      <c r="G32" s="50">
        <v>1042</v>
      </c>
      <c r="H32" s="50">
        <v>0</v>
      </c>
      <c r="I32" s="100">
        <v>0</v>
      </c>
      <c r="J32" s="51">
        <f t="shared" ref="J32" si="24">SUM(K32:N32)</f>
        <v>418</v>
      </c>
      <c r="K32" s="50">
        <v>0</v>
      </c>
      <c r="L32" s="50">
        <v>209</v>
      </c>
      <c r="M32" s="50">
        <v>209</v>
      </c>
      <c r="N32" s="50">
        <v>0</v>
      </c>
      <c r="O32" s="103">
        <v>0</v>
      </c>
      <c r="P32" s="51">
        <f t="shared" ref="P32" si="25">J32-D32</f>
        <v>-1666</v>
      </c>
      <c r="Q32" s="50">
        <f t="shared" ref="Q32" si="26">K32-E32</f>
        <v>0</v>
      </c>
      <c r="R32" s="50">
        <f t="shared" ref="R32" si="27">L32-F32</f>
        <v>-833</v>
      </c>
      <c r="S32" s="50">
        <f t="shared" ref="S32" si="28">M32-G32</f>
        <v>-833</v>
      </c>
      <c r="T32" s="50">
        <f t="shared" ref="T32" si="29">N32-H32</f>
        <v>0</v>
      </c>
      <c r="U32" s="99">
        <f t="shared" ref="U32" si="30">O32-I32</f>
        <v>0</v>
      </c>
      <c r="V32" s="89"/>
      <c r="W32" s="84"/>
      <c r="X32" s="84"/>
      <c r="Y32" s="84"/>
      <c r="Z32" s="84"/>
      <c r="AA32" s="84"/>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row>
    <row r="33" spans="1:62" s="91" customFormat="1" ht="15.75" customHeight="1" thickBot="1" x14ac:dyDescent="0.3">
      <c r="A33" s="143"/>
      <c r="B33" s="144"/>
      <c r="C33" s="144" t="s">
        <v>61</v>
      </c>
      <c r="D33" s="51">
        <f t="shared" ref="D33:O33" si="31">D9+D14+D19+D20+D25+D26+D27+D28+D30+D31+D29+D32</f>
        <v>954945</v>
      </c>
      <c r="E33" s="51">
        <f t="shared" si="31"/>
        <v>115776</v>
      </c>
      <c r="F33" s="51">
        <f t="shared" si="31"/>
        <v>5482</v>
      </c>
      <c r="G33" s="51">
        <f t="shared" si="31"/>
        <v>720332</v>
      </c>
      <c r="H33" s="51">
        <f t="shared" si="31"/>
        <v>113355</v>
      </c>
      <c r="I33" s="52">
        <f t="shared" si="31"/>
        <v>1053</v>
      </c>
      <c r="J33" s="51">
        <f t="shared" si="31"/>
        <v>975764</v>
      </c>
      <c r="K33" s="51">
        <f t="shared" si="31"/>
        <v>113495</v>
      </c>
      <c r="L33" s="51">
        <f t="shared" si="31"/>
        <v>4275</v>
      </c>
      <c r="M33" s="51">
        <f t="shared" si="31"/>
        <v>744364</v>
      </c>
      <c r="N33" s="51">
        <f t="shared" si="31"/>
        <v>113630</v>
      </c>
      <c r="O33" s="52">
        <f t="shared" si="31"/>
        <v>1188</v>
      </c>
      <c r="P33" s="51">
        <f>J33-D33</f>
        <v>20819</v>
      </c>
      <c r="Q33" s="50">
        <f>K33-E33</f>
        <v>-2281</v>
      </c>
      <c r="R33" s="50">
        <f>L33-F33</f>
        <v>-1207</v>
      </c>
      <c r="S33" s="50">
        <f>M33-G33</f>
        <v>24032</v>
      </c>
      <c r="T33" s="50">
        <f t="shared" si="13"/>
        <v>275</v>
      </c>
      <c r="U33" s="54">
        <f>O33-I33</f>
        <v>135</v>
      </c>
      <c r="W33" s="84"/>
      <c r="X33" s="84"/>
      <c r="Y33" s="84"/>
      <c r="Z33" s="84"/>
      <c r="AA33" s="84"/>
    </row>
    <row r="34" spans="1:62" s="91" customFormat="1" ht="15.75" customHeight="1" x14ac:dyDescent="0.25">
      <c r="A34" s="143"/>
      <c r="B34" s="144"/>
      <c r="C34" s="145" t="s">
        <v>62</v>
      </c>
      <c r="D34" s="146">
        <f t="shared" ref="D34:O34" si="32">D10+D11+D15+D16+D21+D22</f>
        <v>828304</v>
      </c>
      <c r="E34" s="146">
        <f t="shared" si="32"/>
        <v>107436</v>
      </c>
      <c r="F34" s="146">
        <f t="shared" si="32"/>
        <v>0</v>
      </c>
      <c r="G34" s="146">
        <f t="shared" si="32"/>
        <v>648880</v>
      </c>
      <c r="H34" s="146">
        <f t="shared" si="32"/>
        <v>71988</v>
      </c>
      <c r="I34" s="147">
        <f t="shared" si="32"/>
        <v>1051</v>
      </c>
      <c r="J34" s="146">
        <f t="shared" si="32"/>
        <v>859182</v>
      </c>
      <c r="K34" s="146">
        <f t="shared" si="32"/>
        <v>106467</v>
      </c>
      <c r="L34" s="146">
        <f t="shared" si="32"/>
        <v>0</v>
      </c>
      <c r="M34" s="146">
        <f t="shared" si="32"/>
        <v>679130</v>
      </c>
      <c r="N34" s="146">
        <f t="shared" si="32"/>
        <v>73585</v>
      </c>
      <c r="O34" s="147">
        <f t="shared" si="32"/>
        <v>1186</v>
      </c>
      <c r="P34" s="53">
        <f>J34-D34</f>
        <v>30878</v>
      </c>
      <c r="Q34" s="10">
        <f t="shared" ref="Q34:R34" si="33">K34-E34</f>
        <v>-969</v>
      </c>
      <c r="R34" s="10">
        <f t="shared" si="33"/>
        <v>0</v>
      </c>
      <c r="S34" s="55">
        <f>M34-G34</f>
        <v>30250</v>
      </c>
      <c r="T34" s="55">
        <f t="shared" si="13"/>
        <v>1597</v>
      </c>
      <c r="U34" s="43">
        <f>O34-I34</f>
        <v>135</v>
      </c>
      <c r="W34" s="84"/>
      <c r="X34" s="84"/>
      <c r="Y34" s="84"/>
      <c r="Z34" s="84"/>
      <c r="AA34" s="84"/>
    </row>
    <row r="35" spans="1:62" s="88" customFormat="1" ht="15.75" customHeight="1" x14ac:dyDescent="0.25">
      <c r="A35" s="134"/>
      <c r="B35" s="136"/>
      <c r="C35" s="148" t="s">
        <v>63</v>
      </c>
      <c r="D35" s="149">
        <f t="shared" ref="D35:O35" si="34">D12+D13+D17+D18+D23+D24</f>
        <v>7450</v>
      </c>
      <c r="E35" s="149">
        <f t="shared" si="34"/>
        <v>216</v>
      </c>
      <c r="F35" s="149">
        <f t="shared" si="34"/>
        <v>0</v>
      </c>
      <c r="G35" s="149">
        <f t="shared" si="34"/>
        <v>4836</v>
      </c>
      <c r="H35" s="149">
        <f t="shared" si="34"/>
        <v>2398</v>
      </c>
      <c r="I35" s="150">
        <f t="shared" si="34"/>
        <v>2</v>
      </c>
      <c r="J35" s="149">
        <f t="shared" si="34"/>
        <v>7452</v>
      </c>
      <c r="K35" s="149">
        <f t="shared" si="34"/>
        <v>212</v>
      </c>
      <c r="L35" s="149">
        <f t="shared" si="34"/>
        <v>0</v>
      </c>
      <c r="M35" s="149">
        <f t="shared" si="34"/>
        <v>4888</v>
      </c>
      <c r="N35" s="149">
        <f t="shared" si="34"/>
        <v>2352</v>
      </c>
      <c r="O35" s="150">
        <f t="shared" si="34"/>
        <v>2</v>
      </c>
      <c r="P35" s="53">
        <f>J35-D35</f>
        <v>2</v>
      </c>
      <c r="Q35" s="10">
        <f>K35-E35</f>
        <v>-4</v>
      </c>
      <c r="R35" s="10">
        <f>L35-F35</f>
        <v>0</v>
      </c>
      <c r="S35" s="55">
        <f>M35-G35</f>
        <v>52</v>
      </c>
      <c r="T35" s="55">
        <f t="shared" si="13"/>
        <v>-46</v>
      </c>
      <c r="U35" s="43">
        <f>O35-I35</f>
        <v>0</v>
      </c>
      <c r="W35" s="84"/>
      <c r="X35" s="84"/>
      <c r="Y35" s="84"/>
      <c r="Z35" s="84"/>
      <c r="AA35" s="84"/>
    </row>
    <row r="36" spans="1:62" s="88" customFormat="1" ht="15.75" customHeight="1" thickBot="1" x14ac:dyDescent="0.3">
      <c r="A36" s="151"/>
      <c r="B36" s="152"/>
      <c r="C36" s="153" t="s">
        <v>64</v>
      </c>
      <c r="D36" s="11">
        <f t="shared" ref="D36:O36" si="35">D19+D25+D26+D27+D28+D30+D31+D29+D32</f>
        <v>119191</v>
      </c>
      <c r="E36" s="11">
        <f t="shared" si="35"/>
        <v>8124</v>
      </c>
      <c r="F36" s="11">
        <f t="shared" si="35"/>
        <v>5482</v>
      </c>
      <c r="G36" s="11">
        <f t="shared" si="35"/>
        <v>66616</v>
      </c>
      <c r="H36" s="11">
        <f t="shared" si="35"/>
        <v>38969</v>
      </c>
      <c r="I36" s="110">
        <f t="shared" si="35"/>
        <v>0</v>
      </c>
      <c r="J36" s="11">
        <f t="shared" si="35"/>
        <v>109130</v>
      </c>
      <c r="K36" s="11">
        <f t="shared" si="35"/>
        <v>6816</v>
      </c>
      <c r="L36" s="11">
        <f t="shared" si="35"/>
        <v>4275</v>
      </c>
      <c r="M36" s="11">
        <f t="shared" si="35"/>
        <v>60346</v>
      </c>
      <c r="N36" s="11">
        <f t="shared" si="35"/>
        <v>37693</v>
      </c>
      <c r="O36" s="110">
        <f t="shared" si="35"/>
        <v>0</v>
      </c>
      <c r="P36" s="56">
        <f>J36-D36</f>
        <v>-10061</v>
      </c>
      <c r="Q36" s="12">
        <f t="shared" ref="Q36:S36" si="36">K36-E36</f>
        <v>-1308</v>
      </c>
      <c r="R36" s="12">
        <f t="shared" si="36"/>
        <v>-1207</v>
      </c>
      <c r="S36" s="57">
        <f t="shared" si="36"/>
        <v>-6270</v>
      </c>
      <c r="T36" s="57">
        <f t="shared" si="13"/>
        <v>-1276</v>
      </c>
      <c r="U36" s="44">
        <f>O36-I36</f>
        <v>0</v>
      </c>
      <c r="W36" s="84"/>
      <c r="X36" s="84"/>
      <c r="Y36" s="84"/>
      <c r="Z36" s="84"/>
      <c r="AA36" s="84"/>
    </row>
    <row r="37" spans="1:62" s="93" customFormat="1" ht="15.6" customHeight="1" x14ac:dyDescent="0.25">
      <c r="A37" s="154" t="s">
        <v>65</v>
      </c>
      <c r="B37" s="67"/>
      <c r="C37" s="64"/>
      <c r="D37" s="65"/>
      <c r="E37" s="65"/>
      <c r="F37" s="65"/>
      <c r="G37" s="63"/>
      <c r="H37" s="65"/>
      <c r="I37" s="65"/>
      <c r="J37" s="83"/>
      <c r="K37" s="83"/>
      <c r="L37" s="83"/>
      <c r="M37" s="83"/>
      <c r="N37" s="83"/>
      <c r="O37" s="83"/>
      <c r="P37" s="65"/>
      <c r="Q37" s="65"/>
      <c r="R37" s="65"/>
      <c r="S37" s="65"/>
      <c r="T37" s="65"/>
      <c r="U37" s="65"/>
      <c r="V37" s="92"/>
      <c r="W37" s="84"/>
      <c r="X37" s="84"/>
      <c r="Y37" s="84"/>
      <c r="Z37" s="84"/>
      <c r="AA37" s="84"/>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s="93" customFormat="1" ht="15.6" customHeight="1" x14ac:dyDescent="0.25">
      <c r="A38" s="155" t="s">
        <v>66</v>
      </c>
      <c r="B38" s="68"/>
      <c r="C38" s="64"/>
      <c r="D38" s="65"/>
      <c r="E38" s="65"/>
      <c r="F38" s="65"/>
      <c r="G38" s="63"/>
      <c r="H38" s="65"/>
      <c r="I38" s="65"/>
      <c r="J38" s="65"/>
      <c r="K38" s="65"/>
      <c r="L38" s="65"/>
      <c r="M38" s="65"/>
      <c r="N38" s="65"/>
      <c r="O38" s="65"/>
      <c r="P38" s="65"/>
      <c r="Q38" s="65"/>
      <c r="R38" s="65"/>
      <c r="S38" s="65"/>
      <c r="T38" s="65"/>
      <c r="U38" s="65"/>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s="93" customFormat="1" ht="16.5" x14ac:dyDescent="0.2">
      <c r="A39" s="155" t="s">
        <v>67</v>
      </c>
      <c r="B39" s="156"/>
      <c r="C39" s="68"/>
      <c r="D39" s="69"/>
      <c r="E39" s="69"/>
      <c r="F39" s="69"/>
      <c r="G39" s="69"/>
      <c r="H39" s="69"/>
      <c r="I39" s="68"/>
      <c r="J39" s="63"/>
      <c r="K39" s="63"/>
      <c r="L39" s="63"/>
      <c r="M39" s="63"/>
      <c r="N39" s="63"/>
      <c r="O39" s="70"/>
      <c r="P39" s="63"/>
      <c r="Q39" s="63"/>
      <c r="R39" s="63"/>
      <c r="S39" s="63"/>
      <c r="T39" s="63"/>
      <c r="U39" s="66"/>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row>
    <row r="40" spans="1:62" s="93" customFormat="1" ht="16.5" x14ac:dyDescent="0.2">
      <c r="A40" s="157" t="s">
        <v>68</v>
      </c>
      <c r="B40" s="156"/>
      <c r="C40" s="68"/>
      <c r="D40" s="69"/>
      <c r="E40" s="69"/>
      <c r="F40" s="69"/>
      <c r="G40" s="69"/>
      <c r="H40" s="69"/>
      <c r="I40" s="68"/>
      <c r="J40" s="63"/>
      <c r="K40" s="63"/>
      <c r="L40" s="63"/>
      <c r="M40" s="63"/>
      <c r="N40" s="63"/>
      <c r="O40" s="70"/>
      <c r="P40" s="63"/>
      <c r="Q40" s="63"/>
      <c r="R40" s="63"/>
      <c r="S40" s="63"/>
      <c r="T40" s="63"/>
      <c r="U40" s="66"/>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row>
    <row r="41" spans="1:62" s="93" customFormat="1" ht="16.5" x14ac:dyDescent="0.2">
      <c r="A41" s="157" t="s">
        <v>69</v>
      </c>
      <c r="B41" s="156"/>
      <c r="C41" s="68"/>
      <c r="D41" s="69"/>
      <c r="E41" s="69"/>
      <c r="F41" s="69"/>
      <c r="G41" s="69"/>
      <c r="H41" s="69"/>
      <c r="I41" s="68"/>
      <c r="J41" s="63"/>
      <c r="K41" s="63"/>
      <c r="L41" s="63"/>
      <c r="M41" s="63"/>
      <c r="N41" s="63"/>
      <c r="O41" s="63"/>
      <c r="P41" s="63"/>
      <c r="Q41" s="63"/>
      <c r="R41" s="63"/>
      <c r="S41" s="63"/>
      <c r="T41" s="63"/>
      <c r="U41" s="66"/>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row>
    <row r="42" spans="1:62" s="93" customFormat="1" ht="16.5" x14ac:dyDescent="0.2">
      <c r="A42" s="158" t="s">
        <v>70</v>
      </c>
      <c r="B42" s="156"/>
      <c r="C42" s="68"/>
      <c r="D42" s="69"/>
      <c r="E42" s="69"/>
      <c r="F42" s="69"/>
      <c r="G42" s="69"/>
      <c r="H42" s="69"/>
      <c r="I42" s="68"/>
      <c r="J42" s="63"/>
      <c r="K42" s="63"/>
      <c r="L42" s="63"/>
      <c r="M42" s="63"/>
      <c r="N42" s="63"/>
      <c r="O42" s="63"/>
      <c r="P42" s="63"/>
      <c r="Q42" s="63"/>
      <c r="R42" s="63"/>
      <c r="S42" s="63"/>
      <c r="T42" s="63"/>
      <c r="U42" s="66"/>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row>
    <row r="43" spans="1:62" s="93" customFormat="1" ht="16.5" x14ac:dyDescent="0.2">
      <c r="A43" s="158" t="s">
        <v>71</v>
      </c>
      <c r="B43" s="156"/>
      <c r="C43" s="68"/>
      <c r="D43" s="69"/>
      <c r="E43" s="69"/>
      <c r="F43" s="69"/>
      <c r="G43" s="69"/>
      <c r="H43" s="69"/>
      <c r="I43" s="68"/>
      <c r="J43" s="63"/>
      <c r="K43" s="63"/>
      <c r="L43" s="63"/>
      <c r="M43" s="63"/>
      <c r="N43" s="63"/>
      <c r="O43" s="63"/>
      <c r="P43" s="63"/>
      <c r="Q43" s="63"/>
      <c r="R43" s="63"/>
      <c r="S43" s="63"/>
      <c r="T43" s="63"/>
      <c r="U43" s="66"/>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row>
    <row r="44" spans="1:62" s="93" customFormat="1" ht="16.5" x14ac:dyDescent="0.2">
      <c r="A44" s="158" t="s">
        <v>72</v>
      </c>
      <c r="B44" s="156"/>
      <c r="C44" s="68"/>
      <c r="D44" s="69"/>
      <c r="E44" s="69"/>
      <c r="F44" s="69"/>
      <c r="G44" s="69"/>
      <c r="H44" s="69"/>
      <c r="I44" s="68"/>
      <c r="J44" s="63"/>
      <c r="K44" s="63"/>
      <c r="L44" s="63"/>
      <c r="M44" s="63"/>
      <c r="N44" s="63"/>
      <c r="O44" s="63"/>
      <c r="P44" s="63"/>
      <c r="Q44" s="63"/>
      <c r="R44" s="63"/>
      <c r="S44" s="63"/>
      <c r="T44" s="63"/>
      <c r="U44" s="66"/>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row>
    <row r="45" spans="1:62" s="93" customFormat="1" ht="16.5" x14ac:dyDescent="0.2">
      <c r="A45" s="158" t="s">
        <v>73</v>
      </c>
      <c r="B45" s="156"/>
      <c r="C45" s="68"/>
      <c r="D45" s="69"/>
      <c r="E45" s="69"/>
      <c r="F45" s="69"/>
      <c r="G45" s="69"/>
      <c r="H45" s="69"/>
      <c r="I45" s="68"/>
      <c r="J45" s="63"/>
      <c r="K45" s="63"/>
      <c r="L45" s="63"/>
      <c r="M45" s="63"/>
      <c r="N45" s="63"/>
      <c r="O45" s="63"/>
      <c r="P45" s="63"/>
      <c r="Q45" s="63"/>
      <c r="R45" s="63"/>
      <c r="S45" s="63"/>
      <c r="T45" s="63"/>
      <c r="U45" s="66"/>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row>
    <row r="46" spans="1:62" s="85" customFormat="1" x14ac:dyDescent="0.2">
      <c r="A46" s="155"/>
      <c r="B46" s="155"/>
      <c r="C46" s="71"/>
      <c r="D46" s="72"/>
      <c r="E46" s="72"/>
      <c r="F46" s="72"/>
      <c r="G46" s="72"/>
      <c r="H46" s="72"/>
      <c r="I46" s="71"/>
      <c r="J46" s="47"/>
      <c r="K46" s="47"/>
      <c r="L46" s="47"/>
      <c r="M46" s="47"/>
      <c r="N46" s="47"/>
      <c r="O46" s="47"/>
      <c r="P46" s="47"/>
      <c r="Q46" s="47"/>
      <c r="R46" s="47"/>
      <c r="S46" s="47"/>
      <c r="T46" s="47"/>
      <c r="U46" s="28"/>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row>
    <row r="47" spans="1:62" s="85" customFormat="1" x14ac:dyDescent="0.2">
      <c r="A47" s="2" t="s">
        <v>4</v>
      </c>
      <c r="B47" s="159"/>
      <c r="C47" s="2"/>
      <c r="D47" s="160"/>
      <c r="E47" s="160"/>
      <c r="F47" s="160"/>
      <c r="G47" s="160"/>
      <c r="H47" s="161"/>
      <c r="I47" s="159"/>
      <c r="J47" s="161"/>
      <c r="K47" s="161"/>
      <c r="L47" s="161"/>
      <c r="M47" s="161"/>
      <c r="N47" s="161"/>
      <c r="O47" s="159"/>
      <c r="P47" s="161"/>
      <c r="Q47" s="161"/>
      <c r="R47" s="161"/>
      <c r="S47" s="161"/>
      <c r="T47" s="161"/>
      <c r="U47" s="162"/>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row>
    <row r="48" spans="1:62" s="85" customFormat="1" ht="16.5" thickBot="1" x14ac:dyDescent="0.3">
      <c r="A48" s="105" t="s">
        <v>74</v>
      </c>
      <c r="B48" s="24"/>
      <c r="C48" s="24"/>
      <c r="D48" s="24"/>
      <c r="E48" s="24"/>
      <c r="F48" s="24"/>
      <c r="G48" s="24"/>
      <c r="H48" s="24"/>
      <c r="I48" s="24"/>
      <c r="J48" s="24"/>
      <c r="K48" s="24"/>
      <c r="L48" s="24"/>
      <c r="M48" s="24"/>
      <c r="N48" s="24"/>
      <c r="O48" s="24"/>
      <c r="P48" s="24"/>
      <c r="Q48" s="24"/>
      <c r="R48" s="24"/>
      <c r="S48" s="24"/>
      <c r="T48" s="24"/>
      <c r="U48" s="25"/>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row>
    <row r="49" spans="1:62" s="87" customFormat="1" ht="15.75" x14ac:dyDescent="0.25">
      <c r="A49" s="106" t="s">
        <v>6</v>
      </c>
      <c r="B49" s="59"/>
      <c r="C49" s="60"/>
      <c r="D49" s="105" t="s">
        <v>75</v>
      </c>
      <c r="E49" s="24"/>
      <c r="F49" s="24"/>
      <c r="G49" s="24"/>
      <c r="H49" s="24"/>
      <c r="I49" s="25"/>
      <c r="J49" s="105" t="s">
        <v>76</v>
      </c>
      <c r="K49" s="24"/>
      <c r="L49" s="24"/>
      <c r="M49" s="24"/>
      <c r="N49" s="24"/>
      <c r="O49" s="25"/>
      <c r="P49" s="36" t="s">
        <v>77</v>
      </c>
      <c r="Q49" s="37"/>
      <c r="R49" s="37"/>
      <c r="S49" s="37"/>
      <c r="T49" s="37"/>
      <c r="U49" s="38"/>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row>
    <row r="50" spans="1:62" s="87" customFormat="1" ht="19.5" thickBot="1" x14ac:dyDescent="0.3">
      <c r="A50" s="39" t="s">
        <v>10</v>
      </c>
      <c r="B50" s="15" t="s">
        <v>11</v>
      </c>
      <c r="C50" s="16" t="s">
        <v>12</v>
      </c>
      <c r="D50" s="124" t="s">
        <v>13</v>
      </c>
      <c r="E50" s="125" t="s">
        <v>14</v>
      </c>
      <c r="F50" s="128" t="s">
        <v>78</v>
      </c>
      <c r="G50" s="125" t="s">
        <v>16</v>
      </c>
      <c r="H50" s="126" t="s">
        <v>17</v>
      </c>
      <c r="I50" s="163" t="s">
        <v>18</v>
      </c>
      <c r="J50" s="124" t="s">
        <v>19</v>
      </c>
      <c r="K50" s="164" t="s">
        <v>20</v>
      </c>
      <c r="L50" s="128" t="s">
        <v>79</v>
      </c>
      <c r="M50" s="164" t="s">
        <v>22</v>
      </c>
      <c r="N50" s="165" t="s">
        <v>80</v>
      </c>
      <c r="O50" s="166" t="s">
        <v>24</v>
      </c>
      <c r="P50" s="4" t="s">
        <v>25</v>
      </c>
      <c r="Q50" s="5" t="s">
        <v>26</v>
      </c>
      <c r="R50" s="5" t="s">
        <v>27</v>
      </c>
      <c r="S50" s="5" t="s">
        <v>28</v>
      </c>
      <c r="T50" s="6" t="s">
        <v>29</v>
      </c>
      <c r="U50" s="73" t="s">
        <v>81</v>
      </c>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row>
    <row r="51" spans="1:62" s="84" customFormat="1" ht="18.75" x14ac:dyDescent="0.25">
      <c r="A51" s="132" t="s">
        <v>31</v>
      </c>
      <c r="B51" s="133" t="s">
        <v>32</v>
      </c>
      <c r="C51" s="133"/>
      <c r="D51" s="7">
        <f t="shared" ref="D51:I51" si="37">SUM(D52:D55)</f>
        <v>825665</v>
      </c>
      <c r="E51" s="8">
        <f t="shared" si="37"/>
        <v>112284</v>
      </c>
      <c r="F51" s="8">
        <f t="shared" si="37"/>
        <v>56422</v>
      </c>
      <c r="G51" s="8">
        <f t="shared" si="37"/>
        <v>634096</v>
      </c>
      <c r="H51" s="8">
        <f t="shared" si="37"/>
        <v>22863</v>
      </c>
      <c r="I51" s="29">
        <f t="shared" si="37"/>
        <v>0</v>
      </c>
      <c r="J51" s="7">
        <f t="shared" ref="J51:O51" si="38">SUM(J52:J55)</f>
        <v>824519</v>
      </c>
      <c r="K51" s="8">
        <f t="shared" si="38"/>
        <v>106561</v>
      </c>
      <c r="L51" s="8">
        <f t="shared" si="38"/>
        <v>57345</v>
      </c>
      <c r="M51" s="8">
        <f t="shared" si="38"/>
        <v>639407</v>
      </c>
      <c r="N51" s="8">
        <f t="shared" si="38"/>
        <v>21206</v>
      </c>
      <c r="O51" s="29">
        <f t="shared" si="38"/>
        <v>0</v>
      </c>
      <c r="P51" s="7">
        <f t="shared" ref="P51:P56" si="39">J51-D51</f>
        <v>-1146</v>
      </c>
      <c r="Q51" s="8">
        <f t="shared" ref="Q51:Q66" si="40">K51-E51</f>
        <v>-5723</v>
      </c>
      <c r="R51" s="8">
        <f t="shared" ref="R51:R66" si="41">L51-F51</f>
        <v>923</v>
      </c>
      <c r="S51" s="8">
        <f t="shared" ref="S51:S66" si="42">M51-G51</f>
        <v>5311</v>
      </c>
      <c r="T51" s="8">
        <f t="shared" ref="T51:T66" si="43">N51-H51</f>
        <v>-1657</v>
      </c>
      <c r="U51" s="40">
        <f t="shared" ref="U51:U56" si="44">O51-I51</f>
        <v>0</v>
      </c>
    </row>
    <row r="52" spans="1:62" s="84" customFormat="1" x14ac:dyDescent="0.2">
      <c r="A52" s="134" t="s">
        <v>31</v>
      </c>
      <c r="B52" s="135" t="s">
        <v>33</v>
      </c>
      <c r="C52" s="136" t="s">
        <v>34</v>
      </c>
      <c r="D52" s="9">
        <f t="shared" ref="D52:D55" si="45">SUM(E52:H52)</f>
        <v>269208</v>
      </c>
      <c r="E52" s="10">
        <v>64821</v>
      </c>
      <c r="F52" s="10">
        <v>49159</v>
      </c>
      <c r="G52" s="10">
        <v>135400</v>
      </c>
      <c r="H52" s="10">
        <v>19828</v>
      </c>
      <c r="I52" s="33">
        <v>0</v>
      </c>
      <c r="J52" s="9">
        <f t="shared" ref="J52:J55" si="46">SUM(K52:N52)</f>
        <v>262050</v>
      </c>
      <c r="K52" s="10">
        <v>58550</v>
      </c>
      <c r="L52" s="10">
        <v>49947</v>
      </c>
      <c r="M52" s="10">
        <f>131850+3324</f>
        <v>135174</v>
      </c>
      <c r="N52" s="10">
        <v>18379</v>
      </c>
      <c r="O52" s="101">
        <v>0</v>
      </c>
      <c r="P52" s="9">
        <f t="shared" si="39"/>
        <v>-7158</v>
      </c>
      <c r="Q52" s="10">
        <f t="shared" si="40"/>
        <v>-6271</v>
      </c>
      <c r="R52" s="10">
        <f t="shared" si="41"/>
        <v>788</v>
      </c>
      <c r="S52" s="10">
        <f t="shared" si="42"/>
        <v>-226</v>
      </c>
      <c r="T52" s="10">
        <f t="shared" si="43"/>
        <v>-1449</v>
      </c>
      <c r="U52" s="41">
        <f t="shared" si="44"/>
        <v>0</v>
      </c>
    </row>
    <row r="53" spans="1:62" s="84" customFormat="1" x14ac:dyDescent="0.2">
      <c r="A53" s="134" t="s">
        <v>31</v>
      </c>
      <c r="B53" s="135" t="s">
        <v>35</v>
      </c>
      <c r="C53" s="136" t="s">
        <v>36</v>
      </c>
      <c r="D53" s="9">
        <f t="shared" si="45"/>
        <v>549016</v>
      </c>
      <c r="E53" s="10">
        <v>47248</v>
      </c>
      <c r="F53" s="10">
        <v>5391</v>
      </c>
      <c r="G53" s="10">
        <v>494115</v>
      </c>
      <c r="H53" s="10">
        <v>2262</v>
      </c>
      <c r="I53" s="33">
        <v>0</v>
      </c>
      <c r="J53" s="9">
        <f t="shared" si="46"/>
        <v>555288</v>
      </c>
      <c r="K53" s="10">
        <v>47807</v>
      </c>
      <c r="L53" s="10">
        <v>5576</v>
      </c>
      <c r="M53" s="10">
        <v>499759</v>
      </c>
      <c r="N53" s="10">
        <v>2146</v>
      </c>
      <c r="O53" s="101">
        <v>0</v>
      </c>
      <c r="P53" s="9">
        <f t="shared" si="39"/>
        <v>6272</v>
      </c>
      <c r="Q53" s="10">
        <f t="shared" si="40"/>
        <v>559</v>
      </c>
      <c r="R53" s="10">
        <f t="shared" si="41"/>
        <v>185</v>
      </c>
      <c r="S53" s="10">
        <f t="shared" si="42"/>
        <v>5644</v>
      </c>
      <c r="T53" s="10">
        <f t="shared" si="43"/>
        <v>-116</v>
      </c>
      <c r="U53" s="41">
        <f t="shared" si="44"/>
        <v>0</v>
      </c>
    </row>
    <row r="54" spans="1:62" s="84" customFormat="1" x14ac:dyDescent="0.2">
      <c r="A54" s="134" t="s">
        <v>31</v>
      </c>
      <c r="B54" s="135" t="s">
        <v>37</v>
      </c>
      <c r="C54" s="136" t="s">
        <v>34</v>
      </c>
      <c r="D54" s="9">
        <f t="shared" si="45"/>
        <v>5290</v>
      </c>
      <c r="E54" s="10">
        <v>0</v>
      </c>
      <c r="F54" s="10">
        <v>1872</v>
      </c>
      <c r="G54" s="10">
        <v>2645</v>
      </c>
      <c r="H54" s="10">
        <v>773</v>
      </c>
      <c r="I54" s="33">
        <v>0</v>
      </c>
      <c r="J54" s="9">
        <f t="shared" si="46"/>
        <v>5138</v>
      </c>
      <c r="K54" s="10">
        <v>0</v>
      </c>
      <c r="L54" s="10">
        <v>1822</v>
      </c>
      <c r="M54" s="10">
        <f>2569+66</f>
        <v>2635</v>
      </c>
      <c r="N54" s="10">
        <v>681</v>
      </c>
      <c r="O54" s="101">
        <v>0</v>
      </c>
      <c r="P54" s="9">
        <f t="shared" si="39"/>
        <v>-152</v>
      </c>
      <c r="Q54" s="10">
        <f t="shared" si="40"/>
        <v>0</v>
      </c>
      <c r="R54" s="10">
        <f t="shared" si="41"/>
        <v>-50</v>
      </c>
      <c r="S54" s="10">
        <f t="shared" si="42"/>
        <v>-10</v>
      </c>
      <c r="T54" s="10">
        <f t="shared" si="43"/>
        <v>-92</v>
      </c>
      <c r="U54" s="41">
        <f t="shared" si="44"/>
        <v>0</v>
      </c>
    </row>
    <row r="55" spans="1:62" s="84" customFormat="1" ht="15.75" thickBot="1" x14ac:dyDescent="0.25">
      <c r="A55" s="134" t="s">
        <v>31</v>
      </c>
      <c r="B55" s="135" t="s">
        <v>37</v>
      </c>
      <c r="C55" s="136" t="s">
        <v>38</v>
      </c>
      <c r="D55" s="11">
        <f t="shared" si="45"/>
        <v>2151</v>
      </c>
      <c r="E55" s="12">
        <v>215</v>
      </c>
      <c r="F55" s="12">
        <v>0</v>
      </c>
      <c r="G55" s="12">
        <v>1936</v>
      </c>
      <c r="H55" s="12">
        <v>0</v>
      </c>
      <c r="I55" s="62">
        <v>0</v>
      </c>
      <c r="J55" s="11">
        <f t="shared" si="46"/>
        <v>2043</v>
      </c>
      <c r="K55" s="12">
        <v>204</v>
      </c>
      <c r="L55" s="12">
        <v>0</v>
      </c>
      <c r="M55" s="12">
        <v>1839</v>
      </c>
      <c r="N55" s="12">
        <v>0</v>
      </c>
      <c r="O55" s="102">
        <v>0</v>
      </c>
      <c r="P55" s="9">
        <f t="shared" si="39"/>
        <v>-108</v>
      </c>
      <c r="Q55" s="10">
        <f t="shared" si="40"/>
        <v>-11</v>
      </c>
      <c r="R55" s="10">
        <f t="shared" si="41"/>
        <v>0</v>
      </c>
      <c r="S55" s="10">
        <f t="shared" si="42"/>
        <v>-97</v>
      </c>
      <c r="T55" s="10">
        <f t="shared" si="43"/>
        <v>0</v>
      </c>
      <c r="U55" s="41">
        <f t="shared" si="44"/>
        <v>0</v>
      </c>
    </row>
    <row r="56" spans="1:62" s="84" customFormat="1" ht="15.75" x14ac:dyDescent="0.25">
      <c r="A56" s="132" t="s">
        <v>39</v>
      </c>
      <c r="B56" s="137" t="s">
        <v>40</v>
      </c>
      <c r="C56" s="137"/>
      <c r="D56" s="13">
        <f t="shared" ref="D56:I56" si="47">SUM(D57:D60)</f>
        <v>8805</v>
      </c>
      <c r="E56" s="14">
        <f t="shared" si="47"/>
        <v>460</v>
      </c>
      <c r="F56" s="14">
        <f t="shared" si="47"/>
        <v>0</v>
      </c>
      <c r="G56" s="14">
        <f t="shared" si="47"/>
        <v>5962</v>
      </c>
      <c r="H56" s="14">
        <f t="shared" si="47"/>
        <v>2383</v>
      </c>
      <c r="I56" s="30">
        <f t="shared" si="47"/>
        <v>1053</v>
      </c>
      <c r="J56" s="13">
        <f t="shared" ref="J56:O56" si="48">SUM(J57:J60)</f>
        <v>10116</v>
      </c>
      <c r="K56" s="14">
        <f t="shared" si="48"/>
        <v>576</v>
      </c>
      <c r="L56" s="14">
        <f t="shared" si="48"/>
        <v>0</v>
      </c>
      <c r="M56" s="14">
        <f t="shared" si="48"/>
        <v>6977</v>
      </c>
      <c r="N56" s="14">
        <f t="shared" si="48"/>
        <v>2563</v>
      </c>
      <c r="O56" s="30">
        <f t="shared" si="48"/>
        <v>1154</v>
      </c>
      <c r="P56" s="7">
        <f t="shared" si="39"/>
        <v>1311</v>
      </c>
      <c r="Q56" s="8">
        <f t="shared" si="40"/>
        <v>116</v>
      </c>
      <c r="R56" s="8">
        <f t="shared" si="41"/>
        <v>0</v>
      </c>
      <c r="S56" s="8">
        <f t="shared" si="42"/>
        <v>1015</v>
      </c>
      <c r="T56" s="8">
        <f t="shared" si="43"/>
        <v>180</v>
      </c>
      <c r="U56" s="40">
        <f t="shared" si="44"/>
        <v>101</v>
      </c>
    </row>
    <row r="57" spans="1:62" s="84" customFormat="1" x14ac:dyDescent="0.2">
      <c r="A57" s="134" t="s">
        <v>39</v>
      </c>
      <c r="B57" s="136" t="s">
        <v>35</v>
      </c>
      <c r="C57" s="136" t="s">
        <v>34</v>
      </c>
      <c r="D57" s="9">
        <f>SUM(E57:H57)</f>
        <v>4905</v>
      </c>
      <c r="E57" s="10">
        <v>71</v>
      </c>
      <c r="F57" s="10">
        <v>0</v>
      </c>
      <c r="G57" s="10">
        <v>2455</v>
      </c>
      <c r="H57" s="10">
        <v>2379</v>
      </c>
      <c r="I57" s="111">
        <v>570</v>
      </c>
      <c r="J57" s="9">
        <f>SUM(K57:N57)</f>
        <v>5317</v>
      </c>
      <c r="K57" s="10">
        <v>97</v>
      </c>
      <c r="L57" s="10">
        <v>0</v>
      </c>
      <c r="M57" s="10">
        <v>2662</v>
      </c>
      <c r="N57" s="10">
        <v>2558</v>
      </c>
      <c r="O57" s="111">
        <v>544</v>
      </c>
      <c r="P57" s="9">
        <f>J57-D57</f>
        <v>412</v>
      </c>
      <c r="Q57" s="10">
        <f t="shared" si="40"/>
        <v>26</v>
      </c>
      <c r="R57" s="10">
        <f t="shared" si="41"/>
        <v>0</v>
      </c>
      <c r="S57" s="10">
        <f t="shared" si="42"/>
        <v>207</v>
      </c>
      <c r="T57" s="10">
        <f t="shared" si="43"/>
        <v>179</v>
      </c>
      <c r="U57" s="41">
        <f>O57-I57</f>
        <v>-26</v>
      </c>
    </row>
    <row r="58" spans="1:62" s="84" customFormat="1" x14ac:dyDescent="0.2">
      <c r="A58" s="134" t="s">
        <v>39</v>
      </c>
      <c r="B58" s="136" t="s">
        <v>35</v>
      </c>
      <c r="C58" s="136" t="s">
        <v>36</v>
      </c>
      <c r="D58" s="9">
        <f>SUM(E58:H58)</f>
        <v>3878</v>
      </c>
      <c r="E58" s="10">
        <v>388</v>
      </c>
      <c r="F58" s="10">
        <v>0</v>
      </c>
      <c r="G58" s="10">
        <v>3490</v>
      </c>
      <c r="H58" s="10">
        <v>0</v>
      </c>
      <c r="I58" s="111">
        <v>481</v>
      </c>
      <c r="J58" s="9">
        <f>SUM(K58:N58)</f>
        <v>4774</v>
      </c>
      <c r="K58" s="10">
        <v>478</v>
      </c>
      <c r="L58" s="10">
        <v>0</v>
      </c>
      <c r="M58" s="10">
        <v>4296</v>
      </c>
      <c r="N58" s="10">
        <v>0</v>
      </c>
      <c r="O58" s="111">
        <v>608</v>
      </c>
      <c r="P58" s="9">
        <f t="shared" ref="P58:P61" si="49">J58-D58</f>
        <v>896</v>
      </c>
      <c r="Q58" s="10">
        <f t="shared" si="40"/>
        <v>90</v>
      </c>
      <c r="R58" s="10">
        <f t="shared" si="41"/>
        <v>0</v>
      </c>
      <c r="S58" s="10">
        <f t="shared" si="42"/>
        <v>806</v>
      </c>
      <c r="T58" s="10">
        <f t="shared" si="43"/>
        <v>0</v>
      </c>
      <c r="U58" s="41">
        <f t="shared" ref="U58:U66" si="50">O58-I58</f>
        <v>127</v>
      </c>
    </row>
    <row r="59" spans="1:62" s="84" customFormat="1" x14ac:dyDescent="0.2">
      <c r="A59" s="134" t="s">
        <v>39</v>
      </c>
      <c r="B59" s="136" t="s">
        <v>37</v>
      </c>
      <c r="C59" s="136" t="s">
        <v>34</v>
      </c>
      <c r="D59" s="9">
        <f>SUM(E59:H59)</f>
        <v>8</v>
      </c>
      <c r="E59" s="10">
        <v>0</v>
      </c>
      <c r="F59" s="10">
        <v>0</v>
      </c>
      <c r="G59" s="10">
        <v>4</v>
      </c>
      <c r="H59" s="10">
        <v>4</v>
      </c>
      <c r="I59" s="111">
        <v>1</v>
      </c>
      <c r="J59" s="9">
        <f>SUM(K59:N59)</f>
        <v>10</v>
      </c>
      <c r="K59" s="10">
        <v>0</v>
      </c>
      <c r="L59" s="10">
        <v>0</v>
      </c>
      <c r="M59" s="10">
        <v>5</v>
      </c>
      <c r="N59" s="10">
        <v>5</v>
      </c>
      <c r="O59" s="111">
        <v>1</v>
      </c>
      <c r="P59" s="9">
        <f t="shared" si="49"/>
        <v>2</v>
      </c>
      <c r="Q59" s="10">
        <f t="shared" si="40"/>
        <v>0</v>
      </c>
      <c r="R59" s="10">
        <f t="shared" si="41"/>
        <v>0</v>
      </c>
      <c r="S59" s="10">
        <f t="shared" si="42"/>
        <v>1</v>
      </c>
      <c r="T59" s="10">
        <f t="shared" si="43"/>
        <v>1</v>
      </c>
      <c r="U59" s="41">
        <f t="shared" si="50"/>
        <v>0</v>
      </c>
    </row>
    <row r="60" spans="1:62" s="84" customFormat="1" ht="15.75" thickBot="1" x14ac:dyDescent="0.25">
      <c r="A60" s="134" t="s">
        <v>39</v>
      </c>
      <c r="B60" s="136" t="s">
        <v>37</v>
      </c>
      <c r="C60" s="136" t="s">
        <v>38</v>
      </c>
      <c r="D60" s="11">
        <f>SUM(E60:H60)</f>
        <v>14</v>
      </c>
      <c r="E60" s="12">
        <v>1</v>
      </c>
      <c r="F60" s="12">
        <v>0</v>
      </c>
      <c r="G60" s="12">
        <v>13</v>
      </c>
      <c r="H60" s="12">
        <v>0</v>
      </c>
      <c r="I60" s="112">
        <v>1</v>
      </c>
      <c r="J60" s="11">
        <f>SUM(K60:N60)</f>
        <v>15</v>
      </c>
      <c r="K60" s="12">
        <v>1</v>
      </c>
      <c r="L60" s="12">
        <v>0</v>
      </c>
      <c r="M60" s="12">
        <v>14</v>
      </c>
      <c r="N60" s="12">
        <v>0</v>
      </c>
      <c r="O60" s="112">
        <v>1</v>
      </c>
      <c r="P60" s="11">
        <f t="shared" si="49"/>
        <v>1</v>
      </c>
      <c r="Q60" s="12">
        <f t="shared" si="40"/>
        <v>0</v>
      </c>
      <c r="R60" s="12">
        <f t="shared" si="41"/>
        <v>0</v>
      </c>
      <c r="S60" s="12">
        <f t="shared" si="42"/>
        <v>1</v>
      </c>
      <c r="T60" s="12">
        <f t="shared" si="43"/>
        <v>0</v>
      </c>
      <c r="U60" s="42">
        <f t="shared" si="50"/>
        <v>0</v>
      </c>
    </row>
    <row r="61" spans="1:62" s="84" customFormat="1" ht="16.149999999999999" customHeight="1" thickBot="1" x14ac:dyDescent="0.3">
      <c r="A61" s="132" t="s">
        <v>41</v>
      </c>
      <c r="B61" s="133" t="s">
        <v>42</v>
      </c>
      <c r="C61" s="138"/>
      <c r="D61" s="51">
        <f t="shared" ref="D61" si="51">SUM(E61:H61)</f>
        <v>27958</v>
      </c>
      <c r="E61" s="113">
        <v>0</v>
      </c>
      <c r="F61" s="113">
        <v>6448</v>
      </c>
      <c r="G61" s="113">
        <v>21510</v>
      </c>
      <c r="H61" s="113">
        <v>0</v>
      </c>
      <c r="I61" s="97">
        <v>0</v>
      </c>
      <c r="J61" s="51">
        <f t="shared" ref="J61" si="52">SUM(K61:N61)</f>
        <v>35582</v>
      </c>
      <c r="K61" s="50">
        <v>0</v>
      </c>
      <c r="L61" s="50">
        <f>6098+1901</f>
        <v>7999</v>
      </c>
      <c r="M61" s="50">
        <f>27497+86</f>
        <v>27583</v>
      </c>
      <c r="N61" s="50">
        <v>0</v>
      </c>
      <c r="O61" s="103">
        <v>0</v>
      </c>
      <c r="P61" s="51">
        <f t="shared" si="49"/>
        <v>7624</v>
      </c>
      <c r="Q61" s="50">
        <f t="shared" si="40"/>
        <v>0</v>
      </c>
      <c r="R61" s="50">
        <f t="shared" si="41"/>
        <v>1551</v>
      </c>
      <c r="S61" s="50">
        <f t="shared" si="42"/>
        <v>6073</v>
      </c>
      <c r="T61" s="50">
        <f t="shared" si="43"/>
        <v>0</v>
      </c>
      <c r="U61" s="99">
        <f t="shared" si="50"/>
        <v>0</v>
      </c>
    </row>
    <row r="62" spans="1:62" s="84" customFormat="1" ht="15.75" x14ac:dyDescent="0.25">
      <c r="A62" s="132" t="s">
        <v>43</v>
      </c>
      <c r="B62" s="137" t="s">
        <v>44</v>
      </c>
      <c r="C62" s="137"/>
      <c r="D62" s="7">
        <f t="shared" ref="D62" si="53">SUM(D63:D66)</f>
        <v>1391</v>
      </c>
      <c r="E62" s="8">
        <f>SUM(E63:E66)</f>
        <v>79</v>
      </c>
      <c r="F62" s="8">
        <f>SUM(F63:F66)</f>
        <v>75</v>
      </c>
      <c r="G62" s="8">
        <f t="shared" ref="G62:I62" si="54">SUM(G63:G66)</f>
        <v>991</v>
      </c>
      <c r="H62" s="8">
        <f t="shared" si="54"/>
        <v>246</v>
      </c>
      <c r="I62" s="29">
        <f t="shared" si="54"/>
        <v>0</v>
      </c>
      <c r="J62" s="7">
        <f t="shared" ref="J62" si="55">SUM(J63:J66)</f>
        <v>893</v>
      </c>
      <c r="K62" s="8">
        <f>SUM(K63:K66)</f>
        <v>52</v>
      </c>
      <c r="L62" s="8">
        <f>SUM(L63:L66)</f>
        <v>56</v>
      </c>
      <c r="M62" s="8">
        <f t="shared" ref="M62:O62" si="56">SUM(M63:M66)</f>
        <v>649</v>
      </c>
      <c r="N62" s="8">
        <f t="shared" si="56"/>
        <v>136</v>
      </c>
      <c r="O62" s="29">
        <f t="shared" si="56"/>
        <v>0</v>
      </c>
      <c r="P62" s="8">
        <f t="shared" ref="P62:P63" si="57">J62-D62</f>
        <v>-498</v>
      </c>
      <c r="Q62" s="8">
        <f t="shared" si="40"/>
        <v>-27</v>
      </c>
      <c r="R62" s="8">
        <f t="shared" si="41"/>
        <v>-19</v>
      </c>
      <c r="S62" s="8">
        <f t="shared" si="42"/>
        <v>-342</v>
      </c>
      <c r="T62" s="8">
        <f t="shared" si="43"/>
        <v>-110</v>
      </c>
      <c r="U62" s="40">
        <f t="shared" si="50"/>
        <v>0</v>
      </c>
      <c r="V62" s="88"/>
    </row>
    <row r="63" spans="1:62" s="84" customFormat="1" ht="15.75" x14ac:dyDescent="0.25">
      <c r="A63" s="134" t="s">
        <v>43</v>
      </c>
      <c r="B63" s="135" t="s">
        <v>35</v>
      </c>
      <c r="C63" s="135" t="s">
        <v>34</v>
      </c>
      <c r="D63" s="9">
        <f>SUM(E63:H63)</f>
        <v>651</v>
      </c>
      <c r="E63" s="10">
        <v>5</v>
      </c>
      <c r="F63" s="10">
        <v>75</v>
      </c>
      <c r="G63" s="10">
        <v>326</v>
      </c>
      <c r="H63" s="10">
        <v>245</v>
      </c>
      <c r="I63" s="33">
        <v>0</v>
      </c>
      <c r="J63" s="9">
        <f>SUM(K63:N63)</f>
        <v>405</v>
      </c>
      <c r="K63" s="10">
        <v>3</v>
      </c>
      <c r="L63" s="10">
        <v>56</v>
      </c>
      <c r="M63" s="10">
        <f>203+7</f>
        <v>210</v>
      </c>
      <c r="N63" s="10">
        <v>136</v>
      </c>
      <c r="O63" s="101"/>
      <c r="P63" s="10">
        <f t="shared" si="57"/>
        <v>-246</v>
      </c>
      <c r="Q63" s="10">
        <f t="shared" si="40"/>
        <v>-2</v>
      </c>
      <c r="R63" s="10">
        <f t="shared" si="41"/>
        <v>-19</v>
      </c>
      <c r="S63" s="10">
        <f t="shared" si="42"/>
        <v>-116</v>
      </c>
      <c r="T63" s="10">
        <f t="shared" si="43"/>
        <v>-109</v>
      </c>
      <c r="U63" s="45">
        <f t="shared" si="50"/>
        <v>0</v>
      </c>
      <c r="V63" s="88"/>
    </row>
    <row r="64" spans="1:62" s="84" customFormat="1" ht="15.75" x14ac:dyDescent="0.25">
      <c r="A64" s="134" t="s">
        <v>43</v>
      </c>
      <c r="B64" s="135" t="s">
        <v>35</v>
      </c>
      <c r="C64" s="135" t="s">
        <v>38</v>
      </c>
      <c r="D64" s="9">
        <f>SUM(E64:H64)</f>
        <v>738</v>
      </c>
      <c r="E64" s="10">
        <v>74</v>
      </c>
      <c r="F64" s="10">
        <v>0</v>
      </c>
      <c r="G64" s="10">
        <v>664</v>
      </c>
      <c r="H64" s="10">
        <v>0</v>
      </c>
      <c r="I64" s="33">
        <v>0</v>
      </c>
      <c r="J64" s="9">
        <f>SUM(K64:N64)</f>
        <v>488</v>
      </c>
      <c r="K64" s="10">
        <v>49</v>
      </c>
      <c r="L64" s="10">
        <v>0</v>
      </c>
      <c r="M64" s="10">
        <v>439</v>
      </c>
      <c r="N64" s="10">
        <v>0</v>
      </c>
      <c r="O64" s="101"/>
      <c r="P64" s="10">
        <f>J64-D64</f>
        <v>-250</v>
      </c>
      <c r="Q64" s="10">
        <f t="shared" si="40"/>
        <v>-25</v>
      </c>
      <c r="R64" s="10">
        <f t="shared" si="41"/>
        <v>0</v>
      </c>
      <c r="S64" s="10">
        <f t="shared" si="42"/>
        <v>-225</v>
      </c>
      <c r="T64" s="10">
        <f t="shared" si="43"/>
        <v>0</v>
      </c>
      <c r="U64" s="45">
        <f t="shared" si="50"/>
        <v>0</v>
      </c>
      <c r="V64" s="88"/>
    </row>
    <row r="65" spans="1:62" s="84" customFormat="1" ht="15.75" x14ac:dyDescent="0.25">
      <c r="A65" s="134" t="s">
        <v>43</v>
      </c>
      <c r="B65" s="135" t="s">
        <v>37</v>
      </c>
      <c r="C65" s="135" t="s">
        <v>34</v>
      </c>
      <c r="D65" s="9">
        <f>SUM(E65:H65)</f>
        <v>2</v>
      </c>
      <c r="E65" s="10">
        <v>0</v>
      </c>
      <c r="F65" s="10">
        <v>0</v>
      </c>
      <c r="G65" s="10">
        <v>1</v>
      </c>
      <c r="H65" s="10">
        <v>1</v>
      </c>
      <c r="I65" s="33">
        <v>0</v>
      </c>
      <c r="J65" s="9">
        <f>SUM(K65:N65)</f>
        <v>0</v>
      </c>
      <c r="K65" s="10">
        <v>0</v>
      </c>
      <c r="L65" s="10">
        <v>0</v>
      </c>
      <c r="M65" s="10">
        <v>0</v>
      </c>
      <c r="N65" s="10">
        <v>0</v>
      </c>
      <c r="O65" s="101"/>
      <c r="P65" s="10">
        <f>J65-D65</f>
        <v>-2</v>
      </c>
      <c r="Q65" s="10">
        <f t="shared" si="40"/>
        <v>0</v>
      </c>
      <c r="R65" s="10">
        <f t="shared" si="41"/>
        <v>0</v>
      </c>
      <c r="S65" s="10">
        <f t="shared" si="42"/>
        <v>-1</v>
      </c>
      <c r="T65" s="10">
        <f t="shared" si="43"/>
        <v>-1</v>
      </c>
      <c r="U65" s="45">
        <f t="shared" si="50"/>
        <v>0</v>
      </c>
      <c r="V65" s="88"/>
    </row>
    <row r="66" spans="1:62" s="84" customFormat="1" ht="16.5" thickBot="1" x14ac:dyDescent="0.3">
      <c r="A66" s="134" t="s">
        <v>43</v>
      </c>
      <c r="B66" s="135" t="s">
        <v>37</v>
      </c>
      <c r="C66" s="135" t="s">
        <v>36</v>
      </c>
      <c r="D66" s="11">
        <f>SUM(E66:H66)</f>
        <v>0</v>
      </c>
      <c r="E66" s="12">
        <v>0</v>
      </c>
      <c r="F66" s="12">
        <v>0</v>
      </c>
      <c r="G66" s="12">
        <v>0</v>
      </c>
      <c r="H66" s="12">
        <v>0</v>
      </c>
      <c r="I66" s="97">
        <v>0</v>
      </c>
      <c r="J66" s="11">
        <f>SUM(K66:N66)</f>
        <v>0</v>
      </c>
      <c r="K66" s="12">
        <v>0</v>
      </c>
      <c r="L66" s="12">
        <v>0</v>
      </c>
      <c r="M66" s="12">
        <v>0</v>
      </c>
      <c r="N66" s="12">
        <v>0</v>
      </c>
      <c r="O66" s="102"/>
      <c r="P66" s="11">
        <f>J66-D66</f>
        <v>0</v>
      </c>
      <c r="Q66" s="12">
        <f t="shared" si="40"/>
        <v>0</v>
      </c>
      <c r="R66" s="12">
        <f t="shared" si="41"/>
        <v>0</v>
      </c>
      <c r="S66" s="12">
        <f t="shared" si="42"/>
        <v>0</v>
      </c>
      <c r="T66" s="12">
        <f t="shared" si="43"/>
        <v>0</v>
      </c>
      <c r="U66" s="46">
        <f t="shared" si="50"/>
        <v>0</v>
      </c>
      <c r="V66" s="88"/>
    </row>
    <row r="67" spans="1:62" s="84" customFormat="1" ht="16.5" thickBot="1" x14ac:dyDescent="0.3">
      <c r="A67" s="132" t="s">
        <v>45</v>
      </c>
      <c r="B67" s="137" t="s">
        <v>46</v>
      </c>
      <c r="C67" s="137"/>
      <c r="D67" s="51">
        <f>SUM(E67:H67)</f>
        <v>-1278</v>
      </c>
      <c r="E67" s="113">
        <v>-254</v>
      </c>
      <c r="F67" s="113">
        <v>0</v>
      </c>
      <c r="G67" s="113">
        <f>(-736)+36</f>
        <v>-700</v>
      </c>
      <c r="H67" s="113">
        <v>-324</v>
      </c>
      <c r="I67" s="97">
        <v>0</v>
      </c>
      <c r="J67" s="51">
        <f>SUM(K67:N67)</f>
        <v>-1278</v>
      </c>
      <c r="K67" s="50">
        <v>-254</v>
      </c>
      <c r="L67" s="50">
        <v>0</v>
      </c>
      <c r="M67" s="50">
        <f>-736+36</f>
        <v>-700</v>
      </c>
      <c r="N67" s="50">
        <v>-324</v>
      </c>
      <c r="O67" s="103">
        <v>0</v>
      </c>
      <c r="P67" s="51">
        <f>J67-D67</f>
        <v>0</v>
      </c>
      <c r="Q67" s="50">
        <f>K67-E67</f>
        <v>0</v>
      </c>
      <c r="R67" s="50">
        <f>L67-F67</f>
        <v>0</v>
      </c>
      <c r="S67" s="50">
        <f>M67-G67</f>
        <v>0</v>
      </c>
      <c r="T67" s="50">
        <f>N67-H67</f>
        <v>0</v>
      </c>
      <c r="U67" s="99">
        <f>O67-I67</f>
        <v>0</v>
      </c>
      <c r="V67" s="88"/>
    </row>
    <row r="68" spans="1:62" s="84" customFormat="1" ht="19.5" thickBot="1" x14ac:dyDescent="0.3">
      <c r="A68" s="132" t="s">
        <v>47</v>
      </c>
      <c r="B68" s="137" t="s">
        <v>48</v>
      </c>
      <c r="C68" s="137"/>
      <c r="D68" s="51">
        <f t="shared" ref="D68" si="58">SUM(E68:H68)</f>
        <v>2342</v>
      </c>
      <c r="E68" s="113">
        <v>366</v>
      </c>
      <c r="F68" s="113">
        <v>0</v>
      </c>
      <c r="G68" s="113">
        <v>1792</v>
      </c>
      <c r="H68" s="113">
        <v>184</v>
      </c>
      <c r="I68" s="97">
        <v>0</v>
      </c>
      <c r="J68" s="51">
        <f t="shared" ref="J68" si="59">SUM(K68:N68)</f>
        <v>4090</v>
      </c>
      <c r="K68" s="50">
        <f>16+547</f>
        <v>563</v>
      </c>
      <c r="L68" s="50">
        <v>0</v>
      </c>
      <c r="M68" s="50">
        <f>109+3039</f>
        <v>3148</v>
      </c>
      <c r="N68" s="50">
        <f>26+353</f>
        <v>379</v>
      </c>
      <c r="O68" s="103">
        <v>0</v>
      </c>
      <c r="P68" s="51">
        <f t="shared" ref="P68:P72" si="60">J68-D68</f>
        <v>1748</v>
      </c>
      <c r="Q68" s="50">
        <f t="shared" ref="Q68:Q72" si="61">K68-E68</f>
        <v>197</v>
      </c>
      <c r="R68" s="50">
        <f t="shared" ref="R68:R72" si="62">L68-F68</f>
        <v>0</v>
      </c>
      <c r="S68" s="50">
        <f t="shared" ref="S68:S72" si="63">M68-G68</f>
        <v>1356</v>
      </c>
      <c r="T68" s="50">
        <f t="shared" ref="T68:T72" si="64">N68-H68</f>
        <v>195</v>
      </c>
      <c r="U68" s="99">
        <f t="shared" ref="U68:U72" si="65">O68-I68</f>
        <v>0</v>
      </c>
      <c r="V68" s="88"/>
    </row>
    <row r="69" spans="1:62" s="88" customFormat="1" ht="15" customHeight="1" thickBot="1" x14ac:dyDescent="0.3">
      <c r="A69" s="139" t="s">
        <v>49</v>
      </c>
      <c r="B69" s="140" t="s">
        <v>50</v>
      </c>
      <c r="C69" s="141"/>
      <c r="D69" s="51">
        <f>SUM(E69:H69)</f>
        <v>0</v>
      </c>
      <c r="E69" s="113">
        <v>4324</v>
      </c>
      <c r="F69" s="113">
        <v>0</v>
      </c>
      <c r="G69" s="113">
        <v>-4324</v>
      </c>
      <c r="H69" s="113">
        <v>0</v>
      </c>
      <c r="I69" s="97">
        <v>0</v>
      </c>
      <c r="J69" s="51">
        <f>SUM(K69:N69)</f>
        <v>0</v>
      </c>
      <c r="K69" s="50">
        <v>4347</v>
      </c>
      <c r="L69" s="50">
        <v>0</v>
      </c>
      <c r="M69" s="50">
        <v>-4347</v>
      </c>
      <c r="N69" s="50">
        <v>0</v>
      </c>
      <c r="O69" s="103">
        <v>0</v>
      </c>
      <c r="P69" s="51">
        <f t="shared" si="60"/>
        <v>0</v>
      </c>
      <c r="Q69" s="50">
        <f t="shared" si="61"/>
        <v>23</v>
      </c>
      <c r="R69" s="50">
        <f t="shared" si="62"/>
        <v>0</v>
      </c>
      <c r="S69" s="50">
        <f t="shared" si="63"/>
        <v>-23</v>
      </c>
      <c r="T69" s="50">
        <f t="shared" si="64"/>
        <v>0</v>
      </c>
      <c r="U69" s="99">
        <f t="shared" si="65"/>
        <v>0</v>
      </c>
      <c r="W69" s="84"/>
      <c r="X69" s="84"/>
      <c r="Y69" s="84"/>
      <c r="Z69" s="84"/>
      <c r="AA69" s="84"/>
    </row>
    <row r="70" spans="1:62" s="88" customFormat="1" ht="15" customHeight="1" thickBot="1" x14ac:dyDescent="0.3">
      <c r="A70" s="139" t="s">
        <v>51</v>
      </c>
      <c r="B70" s="140" t="s">
        <v>52</v>
      </c>
      <c r="C70" s="138"/>
      <c r="D70" s="51">
        <f>SUM(E70:H70)</f>
        <v>8392</v>
      </c>
      <c r="E70" s="113">
        <v>0</v>
      </c>
      <c r="F70" s="113">
        <v>1506</v>
      </c>
      <c r="G70" s="113">
        <v>6426</v>
      </c>
      <c r="H70" s="113">
        <v>460</v>
      </c>
      <c r="I70" s="97">
        <v>0</v>
      </c>
      <c r="J70" s="51">
        <f>SUM(K70:N70)</f>
        <v>8392</v>
      </c>
      <c r="K70" s="50">
        <v>0</v>
      </c>
      <c r="L70" s="50">
        <v>1462</v>
      </c>
      <c r="M70" s="50">
        <f>6456+34</f>
        <v>6490</v>
      </c>
      <c r="N70" s="50">
        <v>440</v>
      </c>
      <c r="O70" s="103">
        <v>0</v>
      </c>
      <c r="P70" s="51">
        <f t="shared" si="60"/>
        <v>0</v>
      </c>
      <c r="Q70" s="50">
        <f t="shared" si="61"/>
        <v>0</v>
      </c>
      <c r="R70" s="50">
        <f t="shared" si="62"/>
        <v>-44</v>
      </c>
      <c r="S70" s="50">
        <f t="shared" si="63"/>
        <v>64</v>
      </c>
      <c r="T70" s="50">
        <f t="shared" si="64"/>
        <v>-20</v>
      </c>
      <c r="U70" s="99">
        <f t="shared" si="65"/>
        <v>0</v>
      </c>
      <c r="W70" s="84"/>
      <c r="X70" s="84"/>
      <c r="Y70" s="84"/>
      <c r="Z70" s="84"/>
      <c r="AA70" s="84"/>
    </row>
    <row r="71" spans="1:62" s="88" customFormat="1" ht="15" customHeight="1" thickBot="1" x14ac:dyDescent="0.3">
      <c r="A71" s="139" t="s">
        <v>53</v>
      </c>
      <c r="B71" s="140" t="s">
        <v>54</v>
      </c>
      <c r="C71" s="138"/>
      <c r="D71" s="51">
        <f>SUM(E71:H71)</f>
        <v>22964</v>
      </c>
      <c r="E71" s="113">
        <f>2756+689</f>
        <v>3445</v>
      </c>
      <c r="F71" s="113">
        <v>0</v>
      </c>
      <c r="G71" s="113">
        <f>15615+3904</f>
        <v>19519</v>
      </c>
      <c r="H71" s="113">
        <v>0</v>
      </c>
      <c r="I71" s="97">
        <v>0</v>
      </c>
      <c r="J71" s="51">
        <f>SUM(K71:N71)</f>
        <v>15615</v>
      </c>
      <c r="K71" s="50">
        <f>1874+468</f>
        <v>2342</v>
      </c>
      <c r="L71" s="50">
        <v>0</v>
      </c>
      <c r="M71" s="50">
        <f>10618+2655</f>
        <v>13273</v>
      </c>
      <c r="N71" s="50">
        <v>0</v>
      </c>
      <c r="O71" s="103">
        <v>0</v>
      </c>
      <c r="P71" s="51">
        <f t="shared" ref="P71" si="66">J71-D71</f>
        <v>-7349</v>
      </c>
      <c r="Q71" s="50">
        <f t="shared" ref="Q71" si="67">K71-E71</f>
        <v>-1103</v>
      </c>
      <c r="R71" s="50">
        <f t="shared" ref="R71" si="68">L71-F71</f>
        <v>0</v>
      </c>
      <c r="S71" s="50">
        <f t="shared" ref="S71" si="69">M71-G71</f>
        <v>-6246</v>
      </c>
      <c r="T71" s="50">
        <f t="shared" ref="T71" si="70">N71-H71</f>
        <v>0</v>
      </c>
      <c r="U71" s="99">
        <f t="shared" ref="U71" si="71">O71-I71</f>
        <v>0</v>
      </c>
      <c r="W71" s="84"/>
      <c r="X71" s="84"/>
      <c r="Y71" s="84"/>
      <c r="Z71" s="84"/>
      <c r="AA71" s="84"/>
    </row>
    <row r="72" spans="1:62" s="89" customFormat="1" ht="16.5" thickBot="1" x14ac:dyDescent="0.3">
      <c r="A72" s="142" t="s">
        <v>55</v>
      </c>
      <c r="B72" s="140" t="s">
        <v>56</v>
      </c>
      <c r="C72" s="140"/>
      <c r="D72" s="51">
        <f>SUM(E72:H72)</f>
        <v>91944</v>
      </c>
      <c r="E72" s="113">
        <v>99</v>
      </c>
      <c r="F72" s="113">
        <v>13014</v>
      </c>
      <c r="G72" s="113">
        <v>51247</v>
      </c>
      <c r="H72" s="113">
        <v>27584</v>
      </c>
      <c r="I72" s="97">
        <v>0</v>
      </c>
      <c r="J72" s="51">
        <f>SUM(K72:N72)</f>
        <v>86091</v>
      </c>
      <c r="K72" s="50">
        <v>0</v>
      </c>
      <c r="L72" s="50">
        <v>6786</v>
      </c>
      <c r="M72" s="50">
        <v>47335</v>
      </c>
      <c r="N72" s="50">
        <v>31970</v>
      </c>
      <c r="O72" s="103">
        <v>0</v>
      </c>
      <c r="P72" s="51">
        <f t="shared" si="60"/>
        <v>-5853</v>
      </c>
      <c r="Q72" s="50">
        <f t="shared" si="61"/>
        <v>-99</v>
      </c>
      <c r="R72" s="50">
        <f t="shared" si="62"/>
        <v>-6228</v>
      </c>
      <c r="S72" s="50">
        <f t="shared" si="63"/>
        <v>-3912</v>
      </c>
      <c r="T72" s="50">
        <f t="shared" si="64"/>
        <v>4386</v>
      </c>
      <c r="U72" s="99">
        <f t="shared" si="65"/>
        <v>0</v>
      </c>
      <c r="W72" s="84"/>
      <c r="X72" s="84"/>
      <c r="Y72" s="84"/>
      <c r="Z72" s="84"/>
      <c r="AA72" s="84"/>
    </row>
    <row r="73" spans="1:62" s="90" customFormat="1" ht="16.5" thickBot="1" x14ac:dyDescent="0.3">
      <c r="A73" s="142" t="s">
        <v>57</v>
      </c>
      <c r="B73" s="140" t="s">
        <v>58</v>
      </c>
      <c r="C73" s="140"/>
      <c r="D73" s="51">
        <f t="shared" ref="D73:D74" si="72">SUM(E73:H73)</f>
        <v>7835</v>
      </c>
      <c r="E73" s="113">
        <v>1959</v>
      </c>
      <c r="F73" s="113">
        <v>1469</v>
      </c>
      <c r="G73" s="113">
        <v>3917</v>
      </c>
      <c r="H73" s="113">
        <v>490</v>
      </c>
      <c r="I73" s="97">
        <v>0</v>
      </c>
      <c r="J73" s="51">
        <f t="shared" ref="J73" si="73">SUM(K73:N73)</f>
        <v>7835</v>
      </c>
      <c r="K73" s="50">
        <v>1959</v>
      </c>
      <c r="L73" s="50">
        <v>1469</v>
      </c>
      <c r="M73" s="50">
        <v>3917</v>
      </c>
      <c r="N73" s="50">
        <v>490</v>
      </c>
      <c r="O73" s="103">
        <v>0</v>
      </c>
      <c r="P73" s="51">
        <f t="shared" ref="P73:U73" si="74">J73-D73</f>
        <v>0</v>
      </c>
      <c r="Q73" s="50">
        <f t="shared" si="74"/>
        <v>0</v>
      </c>
      <c r="R73" s="50">
        <f t="shared" si="74"/>
        <v>0</v>
      </c>
      <c r="S73" s="50">
        <f t="shared" si="74"/>
        <v>0</v>
      </c>
      <c r="T73" s="50">
        <f t="shared" si="74"/>
        <v>0</v>
      </c>
      <c r="U73" s="99">
        <f t="shared" si="74"/>
        <v>0</v>
      </c>
      <c r="V73" s="89"/>
      <c r="W73" s="84"/>
      <c r="X73" s="84"/>
      <c r="Y73" s="84"/>
      <c r="Z73" s="84"/>
      <c r="AA73" s="84"/>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row>
    <row r="74" spans="1:62" s="90" customFormat="1" ht="19.5" thickBot="1" x14ac:dyDescent="0.3">
      <c r="A74" s="142" t="s">
        <v>59</v>
      </c>
      <c r="B74" s="140" t="s">
        <v>60</v>
      </c>
      <c r="C74" s="140"/>
      <c r="D74" s="51">
        <f t="shared" si="72"/>
        <v>3750</v>
      </c>
      <c r="E74" s="113">
        <v>0</v>
      </c>
      <c r="F74" s="113">
        <v>1875</v>
      </c>
      <c r="G74" s="113">
        <v>1875</v>
      </c>
      <c r="H74" s="113">
        <v>0</v>
      </c>
      <c r="I74" s="97">
        <v>0</v>
      </c>
      <c r="J74" s="51">
        <f t="shared" ref="J74" si="75">SUM(K74:N74)</f>
        <v>5000</v>
      </c>
      <c r="K74" s="50">
        <v>0</v>
      </c>
      <c r="L74" s="50">
        <f>1875+625</f>
        <v>2500</v>
      </c>
      <c r="M74" s="50">
        <v>2500</v>
      </c>
      <c r="N74" s="50">
        <v>0</v>
      </c>
      <c r="O74" s="103">
        <v>0</v>
      </c>
      <c r="P74" s="51">
        <f t="shared" ref="P74" si="76">J74-D74</f>
        <v>1250</v>
      </c>
      <c r="Q74" s="50">
        <f t="shared" ref="Q74" si="77">K74-E74</f>
        <v>0</v>
      </c>
      <c r="R74" s="50">
        <f t="shared" ref="R74" si="78">L74-F74</f>
        <v>625</v>
      </c>
      <c r="S74" s="50">
        <f t="shared" ref="S74" si="79">M74-G74</f>
        <v>625</v>
      </c>
      <c r="T74" s="50">
        <f t="shared" ref="T74:T78" si="80">N74-H74</f>
        <v>0</v>
      </c>
      <c r="U74" s="99">
        <f t="shared" ref="U74" si="81">O74-I74</f>
        <v>0</v>
      </c>
      <c r="V74" s="89"/>
      <c r="W74" s="84"/>
      <c r="X74" s="84"/>
      <c r="Y74" s="84"/>
      <c r="Z74" s="84"/>
      <c r="AA74" s="84"/>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row>
    <row r="75" spans="1:62" s="91" customFormat="1" ht="15.75" customHeight="1" thickBot="1" x14ac:dyDescent="0.3">
      <c r="A75" s="143"/>
      <c r="B75" s="144"/>
      <c r="C75" s="144" t="s">
        <v>61</v>
      </c>
      <c r="D75" s="51">
        <f t="shared" ref="D75:O75" si="82">D51+D56+D61+D62+D67+D68+D69+D70+D72+D73+D71+D74</f>
        <v>999768</v>
      </c>
      <c r="E75" s="51">
        <f t="shared" si="82"/>
        <v>122762</v>
      </c>
      <c r="F75" s="51">
        <f t="shared" si="82"/>
        <v>80809</v>
      </c>
      <c r="G75" s="51">
        <f t="shared" si="82"/>
        <v>742311</v>
      </c>
      <c r="H75" s="51">
        <f t="shared" si="82"/>
        <v>53886</v>
      </c>
      <c r="I75" s="52">
        <f t="shared" si="82"/>
        <v>1053</v>
      </c>
      <c r="J75" s="51">
        <f t="shared" si="82"/>
        <v>996855</v>
      </c>
      <c r="K75" s="51">
        <f t="shared" si="82"/>
        <v>116146</v>
      </c>
      <c r="L75" s="51">
        <f t="shared" si="82"/>
        <v>77617</v>
      </c>
      <c r="M75" s="51">
        <f t="shared" si="82"/>
        <v>746232</v>
      </c>
      <c r="N75" s="51">
        <f t="shared" si="82"/>
        <v>56860</v>
      </c>
      <c r="O75" s="52">
        <f t="shared" si="82"/>
        <v>1154</v>
      </c>
      <c r="P75" s="51">
        <f>J75-D75</f>
        <v>-2913</v>
      </c>
      <c r="Q75" s="50">
        <f>K75-E75</f>
        <v>-6616</v>
      </c>
      <c r="R75" s="50">
        <f>L75-F75</f>
        <v>-3192</v>
      </c>
      <c r="S75" s="50">
        <f>M75-G75</f>
        <v>3921</v>
      </c>
      <c r="T75" s="50">
        <f t="shared" si="80"/>
        <v>2974</v>
      </c>
      <c r="U75" s="54">
        <f>O75-I75</f>
        <v>101</v>
      </c>
      <c r="W75" s="84"/>
      <c r="X75" s="84"/>
      <c r="Y75" s="84"/>
      <c r="Z75" s="84"/>
      <c r="AA75" s="84"/>
    </row>
    <row r="76" spans="1:62" s="91" customFormat="1" ht="15.75" customHeight="1" x14ac:dyDescent="0.25">
      <c r="A76" s="143"/>
      <c r="B76" s="144"/>
      <c r="C76" s="145" t="s">
        <v>62</v>
      </c>
      <c r="D76" s="146">
        <f t="shared" ref="D76:O76" si="83">D52+D53+D57+D58+D63+D64</f>
        <v>828396</v>
      </c>
      <c r="E76" s="146">
        <f t="shared" si="83"/>
        <v>112607</v>
      </c>
      <c r="F76" s="146">
        <f t="shared" si="83"/>
        <v>54625</v>
      </c>
      <c r="G76" s="146">
        <f t="shared" si="83"/>
        <v>636450</v>
      </c>
      <c r="H76" s="146">
        <f t="shared" si="83"/>
        <v>24714</v>
      </c>
      <c r="I76" s="146">
        <f t="shared" si="83"/>
        <v>1051</v>
      </c>
      <c r="J76" s="146">
        <f t="shared" si="83"/>
        <v>828322</v>
      </c>
      <c r="K76" s="146">
        <f t="shared" si="83"/>
        <v>106984</v>
      </c>
      <c r="L76" s="146">
        <f t="shared" si="83"/>
        <v>55579</v>
      </c>
      <c r="M76" s="146">
        <f t="shared" si="83"/>
        <v>642540</v>
      </c>
      <c r="N76" s="146">
        <f t="shared" si="83"/>
        <v>23219</v>
      </c>
      <c r="O76" s="147">
        <f t="shared" si="83"/>
        <v>1152</v>
      </c>
      <c r="P76" s="53">
        <f>J76-D76</f>
        <v>-74</v>
      </c>
      <c r="Q76" s="10">
        <f t="shared" ref="Q76" si="84">K76-E76</f>
        <v>-5623</v>
      </c>
      <c r="R76" s="10">
        <f t="shared" ref="R76" si="85">L76-F76</f>
        <v>954</v>
      </c>
      <c r="S76" s="55">
        <f>M76-G76</f>
        <v>6090</v>
      </c>
      <c r="T76" s="55">
        <f t="shared" si="80"/>
        <v>-1495</v>
      </c>
      <c r="U76" s="43">
        <f>O76-I76</f>
        <v>101</v>
      </c>
      <c r="W76" s="84"/>
      <c r="X76" s="84"/>
      <c r="Y76" s="84"/>
      <c r="Z76" s="84"/>
      <c r="AA76" s="84"/>
    </row>
    <row r="77" spans="1:62" s="88" customFormat="1" ht="15.75" customHeight="1" x14ac:dyDescent="0.25">
      <c r="A77" s="134"/>
      <c r="B77" s="136"/>
      <c r="C77" s="148" t="s">
        <v>63</v>
      </c>
      <c r="D77" s="149">
        <f t="shared" ref="D77:O77" si="86">D54+D55+D59+D60+D65+D66</f>
        <v>7465</v>
      </c>
      <c r="E77" s="149">
        <f t="shared" si="86"/>
        <v>216</v>
      </c>
      <c r="F77" s="149">
        <f t="shared" si="86"/>
        <v>1872</v>
      </c>
      <c r="G77" s="149">
        <f t="shared" si="86"/>
        <v>4599</v>
      </c>
      <c r="H77" s="149">
        <f t="shared" si="86"/>
        <v>778</v>
      </c>
      <c r="I77" s="149">
        <f t="shared" si="86"/>
        <v>2</v>
      </c>
      <c r="J77" s="149">
        <f t="shared" si="86"/>
        <v>7206</v>
      </c>
      <c r="K77" s="149">
        <f t="shared" si="86"/>
        <v>205</v>
      </c>
      <c r="L77" s="149">
        <f t="shared" si="86"/>
        <v>1822</v>
      </c>
      <c r="M77" s="149">
        <f t="shared" si="86"/>
        <v>4493</v>
      </c>
      <c r="N77" s="149">
        <f t="shared" si="86"/>
        <v>686</v>
      </c>
      <c r="O77" s="178">
        <f t="shared" si="86"/>
        <v>2</v>
      </c>
      <c r="P77" s="53">
        <f>J77-D77</f>
        <v>-259</v>
      </c>
      <c r="Q77" s="10">
        <f>K77-E77</f>
        <v>-11</v>
      </c>
      <c r="R77" s="10">
        <f>L77-F77</f>
        <v>-50</v>
      </c>
      <c r="S77" s="55">
        <f>M77-G77</f>
        <v>-106</v>
      </c>
      <c r="T77" s="55">
        <f t="shared" si="80"/>
        <v>-92</v>
      </c>
      <c r="U77" s="43">
        <f>O77-I77</f>
        <v>0</v>
      </c>
      <c r="W77" s="84"/>
      <c r="X77" s="84"/>
      <c r="Y77" s="84"/>
      <c r="Z77" s="84"/>
      <c r="AA77" s="84"/>
    </row>
    <row r="78" spans="1:62" s="88" customFormat="1" ht="15.75" customHeight="1" thickBot="1" x14ac:dyDescent="0.3">
      <c r="A78" s="151"/>
      <c r="B78" s="152"/>
      <c r="C78" s="153" t="s">
        <v>64</v>
      </c>
      <c r="D78" s="11">
        <f t="shared" ref="D78:O78" si="87">D61+D67+D68+D69+D70+D72+D73+D71+D74</f>
        <v>163907</v>
      </c>
      <c r="E78" s="11">
        <f t="shared" si="87"/>
        <v>9939</v>
      </c>
      <c r="F78" s="11">
        <f t="shared" si="87"/>
        <v>24312</v>
      </c>
      <c r="G78" s="11">
        <f t="shared" si="87"/>
        <v>101262</v>
      </c>
      <c r="H78" s="11">
        <f t="shared" si="87"/>
        <v>28394</v>
      </c>
      <c r="I78" s="11">
        <f t="shared" si="87"/>
        <v>0</v>
      </c>
      <c r="J78" s="11">
        <f t="shared" si="87"/>
        <v>161327</v>
      </c>
      <c r="K78" s="11">
        <f t="shared" si="87"/>
        <v>8957</v>
      </c>
      <c r="L78" s="11">
        <f t="shared" si="87"/>
        <v>20216</v>
      </c>
      <c r="M78" s="11">
        <f t="shared" si="87"/>
        <v>99199</v>
      </c>
      <c r="N78" s="11">
        <f t="shared" si="87"/>
        <v>32955</v>
      </c>
      <c r="O78" s="179">
        <f t="shared" si="87"/>
        <v>0</v>
      </c>
      <c r="P78" s="56">
        <f>J78-D78</f>
        <v>-2580</v>
      </c>
      <c r="Q78" s="12">
        <f t="shared" ref="Q78" si="88">K78-E78</f>
        <v>-982</v>
      </c>
      <c r="R78" s="12">
        <f t="shared" ref="R78" si="89">L78-F78</f>
        <v>-4096</v>
      </c>
      <c r="S78" s="57">
        <f t="shared" ref="S78" si="90">M78-G78</f>
        <v>-2063</v>
      </c>
      <c r="T78" s="57">
        <f t="shared" si="80"/>
        <v>4561</v>
      </c>
      <c r="U78" s="44">
        <f>O78-I78</f>
        <v>0</v>
      </c>
      <c r="W78" s="84"/>
      <c r="X78" s="84"/>
      <c r="Y78" s="84"/>
      <c r="Z78" s="84"/>
      <c r="AA78" s="84"/>
    </row>
    <row r="79" spans="1:62" s="94" customFormat="1" ht="15" customHeight="1" x14ac:dyDescent="0.25">
      <c r="A79" s="167" t="s">
        <v>65</v>
      </c>
      <c r="B79" s="168"/>
      <c r="C79" s="79"/>
      <c r="D79" s="48"/>
      <c r="E79" s="48"/>
      <c r="F79" s="48"/>
      <c r="G79" s="48"/>
      <c r="H79" s="48"/>
      <c r="I79" s="48"/>
      <c r="J79" s="48"/>
      <c r="K79" s="48"/>
      <c r="L79" s="48"/>
      <c r="M79" s="48"/>
      <c r="N79" s="48"/>
      <c r="O79" s="48"/>
      <c r="P79" s="81"/>
      <c r="Q79" s="48"/>
      <c r="R79" s="48"/>
      <c r="S79" s="81"/>
      <c r="T79" s="81"/>
      <c r="U79" s="80"/>
    </row>
    <row r="80" spans="1:62" s="94" customFormat="1" ht="15" customHeight="1" x14ac:dyDescent="0.25">
      <c r="A80" s="155" t="s">
        <v>66</v>
      </c>
      <c r="B80" s="168"/>
      <c r="C80" s="79"/>
      <c r="D80" s="48"/>
      <c r="E80" s="48"/>
      <c r="F80" s="48"/>
      <c r="G80" s="48"/>
      <c r="H80" s="48"/>
      <c r="I80" s="48"/>
      <c r="J80" s="48"/>
      <c r="K80" s="48"/>
      <c r="L80" s="48"/>
      <c r="M80" s="48"/>
      <c r="N80" s="48"/>
      <c r="O80" s="180"/>
      <c r="P80" s="81"/>
      <c r="Q80" s="48"/>
      <c r="R80" s="48"/>
      <c r="S80" s="81"/>
      <c r="T80" s="81"/>
      <c r="U80" s="80"/>
    </row>
    <row r="81" spans="1:62" s="94" customFormat="1" ht="15" customHeight="1" x14ac:dyDescent="0.25">
      <c r="A81" s="155" t="s">
        <v>67</v>
      </c>
      <c r="B81" s="168"/>
      <c r="C81" s="79"/>
      <c r="D81" s="48"/>
      <c r="E81" s="48"/>
      <c r="F81" s="48"/>
      <c r="G81" s="48"/>
      <c r="H81" s="48"/>
      <c r="I81" s="80"/>
      <c r="J81" s="48"/>
      <c r="K81" s="48"/>
      <c r="L81" s="48"/>
      <c r="M81" s="48"/>
      <c r="N81" s="48"/>
      <c r="O81" s="80"/>
      <c r="P81" s="81"/>
      <c r="Q81" s="48"/>
      <c r="R81" s="48"/>
      <c r="S81" s="81"/>
      <c r="T81" s="81"/>
      <c r="U81" s="80"/>
    </row>
    <row r="82" spans="1:62" s="94" customFormat="1" ht="15" customHeight="1" x14ac:dyDescent="0.25">
      <c r="A82" s="157" t="s">
        <v>68</v>
      </c>
      <c r="B82" s="168"/>
      <c r="C82" s="79"/>
      <c r="D82" s="48"/>
      <c r="E82" s="48"/>
      <c r="F82" s="48"/>
      <c r="G82" s="48"/>
      <c r="H82" s="48"/>
      <c r="I82" s="80"/>
      <c r="J82" s="48"/>
      <c r="K82" s="48"/>
      <c r="L82" s="48"/>
      <c r="M82" s="48"/>
      <c r="N82" s="48"/>
      <c r="O82" s="80"/>
      <c r="P82" s="81"/>
      <c r="Q82" s="48"/>
      <c r="R82" s="48"/>
      <c r="S82" s="81"/>
      <c r="T82" s="81"/>
      <c r="U82" s="80"/>
    </row>
    <row r="83" spans="1:62" s="94" customFormat="1" ht="15" customHeight="1" x14ac:dyDescent="0.25">
      <c r="A83" s="157" t="s">
        <v>69</v>
      </c>
      <c r="B83" s="168"/>
      <c r="C83" s="79"/>
      <c r="D83" s="48"/>
      <c r="E83" s="48"/>
      <c r="F83" s="48"/>
      <c r="G83" s="48"/>
      <c r="H83" s="48"/>
      <c r="I83" s="80"/>
      <c r="J83" s="48"/>
      <c r="K83" s="48"/>
      <c r="L83" s="48"/>
      <c r="M83" s="48"/>
      <c r="N83" s="48"/>
      <c r="O83" s="80"/>
      <c r="P83" s="81"/>
      <c r="Q83" s="48"/>
      <c r="R83" s="48"/>
      <c r="S83" s="81"/>
      <c r="T83" s="81"/>
      <c r="U83" s="80"/>
    </row>
    <row r="84" spans="1:62" s="94" customFormat="1" ht="15" customHeight="1" x14ac:dyDescent="0.25">
      <c r="A84" s="158" t="s">
        <v>70</v>
      </c>
      <c r="B84" s="168"/>
      <c r="C84" s="79"/>
      <c r="D84" s="48"/>
      <c r="E84" s="48"/>
      <c r="F84" s="48"/>
      <c r="G84" s="48"/>
      <c r="H84" s="48"/>
      <c r="I84" s="80"/>
      <c r="J84" s="48"/>
      <c r="K84" s="48"/>
      <c r="L84" s="48"/>
      <c r="M84" s="48"/>
      <c r="N84" s="48"/>
      <c r="O84" s="80"/>
      <c r="P84" s="81"/>
      <c r="Q84" s="48"/>
      <c r="R84" s="48"/>
      <c r="S84" s="81"/>
      <c r="T84" s="81"/>
      <c r="U84" s="80"/>
    </row>
    <row r="85" spans="1:62" s="94" customFormat="1" ht="15" customHeight="1" x14ac:dyDescent="0.25">
      <c r="A85" s="158" t="s">
        <v>71</v>
      </c>
      <c r="B85" s="168"/>
      <c r="C85" s="79"/>
      <c r="D85" s="48"/>
      <c r="E85" s="48"/>
      <c r="F85" s="48"/>
      <c r="G85" s="48"/>
      <c r="H85" s="48"/>
      <c r="I85" s="80"/>
      <c r="J85" s="48"/>
      <c r="K85" s="48"/>
      <c r="L85" s="48"/>
      <c r="M85" s="48"/>
      <c r="N85" s="48"/>
      <c r="O85" s="80"/>
      <c r="P85" s="81"/>
      <c r="Q85" s="48"/>
      <c r="R85" s="48"/>
      <c r="S85" s="81"/>
      <c r="T85" s="81"/>
      <c r="U85" s="80"/>
    </row>
    <row r="86" spans="1:62" s="96" customFormat="1" ht="15" customHeight="1" x14ac:dyDescent="0.2">
      <c r="A86" s="158" t="s">
        <v>72</v>
      </c>
      <c r="B86" s="169"/>
      <c r="C86" s="155"/>
      <c r="D86" s="82"/>
      <c r="E86" s="82"/>
      <c r="F86" s="82"/>
      <c r="G86" s="82"/>
      <c r="H86" s="82"/>
      <c r="I86" s="82"/>
      <c r="J86" s="82"/>
      <c r="K86" s="82"/>
      <c r="L86" s="82"/>
      <c r="M86" s="82"/>
      <c r="N86" s="82"/>
      <c r="O86" s="82"/>
      <c r="P86" s="82"/>
      <c r="Q86" s="82"/>
      <c r="R86" s="82"/>
      <c r="S86" s="82"/>
      <c r="T86" s="82"/>
      <c r="U86" s="82"/>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row>
    <row r="87" spans="1:62" s="96" customFormat="1" ht="15" customHeight="1" x14ac:dyDescent="0.2">
      <c r="A87" s="158" t="s">
        <v>73</v>
      </c>
      <c r="B87" s="169"/>
      <c r="C87" s="155"/>
      <c r="D87" s="82"/>
      <c r="E87" s="82"/>
      <c r="F87" s="82"/>
      <c r="G87" s="82"/>
      <c r="H87" s="82"/>
      <c r="I87" s="82"/>
      <c r="J87" s="82"/>
      <c r="K87" s="82"/>
      <c r="L87" s="82"/>
      <c r="M87" s="82"/>
      <c r="N87" s="82"/>
      <c r="O87" s="82"/>
      <c r="P87" s="82"/>
      <c r="Q87" s="82"/>
      <c r="R87" s="82"/>
      <c r="S87" s="82"/>
      <c r="T87" s="82"/>
      <c r="U87" s="82"/>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row>
    <row r="88" spans="1:62" ht="15" customHeight="1" x14ac:dyDescent="0.2">
      <c r="A88" s="176" t="s">
        <v>82</v>
      </c>
      <c r="P88" s="177"/>
      <c r="Q88" s="177"/>
      <c r="R88" s="177"/>
      <c r="S88" s="177"/>
      <c r="T88" s="177"/>
      <c r="U88" s="177"/>
    </row>
    <row r="89" spans="1:62" s="96" customFormat="1" ht="15" customHeight="1" x14ac:dyDescent="0.2">
      <c r="A89" s="158"/>
      <c r="B89" s="169"/>
      <c r="C89" s="155"/>
      <c r="D89" s="82"/>
      <c r="E89" s="82"/>
      <c r="F89" s="82"/>
      <c r="G89" s="82"/>
      <c r="H89" s="82"/>
      <c r="I89" s="82"/>
      <c r="J89" s="82"/>
      <c r="K89" s="82"/>
      <c r="L89" s="82"/>
      <c r="M89" s="82"/>
      <c r="N89" s="82"/>
      <c r="O89" s="82"/>
      <c r="P89" s="82"/>
      <c r="Q89" s="82"/>
      <c r="R89" s="82"/>
      <c r="S89" s="82"/>
      <c r="T89" s="82"/>
      <c r="U89" s="82"/>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row>
    <row r="90" spans="1:62" s="84" customFormat="1" ht="15.75" x14ac:dyDescent="0.25">
      <c r="A90" s="118" t="s">
        <v>83</v>
      </c>
      <c r="B90" s="119"/>
      <c r="C90" s="119"/>
      <c r="D90" s="119"/>
      <c r="E90" s="119"/>
      <c r="F90" s="119"/>
      <c r="G90" s="119"/>
      <c r="H90" s="119"/>
      <c r="I90" s="119"/>
      <c r="J90" s="119"/>
      <c r="K90" s="119"/>
      <c r="L90" s="119"/>
      <c r="M90" s="119"/>
      <c r="N90" s="119"/>
      <c r="O90" s="119"/>
      <c r="P90" s="119"/>
      <c r="Q90" s="119"/>
      <c r="R90" s="119"/>
      <c r="S90" s="119"/>
      <c r="T90" s="119"/>
      <c r="U90" s="120"/>
    </row>
    <row r="91" spans="1:62" s="85" customFormat="1" ht="13.5" customHeight="1" thickBot="1" x14ac:dyDescent="0.25">
      <c r="A91" s="49" t="s">
        <v>4</v>
      </c>
      <c r="B91" s="58"/>
      <c r="C91" s="170"/>
      <c r="D91" s="171"/>
      <c r="E91" s="171"/>
      <c r="F91" s="171"/>
      <c r="G91" s="171"/>
      <c r="H91" s="171"/>
      <c r="I91" s="58"/>
      <c r="J91" s="171"/>
      <c r="K91" s="171"/>
      <c r="L91" s="171"/>
      <c r="M91" s="171"/>
      <c r="N91" s="171"/>
      <c r="O91" s="58"/>
      <c r="P91" s="171"/>
      <c r="Q91" s="171"/>
      <c r="R91" s="171"/>
      <c r="S91" s="171"/>
      <c r="T91" s="171"/>
      <c r="U91" s="172"/>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row>
    <row r="92" spans="1:62" s="87" customFormat="1" ht="15.75" x14ac:dyDescent="0.25">
      <c r="A92" s="106" t="s">
        <v>6</v>
      </c>
      <c r="B92" s="59"/>
      <c r="C92" s="60"/>
      <c r="D92" s="107" t="s">
        <v>8</v>
      </c>
      <c r="E92" s="34"/>
      <c r="F92" s="34"/>
      <c r="G92" s="34"/>
      <c r="H92" s="34"/>
      <c r="I92" s="35"/>
      <c r="J92" s="107" t="s">
        <v>76</v>
      </c>
      <c r="K92" s="34"/>
      <c r="L92" s="34"/>
      <c r="M92" s="34"/>
      <c r="N92" s="34"/>
      <c r="O92" s="35"/>
      <c r="P92" s="36" t="s">
        <v>77</v>
      </c>
      <c r="Q92" s="37"/>
      <c r="R92" s="37"/>
      <c r="S92" s="37"/>
      <c r="T92" s="37"/>
      <c r="U92" s="38"/>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row>
    <row r="93" spans="1:62" s="87" customFormat="1" ht="19.5" thickBot="1" x14ac:dyDescent="0.3">
      <c r="A93" s="61" t="s">
        <v>84</v>
      </c>
      <c r="B93" s="17" t="s">
        <v>10</v>
      </c>
      <c r="C93" s="18" t="s">
        <v>12</v>
      </c>
      <c r="D93" s="19" t="s">
        <v>19</v>
      </c>
      <c r="E93" s="20" t="s">
        <v>20</v>
      </c>
      <c r="F93" s="128" t="s">
        <v>79</v>
      </c>
      <c r="G93" s="20" t="s">
        <v>22</v>
      </c>
      <c r="H93" s="21" t="s">
        <v>80</v>
      </c>
      <c r="I93" s="108" t="s">
        <v>24</v>
      </c>
      <c r="J93" s="20" t="s">
        <v>19</v>
      </c>
      <c r="K93" s="20" t="s">
        <v>20</v>
      </c>
      <c r="L93" s="128" t="s">
        <v>79</v>
      </c>
      <c r="M93" s="20" t="s">
        <v>22</v>
      </c>
      <c r="N93" s="21" t="s">
        <v>80</v>
      </c>
      <c r="O93" s="109" t="s">
        <v>24</v>
      </c>
      <c r="P93" s="19" t="s">
        <v>25</v>
      </c>
      <c r="Q93" s="20" t="s">
        <v>26</v>
      </c>
      <c r="R93" s="20" t="s">
        <v>27</v>
      </c>
      <c r="S93" s="20" t="s">
        <v>28</v>
      </c>
      <c r="T93" s="21" t="s">
        <v>29</v>
      </c>
      <c r="U93" s="74" t="s">
        <v>81</v>
      </c>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row>
    <row r="94" spans="1:62" s="84" customFormat="1" ht="18.75" x14ac:dyDescent="0.25">
      <c r="A94" s="132" t="s">
        <v>31</v>
      </c>
      <c r="B94" s="133" t="s">
        <v>32</v>
      </c>
      <c r="C94" s="133"/>
      <c r="D94" s="7">
        <f t="shared" ref="D94:O94" si="91">SUM(D95:D98)</f>
        <v>854861</v>
      </c>
      <c r="E94" s="8">
        <f t="shared" si="91"/>
        <v>105958</v>
      </c>
      <c r="F94" s="8">
        <f t="shared" si="91"/>
        <v>0</v>
      </c>
      <c r="G94" s="8">
        <f t="shared" si="91"/>
        <v>675669</v>
      </c>
      <c r="H94" s="8">
        <f t="shared" si="91"/>
        <v>73234</v>
      </c>
      <c r="I94" s="29">
        <f t="shared" si="91"/>
        <v>0</v>
      </c>
      <c r="J94" s="7">
        <f t="shared" si="91"/>
        <v>824519</v>
      </c>
      <c r="K94" s="8">
        <f t="shared" si="91"/>
        <v>106561</v>
      </c>
      <c r="L94" s="8">
        <f t="shared" si="91"/>
        <v>57345</v>
      </c>
      <c r="M94" s="8">
        <f t="shared" si="91"/>
        <v>639407</v>
      </c>
      <c r="N94" s="8">
        <f t="shared" si="91"/>
        <v>21206</v>
      </c>
      <c r="O94" s="29">
        <f t="shared" si="91"/>
        <v>0</v>
      </c>
      <c r="P94" s="7">
        <f t="shared" ref="P94:P99" si="92">J94-D94</f>
        <v>-30342</v>
      </c>
      <c r="Q94" s="8">
        <f t="shared" ref="Q94:Q109" si="93">K94-E94</f>
        <v>603</v>
      </c>
      <c r="R94" s="8">
        <f t="shared" ref="R94:R109" si="94">L94-F94</f>
        <v>57345</v>
      </c>
      <c r="S94" s="8">
        <f t="shared" ref="S94:S109" si="95">M94-G94</f>
        <v>-36262</v>
      </c>
      <c r="T94" s="8">
        <f t="shared" ref="T94:T109" si="96">N94-H94</f>
        <v>-52028</v>
      </c>
      <c r="U94" s="40">
        <f t="shared" ref="U94:U99" si="97">O94-I94</f>
        <v>0</v>
      </c>
    </row>
    <row r="95" spans="1:62" s="84" customFormat="1" x14ac:dyDescent="0.2">
      <c r="A95" s="134" t="s">
        <v>31</v>
      </c>
      <c r="B95" s="135" t="s">
        <v>33</v>
      </c>
      <c r="C95" s="136" t="s">
        <v>34</v>
      </c>
      <c r="D95" s="9">
        <f>SUM(E95:H95)</f>
        <v>271704</v>
      </c>
      <c r="E95" s="10">
        <f t="shared" ref="E95:I98" si="98">K10</f>
        <v>56367</v>
      </c>
      <c r="F95" s="10">
        <f t="shared" si="98"/>
        <v>0</v>
      </c>
      <c r="G95" s="10">
        <f t="shared" si="98"/>
        <v>152637</v>
      </c>
      <c r="H95" s="10">
        <f t="shared" si="98"/>
        <v>62700</v>
      </c>
      <c r="I95" s="33">
        <f t="shared" si="98"/>
        <v>0</v>
      </c>
      <c r="J95" s="9">
        <f t="shared" ref="J95:J98" si="99">SUM(K95:N95)</f>
        <v>262050</v>
      </c>
      <c r="K95" s="10">
        <f t="shared" ref="K95:O98" si="100">K52</f>
        <v>58550</v>
      </c>
      <c r="L95" s="10">
        <f t="shared" si="100"/>
        <v>49947</v>
      </c>
      <c r="M95" s="10">
        <f t="shared" si="100"/>
        <v>135174</v>
      </c>
      <c r="N95" s="10">
        <f t="shared" si="100"/>
        <v>18379</v>
      </c>
      <c r="O95" s="33">
        <f t="shared" si="100"/>
        <v>0</v>
      </c>
      <c r="P95" s="9">
        <f t="shared" si="92"/>
        <v>-9654</v>
      </c>
      <c r="Q95" s="10">
        <f t="shared" si="93"/>
        <v>2183</v>
      </c>
      <c r="R95" s="10">
        <f t="shared" si="94"/>
        <v>49947</v>
      </c>
      <c r="S95" s="10">
        <f t="shared" si="95"/>
        <v>-17463</v>
      </c>
      <c r="T95" s="10">
        <f t="shared" si="96"/>
        <v>-44321</v>
      </c>
      <c r="U95" s="41">
        <f t="shared" si="97"/>
        <v>0</v>
      </c>
    </row>
    <row r="96" spans="1:62" s="84" customFormat="1" x14ac:dyDescent="0.2">
      <c r="A96" s="134" t="s">
        <v>31</v>
      </c>
      <c r="B96" s="135" t="s">
        <v>35</v>
      </c>
      <c r="C96" s="136" t="s">
        <v>36</v>
      </c>
      <c r="D96" s="9">
        <f>SUM(E96:H96)</f>
        <v>575740</v>
      </c>
      <c r="E96" s="10">
        <f t="shared" si="98"/>
        <v>49380</v>
      </c>
      <c r="F96" s="10">
        <f t="shared" si="98"/>
        <v>0</v>
      </c>
      <c r="G96" s="10">
        <f t="shared" si="98"/>
        <v>518166</v>
      </c>
      <c r="H96" s="10">
        <f t="shared" si="98"/>
        <v>8194</v>
      </c>
      <c r="I96" s="33">
        <f t="shared" si="98"/>
        <v>0</v>
      </c>
      <c r="J96" s="9">
        <f t="shared" si="99"/>
        <v>555288</v>
      </c>
      <c r="K96" s="10">
        <f t="shared" si="100"/>
        <v>47807</v>
      </c>
      <c r="L96" s="10">
        <f t="shared" si="100"/>
        <v>5576</v>
      </c>
      <c r="M96" s="10">
        <f t="shared" si="100"/>
        <v>499759</v>
      </c>
      <c r="N96" s="10">
        <f t="shared" si="100"/>
        <v>2146</v>
      </c>
      <c r="O96" s="33">
        <f t="shared" si="100"/>
        <v>0</v>
      </c>
      <c r="P96" s="9">
        <f t="shared" si="92"/>
        <v>-20452</v>
      </c>
      <c r="Q96" s="10">
        <f t="shared" si="93"/>
        <v>-1573</v>
      </c>
      <c r="R96" s="10">
        <f t="shared" si="94"/>
        <v>5576</v>
      </c>
      <c r="S96" s="10">
        <f t="shared" si="95"/>
        <v>-18407</v>
      </c>
      <c r="T96" s="10">
        <f t="shared" si="96"/>
        <v>-6048</v>
      </c>
      <c r="U96" s="41">
        <f t="shared" si="97"/>
        <v>0</v>
      </c>
    </row>
    <row r="97" spans="1:27" s="84" customFormat="1" x14ac:dyDescent="0.2">
      <c r="A97" s="134" t="s">
        <v>31</v>
      </c>
      <c r="B97" s="135" t="s">
        <v>37</v>
      </c>
      <c r="C97" s="136" t="s">
        <v>34</v>
      </c>
      <c r="D97" s="9">
        <f>SUM(E97:H97)</f>
        <v>5307</v>
      </c>
      <c r="E97" s="10">
        <f t="shared" si="98"/>
        <v>0</v>
      </c>
      <c r="F97" s="10">
        <f t="shared" si="98"/>
        <v>0</v>
      </c>
      <c r="G97" s="10">
        <f t="shared" si="98"/>
        <v>2967</v>
      </c>
      <c r="H97" s="10">
        <f t="shared" si="98"/>
        <v>2340</v>
      </c>
      <c r="I97" s="33">
        <f t="shared" si="98"/>
        <v>0</v>
      </c>
      <c r="J97" s="9">
        <f t="shared" si="99"/>
        <v>5138</v>
      </c>
      <c r="K97" s="10">
        <f t="shared" si="100"/>
        <v>0</v>
      </c>
      <c r="L97" s="10">
        <f t="shared" si="100"/>
        <v>1822</v>
      </c>
      <c r="M97" s="10">
        <f t="shared" si="100"/>
        <v>2635</v>
      </c>
      <c r="N97" s="10">
        <f t="shared" si="100"/>
        <v>681</v>
      </c>
      <c r="O97" s="33">
        <f t="shared" si="100"/>
        <v>0</v>
      </c>
      <c r="P97" s="9">
        <f t="shared" si="92"/>
        <v>-169</v>
      </c>
      <c r="Q97" s="10">
        <f t="shared" si="93"/>
        <v>0</v>
      </c>
      <c r="R97" s="10">
        <f t="shared" si="94"/>
        <v>1822</v>
      </c>
      <c r="S97" s="10">
        <f t="shared" si="95"/>
        <v>-332</v>
      </c>
      <c r="T97" s="10">
        <f t="shared" si="96"/>
        <v>-1659</v>
      </c>
      <c r="U97" s="41">
        <f t="shared" si="97"/>
        <v>0</v>
      </c>
    </row>
    <row r="98" spans="1:27" s="84" customFormat="1" ht="15.75" thickBot="1" x14ac:dyDescent="0.25">
      <c r="A98" s="134" t="s">
        <v>31</v>
      </c>
      <c r="B98" s="135" t="s">
        <v>37</v>
      </c>
      <c r="C98" s="136" t="s">
        <v>38</v>
      </c>
      <c r="D98" s="11">
        <f>SUM(E98:H98)</f>
        <v>2110</v>
      </c>
      <c r="E98" s="12">
        <f t="shared" si="98"/>
        <v>211</v>
      </c>
      <c r="F98" s="12">
        <f t="shared" si="98"/>
        <v>0</v>
      </c>
      <c r="G98" s="12">
        <f t="shared" si="98"/>
        <v>1899</v>
      </c>
      <c r="H98" s="12">
        <f t="shared" si="98"/>
        <v>0</v>
      </c>
      <c r="I98" s="62">
        <f t="shared" si="98"/>
        <v>0</v>
      </c>
      <c r="J98" s="11">
        <f t="shared" si="99"/>
        <v>2043</v>
      </c>
      <c r="K98" s="12">
        <f t="shared" si="100"/>
        <v>204</v>
      </c>
      <c r="L98" s="12">
        <f t="shared" si="100"/>
        <v>0</v>
      </c>
      <c r="M98" s="12">
        <f t="shared" si="100"/>
        <v>1839</v>
      </c>
      <c r="N98" s="12">
        <f t="shared" si="100"/>
        <v>0</v>
      </c>
      <c r="O98" s="97">
        <f t="shared" si="100"/>
        <v>0</v>
      </c>
      <c r="P98" s="9">
        <f t="shared" si="92"/>
        <v>-67</v>
      </c>
      <c r="Q98" s="10">
        <f t="shared" si="93"/>
        <v>-7</v>
      </c>
      <c r="R98" s="10">
        <f t="shared" si="94"/>
        <v>0</v>
      </c>
      <c r="S98" s="10">
        <f t="shared" si="95"/>
        <v>-60</v>
      </c>
      <c r="T98" s="10">
        <f t="shared" si="96"/>
        <v>0</v>
      </c>
      <c r="U98" s="41">
        <f t="shared" si="97"/>
        <v>0</v>
      </c>
    </row>
    <row r="99" spans="1:27" s="84" customFormat="1" ht="15.75" x14ac:dyDescent="0.25">
      <c r="A99" s="132" t="s">
        <v>39</v>
      </c>
      <c r="B99" s="137" t="s">
        <v>40</v>
      </c>
      <c r="C99" s="137"/>
      <c r="D99" s="13">
        <f t="shared" ref="D99:O99" si="101">SUM(D100:D103)</f>
        <v>11361</v>
      </c>
      <c r="E99" s="14">
        <f t="shared" si="101"/>
        <v>698</v>
      </c>
      <c r="F99" s="14">
        <f t="shared" si="101"/>
        <v>0</v>
      </c>
      <c r="G99" s="14">
        <f t="shared" si="101"/>
        <v>8041</v>
      </c>
      <c r="H99" s="14">
        <f t="shared" si="101"/>
        <v>2622</v>
      </c>
      <c r="I99" s="31">
        <f t="shared" si="101"/>
        <v>1188</v>
      </c>
      <c r="J99" s="13">
        <f t="shared" si="101"/>
        <v>10116</v>
      </c>
      <c r="K99" s="14">
        <f t="shared" si="101"/>
        <v>576</v>
      </c>
      <c r="L99" s="14">
        <f t="shared" si="101"/>
        <v>0</v>
      </c>
      <c r="M99" s="14">
        <f t="shared" si="101"/>
        <v>6977</v>
      </c>
      <c r="N99" s="14">
        <f t="shared" si="101"/>
        <v>2563</v>
      </c>
      <c r="O99" s="30">
        <f t="shared" si="101"/>
        <v>1154</v>
      </c>
      <c r="P99" s="7">
        <f t="shared" si="92"/>
        <v>-1245</v>
      </c>
      <c r="Q99" s="8">
        <f t="shared" si="93"/>
        <v>-122</v>
      </c>
      <c r="R99" s="8">
        <f t="shared" si="94"/>
        <v>0</v>
      </c>
      <c r="S99" s="8">
        <f t="shared" si="95"/>
        <v>-1064</v>
      </c>
      <c r="T99" s="8">
        <f t="shared" si="96"/>
        <v>-59</v>
      </c>
      <c r="U99" s="40">
        <f t="shared" si="97"/>
        <v>-34</v>
      </c>
    </row>
    <row r="100" spans="1:27" s="84" customFormat="1" x14ac:dyDescent="0.2">
      <c r="A100" s="134" t="s">
        <v>39</v>
      </c>
      <c r="B100" s="136" t="s">
        <v>35</v>
      </c>
      <c r="C100" s="136" t="s">
        <v>34</v>
      </c>
      <c r="D100" s="9">
        <f>SUM(E100:H100)</f>
        <v>5446</v>
      </c>
      <c r="E100" s="10">
        <f t="shared" ref="E100:I104" si="102">K15</f>
        <v>108</v>
      </c>
      <c r="F100" s="10">
        <f t="shared" si="102"/>
        <v>0</v>
      </c>
      <c r="G100" s="10">
        <f t="shared" si="102"/>
        <v>2728</v>
      </c>
      <c r="H100" s="10">
        <f t="shared" si="102"/>
        <v>2610</v>
      </c>
      <c r="I100" s="33">
        <f t="shared" si="102"/>
        <v>530</v>
      </c>
      <c r="J100" s="9">
        <f>SUM(K100:N100)</f>
        <v>5317</v>
      </c>
      <c r="K100" s="10">
        <f t="shared" ref="K100:O104" si="103">K57</f>
        <v>97</v>
      </c>
      <c r="L100" s="10">
        <f t="shared" si="103"/>
        <v>0</v>
      </c>
      <c r="M100" s="10">
        <f t="shared" si="103"/>
        <v>2662</v>
      </c>
      <c r="N100" s="10">
        <f t="shared" si="103"/>
        <v>2558</v>
      </c>
      <c r="O100" s="33">
        <f t="shared" si="103"/>
        <v>544</v>
      </c>
      <c r="P100" s="9">
        <f>J100-D100</f>
        <v>-129</v>
      </c>
      <c r="Q100" s="10">
        <f t="shared" si="93"/>
        <v>-11</v>
      </c>
      <c r="R100" s="10">
        <f t="shared" si="94"/>
        <v>0</v>
      </c>
      <c r="S100" s="10">
        <f t="shared" si="95"/>
        <v>-66</v>
      </c>
      <c r="T100" s="10">
        <f t="shared" si="96"/>
        <v>-52</v>
      </c>
      <c r="U100" s="41">
        <f>O100-I100</f>
        <v>14</v>
      </c>
    </row>
    <row r="101" spans="1:27" s="84" customFormat="1" x14ac:dyDescent="0.2">
      <c r="A101" s="134" t="s">
        <v>39</v>
      </c>
      <c r="B101" s="136" t="s">
        <v>35</v>
      </c>
      <c r="C101" s="136" t="s">
        <v>36</v>
      </c>
      <c r="D101" s="9">
        <f>SUM(E101:H101)</f>
        <v>5880</v>
      </c>
      <c r="E101" s="10">
        <f t="shared" si="102"/>
        <v>589</v>
      </c>
      <c r="F101" s="10">
        <f t="shared" si="102"/>
        <v>0</v>
      </c>
      <c r="G101" s="10">
        <f t="shared" si="102"/>
        <v>5291</v>
      </c>
      <c r="H101" s="10">
        <f t="shared" si="102"/>
        <v>0</v>
      </c>
      <c r="I101" s="33">
        <f t="shared" si="102"/>
        <v>656</v>
      </c>
      <c r="J101" s="9">
        <f>SUM(K101:N101)</f>
        <v>4774</v>
      </c>
      <c r="K101" s="10">
        <f t="shared" si="103"/>
        <v>478</v>
      </c>
      <c r="L101" s="10">
        <f t="shared" si="103"/>
        <v>0</v>
      </c>
      <c r="M101" s="10">
        <f t="shared" si="103"/>
        <v>4296</v>
      </c>
      <c r="N101" s="10">
        <f t="shared" si="103"/>
        <v>0</v>
      </c>
      <c r="O101" s="33">
        <f t="shared" si="103"/>
        <v>608</v>
      </c>
      <c r="P101" s="9">
        <f t="shared" ref="P101:P104" si="104">J101-D101</f>
        <v>-1106</v>
      </c>
      <c r="Q101" s="10">
        <f t="shared" si="93"/>
        <v>-111</v>
      </c>
      <c r="R101" s="10">
        <f t="shared" si="94"/>
        <v>0</v>
      </c>
      <c r="S101" s="10">
        <f t="shared" si="95"/>
        <v>-995</v>
      </c>
      <c r="T101" s="10">
        <f t="shared" si="96"/>
        <v>0</v>
      </c>
      <c r="U101" s="41">
        <f t="shared" ref="U101:U109" si="105">O101-I101</f>
        <v>-48</v>
      </c>
    </row>
    <row r="102" spans="1:27" s="84" customFormat="1" x14ac:dyDescent="0.2">
      <c r="A102" s="134" t="s">
        <v>39</v>
      </c>
      <c r="B102" s="136" t="s">
        <v>37</v>
      </c>
      <c r="C102" s="136" t="s">
        <v>34</v>
      </c>
      <c r="D102" s="9">
        <f>SUM(E102:H102)</f>
        <v>24</v>
      </c>
      <c r="E102" s="10">
        <f t="shared" si="102"/>
        <v>0</v>
      </c>
      <c r="F102" s="10">
        <f t="shared" si="102"/>
        <v>0</v>
      </c>
      <c r="G102" s="10">
        <f t="shared" si="102"/>
        <v>12</v>
      </c>
      <c r="H102" s="10">
        <f t="shared" si="102"/>
        <v>12</v>
      </c>
      <c r="I102" s="33">
        <f t="shared" si="102"/>
        <v>1</v>
      </c>
      <c r="J102" s="9">
        <f>SUM(K102:N102)</f>
        <v>10</v>
      </c>
      <c r="K102" s="10">
        <f t="shared" si="103"/>
        <v>0</v>
      </c>
      <c r="L102" s="10">
        <f t="shared" si="103"/>
        <v>0</v>
      </c>
      <c r="M102" s="10">
        <f t="shared" si="103"/>
        <v>5</v>
      </c>
      <c r="N102" s="10">
        <f t="shared" si="103"/>
        <v>5</v>
      </c>
      <c r="O102" s="33">
        <f t="shared" si="103"/>
        <v>1</v>
      </c>
      <c r="P102" s="9">
        <f t="shared" si="104"/>
        <v>-14</v>
      </c>
      <c r="Q102" s="10">
        <f t="shared" si="93"/>
        <v>0</v>
      </c>
      <c r="R102" s="10">
        <f t="shared" si="94"/>
        <v>0</v>
      </c>
      <c r="S102" s="10">
        <f t="shared" si="95"/>
        <v>-7</v>
      </c>
      <c r="T102" s="10">
        <f t="shared" si="96"/>
        <v>-7</v>
      </c>
      <c r="U102" s="41">
        <f t="shared" si="105"/>
        <v>0</v>
      </c>
    </row>
    <row r="103" spans="1:27" s="84" customFormat="1" ht="15.75" thickBot="1" x14ac:dyDescent="0.25">
      <c r="A103" s="134" t="s">
        <v>39</v>
      </c>
      <c r="B103" s="136" t="s">
        <v>37</v>
      </c>
      <c r="C103" s="136" t="s">
        <v>38</v>
      </c>
      <c r="D103" s="11">
        <f>SUM(E103:H103)</f>
        <v>11</v>
      </c>
      <c r="E103" s="12">
        <f t="shared" si="102"/>
        <v>1</v>
      </c>
      <c r="F103" s="12">
        <f t="shared" si="102"/>
        <v>0</v>
      </c>
      <c r="G103" s="12">
        <f t="shared" si="102"/>
        <v>10</v>
      </c>
      <c r="H103" s="12">
        <f t="shared" si="102"/>
        <v>0</v>
      </c>
      <c r="I103" s="97">
        <f t="shared" si="102"/>
        <v>1</v>
      </c>
      <c r="J103" s="11">
        <f>SUM(K103:N103)</f>
        <v>15</v>
      </c>
      <c r="K103" s="12">
        <f t="shared" si="103"/>
        <v>1</v>
      </c>
      <c r="L103" s="12">
        <f t="shared" si="103"/>
        <v>0</v>
      </c>
      <c r="M103" s="12">
        <f t="shared" si="103"/>
        <v>14</v>
      </c>
      <c r="N103" s="12">
        <f t="shared" si="103"/>
        <v>0</v>
      </c>
      <c r="O103" s="97">
        <f t="shared" si="103"/>
        <v>1</v>
      </c>
      <c r="P103" s="11">
        <f t="shared" si="104"/>
        <v>4</v>
      </c>
      <c r="Q103" s="12">
        <f t="shared" si="93"/>
        <v>0</v>
      </c>
      <c r="R103" s="12">
        <f t="shared" si="94"/>
        <v>0</v>
      </c>
      <c r="S103" s="12">
        <f t="shared" si="95"/>
        <v>4</v>
      </c>
      <c r="T103" s="12">
        <f t="shared" si="96"/>
        <v>0</v>
      </c>
      <c r="U103" s="42">
        <f t="shared" si="105"/>
        <v>0</v>
      </c>
    </row>
    <row r="104" spans="1:27" s="84" customFormat="1" ht="16.149999999999999" customHeight="1" thickBot="1" x14ac:dyDescent="0.3">
      <c r="A104" s="132" t="s">
        <v>41</v>
      </c>
      <c r="B104" s="133" t="s">
        <v>42</v>
      </c>
      <c r="C104" s="138"/>
      <c r="D104" s="51">
        <f t="shared" ref="D104" si="106">SUM(E104:H104)</f>
        <v>8067</v>
      </c>
      <c r="E104" s="12">
        <f t="shared" si="102"/>
        <v>0</v>
      </c>
      <c r="F104" s="12">
        <f t="shared" si="102"/>
        <v>4066</v>
      </c>
      <c r="G104" s="12">
        <f t="shared" si="102"/>
        <v>4001</v>
      </c>
      <c r="H104" s="12">
        <f t="shared" si="102"/>
        <v>0</v>
      </c>
      <c r="I104" s="97">
        <f t="shared" si="102"/>
        <v>0</v>
      </c>
      <c r="J104" s="51">
        <f t="shared" ref="J104" si="107">SUM(K104:N104)</f>
        <v>35582</v>
      </c>
      <c r="K104" s="113">
        <f t="shared" si="103"/>
        <v>0</v>
      </c>
      <c r="L104" s="113">
        <f t="shared" si="103"/>
        <v>7999</v>
      </c>
      <c r="M104" s="113">
        <f t="shared" si="103"/>
        <v>27583</v>
      </c>
      <c r="N104" s="113">
        <f t="shared" si="103"/>
        <v>0</v>
      </c>
      <c r="O104" s="97">
        <f t="shared" si="103"/>
        <v>0</v>
      </c>
      <c r="P104" s="51">
        <f t="shared" si="104"/>
        <v>27515</v>
      </c>
      <c r="Q104" s="50">
        <f t="shared" si="93"/>
        <v>0</v>
      </c>
      <c r="R104" s="50">
        <f t="shared" si="94"/>
        <v>3933</v>
      </c>
      <c r="S104" s="50">
        <f t="shared" si="95"/>
        <v>23582</v>
      </c>
      <c r="T104" s="50">
        <f t="shared" si="96"/>
        <v>0</v>
      </c>
      <c r="U104" s="99">
        <f t="shared" si="105"/>
        <v>0</v>
      </c>
    </row>
    <row r="105" spans="1:27" s="84" customFormat="1" ht="15.75" x14ac:dyDescent="0.25">
      <c r="A105" s="132" t="s">
        <v>43</v>
      </c>
      <c r="B105" s="137" t="s">
        <v>44</v>
      </c>
      <c r="C105" s="137"/>
      <c r="D105" s="7">
        <f>SUM(D106:D109)</f>
        <v>412</v>
      </c>
      <c r="E105" s="8">
        <f t="shared" ref="E105:J105" si="108">SUM(E106:E109)</f>
        <v>23</v>
      </c>
      <c r="F105" s="8">
        <f t="shared" si="108"/>
        <v>0</v>
      </c>
      <c r="G105" s="8">
        <f t="shared" si="108"/>
        <v>308</v>
      </c>
      <c r="H105" s="8">
        <f t="shared" si="108"/>
        <v>81</v>
      </c>
      <c r="I105" s="32">
        <f t="shared" si="108"/>
        <v>0</v>
      </c>
      <c r="J105" s="7">
        <f t="shared" si="108"/>
        <v>893</v>
      </c>
      <c r="K105" s="8">
        <f>SUM(K106:K109)</f>
        <v>52</v>
      </c>
      <c r="L105" s="8">
        <f>SUM(L106:L109)</f>
        <v>56</v>
      </c>
      <c r="M105" s="8">
        <f t="shared" ref="M105:O105" si="109">SUM(M106:M109)</f>
        <v>649</v>
      </c>
      <c r="N105" s="8">
        <f t="shared" si="109"/>
        <v>136</v>
      </c>
      <c r="O105" s="29">
        <f t="shared" si="109"/>
        <v>0</v>
      </c>
      <c r="P105" s="8">
        <f t="shared" ref="P105:P106" si="110">J105-D105</f>
        <v>481</v>
      </c>
      <c r="Q105" s="8">
        <f t="shared" si="93"/>
        <v>29</v>
      </c>
      <c r="R105" s="8">
        <f t="shared" si="94"/>
        <v>56</v>
      </c>
      <c r="S105" s="8">
        <f t="shared" si="95"/>
        <v>341</v>
      </c>
      <c r="T105" s="8">
        <f t="shared" si="96"/>
        <v>55</v>
      </c>
      <c r="U105" s="40">
        <f t="shared" si="105"/>
        <v>0</v>
      </c>
      <c r="V105" s="88"/>
    </row>
    <row r="106" spans="1:27" s="84" customFormat="1" ht="15.75" x14ac:dyDescent="0.25">
      <c r="A106" s="134" t="s">
        <v>43</v>
      </c>
      <c r="B106" s="135" t="s">
        <v>35</v>
      </c>
      <c r="C106" s="135" t="s">
        <v>34</v>
      </c>
      <c r="D106" s="9">
        <f t="shared" ref="D106:D109" si="111">SUM(E106:H106)</f>
        <v>187</v>
      </c>
      <c r="E106" s="10">
        <f t="shared" ref="E106:E117" si="112">K21</f>
        <v>1</v>
      </c>
      <c r="F106" s="10">
        <f t="shared" ref="F106:F117" si="113">L21</f>
        <v>0</v>
      </c>
      <c r="G106" s="10">
        <f t="shared" ref="G106:G117" si="114">M21</f>
        <v>105</v>
      </c>
      <c r="H106" s="10">
        <f t="shared" ref="H106:H117" si="115">N21</f>
        <v>81</v>
      </c>
      <c r="I106" s="33">
        <f t="shared" ref="I106:I117" si="116">O21</f>
        <v>0</v>
      </c>
      <c r="J106" s="9">
        <f>SUM(K106:N106)</f>
        <v>405</v>
      </c>
      <c r="K106" s="10">
        <f t="shared" ref="K106:O117" si="117">K63</f>
        <v>3</v>
      </c>
      <c r="L106" s="10">
        <f t="shared" si="117"/>
        <v>56</v>
      </c>
      <c r="M106" s="10">
        <f t="shared" si="117"/>
        <v>210</v>
      </c>
      <c r="N106" s="10">
        <f t="shared" si="117"/>
        <v>136</v>
      </c>
      <c r="O106" s="33">
        <f t="shared" si="117"/>
        <v>0</v>
      </c>
      <c r="P106" s="10">
        <f t="shared" si="110"/>
        <v>218</v>
      </c>
      <c r="Q106" s="10">
        <f t="shared" si="93"/>
        <v>2</v>
      </c>
      <c r="R106" s="10">
        <f t="shared" si="94"/>
        <v>56</v>
      </c>
      <c r="S106" s="10">
        <f t="shared" si="95"/>
        <v>105</v>
      </c>
      <c r="T106" s="10">
        <f t="shared" si="96"/>
        <v>55</v>
      </c>
      <c r="U106" s="45">
        <f t="shared" si="105"/>
        <v>0</v>
      </c>
      <c r="V106" s="88"/>
    </row>
    <row r="107" spans="1:27" s="84" customFormat="1" ht="15.75" x14ac:dyDescent="0.25">
      <c r="A107" s="134" t="s">
        <v>43</v>
      </c>
      <c r="B107" s="135" t="s">
        <v>35</v>
      </c>
      <c r="C107" s="135" t="s">
        <v>38</v>
      </c>
      <c r="D107" s="9">
        <f t="shared" si="111"/>
        <v>225</v>
      </c>
      <c r="E107" s="10">
        <f t="shared" si="112"/>
        <v>22</v>
      </c>
      <c r="F107" s="10">
        <f t="shared" si="113"/>
        <v>0</v>
      </c>
      <c r="G107" s="10">
        <f t="shared" si="114"/>
        <v>203</v>
      </c>
      <c r="H107" s="10">
        <f t="shared" si="115"/>
        <v>0</v>
      </c>
      <c r="I107" s="33">
        <f t="shared" si="116"/>
        <v>0</v>
      </c>
      <c r="J107" s="9">
        <f>SUM(K107:N107)</f>
        <v>488</v>
      </c>
      <c r="K107" s="10">
        <f t="shared" si="117"/>
        <v>49</v>
      </c>
      <c r="L107" s="10">
        <f t="shared" si="117"/>
        <v>0</v>
      </c>
      <c r="M107" s="10">
        <f t="shared" si="117"/>
        <v>439</v>
      </c>
      <c r="N107" s="10">
        <f t="shared" si="117"/>
        <v>0</v>
      </c>
      <c r="O107" s="33">
        <f t="shared" si="117"/>
        <v>0</v>
      </c>
      <c r="P107" s="10">
        <f>J107-D107</f>
        <v>263</v>
      </c>
      <c r="Q107" s="10">
        <f t="shared" si="93"/>
        <v>27</v>
      </c>
      <c r="R107" s="10">
        <f t="shared" si="94"/>
        <v>0</v>
      </c>
      <c r="S107" s="10">
        <f t="shared" si="95"/>
        <v>236</v>
      </c>
      <c r="T107" s="10">
        <f t="shared" si="96"/>
        <v>0</v>
      </c>
      <c r="U107" s="45">
        <f t="shared" si="105"/>
        <v>0</v>
      </c>
      <c r="V107" s="88"/>
    </row>
    <row r="108" spans="1:27" s="84" customFormat="1" ht="15.75" x14ac:dyDescent="0.25">
      <c r="A108" s="134" t="s">
        <v>43</v>
      </c>
      <c r="B108" s="135" t="s">
        <v>37</v>
      </c>
      <c r="C108" s="135" t="s">
        <v>34</v>
      </c>
      <c r="D108" s="9">
        <f t="shared" si="111"/>
        <v>0</v>
      </c>
      <c r="E108" s="10">
        <f t="shared" si="112"/>
        <v>0</v>
      </c>
      <c r="F108" s="10">
        <f t="shared" si="113"/>
        <v>0</v>
      </c>
      <c r="G108" s="10">
        <f t="shared" si="114"/>
        <v>0</v>
      </c>
      <c r="H108" s="10">
        <f t="shared" si="115"/>
        <v>0</v>
      </c>
      <c r="I108" s="33">
        <f t="shared" si="116"/>
        <v>0</v>
      </c>
      <c r="J108" s="9">
        <f>SUM(K108:N108)</f>
        <v>0</v>
      </c>
      <c r="K108" s="10">
        <f t="shared" si="117"/>
        <v>0</v>
      </c>
      <c r="L108" s="10">
        <f t="shared" si="117"/>
        <v>0</v>
      </c>
      <c r="M108" s="10">
        <f t="shared" si="117"/>
        <v>0</v>
      </c>
      <c r="N108" s="10">
        <f t="shared" si="117"/>
        <v>0</v>
      </c>
      <c r="O108" s="33">
        <f t="shared" si="117"/>
        <v>0</v>
      </c>
      <c r="P108" s="10">
        <f>J108-D108</f>
        <v>0</v>
      </c>
      <c r="Q108" s="10">
        <f t="shared" si="93"/>
        <v>0</v>
      </c>
      <c r="R108" s="10">
        <f t="shared" si="94"/>
        <v>0</v>
      </c>
      <c r="S108" s="10">
        <f t="shared" si="95"/>
        <v>0</v>
      </c>
      <c r="T108" s="10">
        <f t="shared" si="96"/>
        <v>0</v>
      </c>
      <c r="U108" s="45">
        <f t="shared" si="105"/>
        <v>0</v>
      </c>
      <c r="V108" s="88"/>
    </row>
    <row r="109" spans="1:27" s="84" customFormat="1" ht="16.5" thickBot="1" x14ac:dyDescent="0.3">
      <c r="A109" s="134" t="s">
        <v>43</v>
      </c>
      <c r="B109" s="135" t="s">
        <v>37</v>
      </c>
      <c r="C109" s="135" t="s">
        <v>36</v>
      </c>
      <c r="D109" s="11">
        <f t="shared" si="111"/>
        <v>0</v>
      </c>
      <c r="E109" s="12">
        <f t="shared" si="112"/>
        <v>0</v>
      </c>
      <c r="F109" s="12">
        <f t="shared" si="113"/>
        <v>0</v>
      </c>
      <c r="G109" s="12">
        <f t="shared" si="114"/>
        <v>0</v>
      </c>
      <c r="H109" s="12">
        <f t="shared" si="115"/>
        <v>0</v>
      </c>
      <c r="I109" s="97">
        <f t="shared" si="116"/>
        <v>0</v>
      </c>
      <c r="J109" s="11">
        <f>SUM(K109:N109)</f>
        <v>0</v>
      </c>
      <c r="K109" s="12">
        <f t="shared" si="117"/>
        <v>0</v>
      </c>
      <c r="L109" s="12">
        <f t="shared" si="117"/>
        <v>0</v>
      </c>
      <c r="M109" s="12">
        <f t="shared" si="117"/>
        <v>0</v>
      </c>
      <c r="N109" s="12">
        <f t="shared" si="117"/>
        <v>0</v>
      </c>
      <c r="O109" s="97">
        <f t="shared" si="117"/>
        <v>0</v>
      </c>
      <c r="P109" s="11">
        <f>J109-D109</f>
        <v>0</v>
      </c>
      <c r="Q109" s="12">
        <f t="shared" si="93"/>
        <v>0</v>
      </c>
      <c r="R109" s="12">
        <f t="shared" si="94"/>
        <v>0</v>
      </c>
      <c r="S109" s="12">
        <f t="shared" si="95"/>
        <v>0</v>
      </c>
      <c r="T109" s="12">
        <f t="shared" si="96"/>
        <v>0</v>
      </c>
      <c r="U109" s="46">
        <f t="shared" si="105"/>
        <v>0</v>
      </c>
      <c r="V109" s="88"/>
    </row>
    <row r="110" spans="1:27" s="84" customFormat="1" ht="16.5" thickBot="1" x14ac:dyDescent="0.3">
      <c r="A110" s="132" t="s">
        <v>45</v>
      </c>
      <c r="B110" s="137" t="s">
        <v>46</v>
      </c>
      <c r="C110" s="137"/>
      <c r="D110" s="51">
        <f>SUM(E110:H110)</f>
        <v>-3361</v>
      </c>
      <c r="E110" s="113">
        <f t="shared" si="112"/>
        <v>-272</v>
      </c>
      <c r="F110" s="113">
        <f t="shared" si="113"/>
        <v>0</v>
      </c>
      <c r="G110" s="113">
        <f t="shared" si="114"/>
        <v>-1698</v>
      </c>
      <c r="H110" s="113">
        <f t="shared" si="115"/>
        <v>-1391</v>
      </c>
      <c r="I110" s="97">
        <f t="shared" si="116"/>
        <v>0</v>
      </c>
      <c r="J110" s="51">
        <f>SUM(K110:N110)</f>
        <v>-1278</v>
      </c>
      <c r="K110" s="113">
        <f t="shared" si="117"/>
        <v>-254</v>
      </c>
      <c r="L110" s="113">
        <f t="shared" si="117"/>
        <v>0</v>
      </c>
      <c r="M110" s="113">
        <f t="shared" si="117"/>
        <v>-700</v>
      </c>
      <c r="N110" s="113">
        <f t="shared" si="117"/>
        <v>-324</v>
      </c>
      <c r="O110" s="97">
        <f t="shared" si="117"/>
        <v>0</v>
      </c>
      <c r="P110" s="51">
        <f>J110-D110</f>
        <v>2083</v>
      </c>
      <c r="Q110" s="50">
        <f>K110-E110</f>
        <v>18</v>
      </c>
      <c r="R110" s="50">
        <f>L110-F110</f>
        <v>0</v>
      </c>
      <c r="S110" s="50">
        <f>M110-G110</f>
        <v>998</v>
      </c>
      <c r="T110" s="50">
        <f>N110-H110</f>
        <v>1067</v>
      </c>
      <c r="U110" s="99">
        <f>O110-I110</f>
        <v>0</v>
      </c>
      <c r="V110" s="88"/>
    </row>
    <row r="111" spans="1:27" s="84" customFormat="1" ht="19.5" thickBot="1" x14ac:dyDescent="0.3">
      <c r="A111" s="132" t="s">
        <v>47</v>
      </c>
      <c r="B111" s="137" t="s">
        <v>48</v>
      </c>
      <c r="C111" s="137"/>
      <c r="D111" s="51">
        <f t="shared" ref="D111" si="118">SUM(E111:H111)</f>
        <v>17413</v>
      </c>
      <c r="E111" s="113">
        <f t="shared" si="112"/>
        <v>2401</v>
      </c>
      <c r="F111" s="113">
        <f t="shared" si="113"/>
        <v>0</v>
      </c>
      <c r="G111" s="113">
        <f t="shared" si="114"/>
        <v>13402</v>
      </c>
      <c r="H111" s="113">
        <f t="shared" si="115"/>
        <v>1610</v>
      </c>
      <c r="I111" s="97">
        <f t="shared" si="116"/>
        <v>0</v>
      </c>
      <c r="J111" s="51">
        <f t="shared" ref="J111" si="119">SUM(K111:N111)</f>
        <v>4090</v>
      </c>
      <c r="K111" s="113">
        <f t="shared" si="117"/>
        <v>563</v>
      </c>
      <c r="L111" s="113">
        <f t="shared" si="117"/>
        <v>0</v>
      </c>
      <c r="M111" s="113">
        <f t="shared" si="117"/>
        <v>3148</v>
      </c>
      <c r="N111" s="113">
        <f t="shared" si="117"/>
        <v>379</v>
      </c>
      <c r="O111" s="97">
        <f t="shared" si="117"/>
        <v>0</v>
      </c>
      <c r="P111" s="51">
        <f t="shared" ref="P111:P115" si="120">J111-D111</f>
        <v>-13323</v>
      </c>
      <c r="Q111" s="50">
        <f t="shared" ref="Q111:Q115" si="121">K111-E111</f>
        <v>-1838</v>
      </c>
      <c r="R111" s="50">
        <f t="shared" ref="R111:R115" si="122">L111-F111</f>
        <v>0</v>
      </c>
      <c r="S111" s="50">
        <f t="shared" ref="S111:S115" si="123">M111-G111</f>
        <v>-10254</v>
      </c>
      <c r="T111" s="50">
        <f t="shared" ref="T111:T115" si="124">N111-H111</f>
        <v>-1231</v>
      </c>
      <c r="U111" s="99">
        <f t="shared" ref="U111:U115" si="125">O111-I111</f>
        <v>0</v>
      </c>
      <c r="V111" s="88"/>
    </row>
    <row r="112" spans="1:27" s="88" customFormat="1" ht="15" customHeight="1" thickBot="1" x14ac:dyDescent="0.3">
      <c r="A112" s="139" t="s">
        <v>49</v>
      </c>
      <c r="B112" s="140" t="s">
        <v>50</v>
      </c>
      <c r="C112" s="141"/>
      <c r="D112" s="51">
        <f>SUM(E112:H112)</f>
        <v>0</v>
      </c>
      <c r="E112" s="113">
        <f t="shared" si="112"/>
        <v>4198</v>
      </c>
      <c r="F112" s="113">
        <f t="shared" si="113"/>
        <v>0</v>
      </c>
      <c r="G112" s="113">
        <f t="shared" si="114"/>
        <v>-4198</v>
      </c>
      <c r="H112" s="113">
        <f t="shared" si="115"/>
        <v>0</v>
      </c>
      <c r="I112" s="97">
        <f t="shared" si="116"/>
        <v>0</v>
      </c>
      <c r="J112" s="51">
        <f>SUM(K112:N112)</f>
        <v>0</v>
      </c>
      <c r="K112" s="113">
        <f t="shared" si="117"/>
        <v>4347</v>
      </c>
      <c r="L112" s="113">
        <f t="shared" si="117"/>
        <v>0</v>
      </c>
      <c r="M112" s="113">
        <f t="shared" si="117"/>
        <v>-4347</v>
      </c>
      <c r="N112" s="113">
        <f t="shared" si="117"/>
        <v>0</v>
      </c>
      <c r="O112" s="97">
        <f t="shared" si="117"/>
        <v>0</v>
      </c>
      <c r="P112" s="51">
        <f t="shared" si="120"/>
        <v>0</v>
      </c>
      <c r="Q112" s="50">
        <f t="shared" si="121"/>
        <v>149</v>
      </c>
      <c r="R112" s="50">
        <f t="shared" si="122"/>
        <v>0</v>
      </c>
      <c r="S112" s="50">
        <f t="shared" si="123"/>
        <v>-149</v>
      </c>
      <c r="T112" s="50">
        <f t="shared" si="124"/>
        <v>0</v>
      </c>
      <c r="U112" s="99">
        <f t="shared" si="125"/>
        <v>0</v>
      </c>
      <c r="W112" s="84"/>
      <c r="X112" s="84"/>
      <c r="Y112" s="84"/>
      <c r="Z112" s="84"/>
      <c r="AA112" s="84"/>
    </row>
    <row r="113" spans="1:62" s="88" customFormat="1" ht="15" customHeight="1" thickBot="1" x14ac:dyDescent="0.3">
      <c r="A113" s="139" t="s">
        <v>51</v>
      </c>
      <c r="B113" s="140" t="s">
        <v>52</v>
      </c>
      <c r="C113" s="138"/>
      <c r="D113" s="51">
        <f>SUM(E113:H113)</f>
        <v>6216</v>
      </c>
      <c r="E113" s="113">
        <f t="shared" si="112"/>
        <v>0</v>
      </c>
      <c r="F113" s="113">
        <f t="shared" si="113"/>
        <v>0</v>
      </c>
      <c r="G113" s="113">
        <f t="shared" si="114"/>
        <v>4902</v>
      </c>
      <c r="H113" s="113">
        <f t="shared" si="115"/>
        <v>1314</v>
      </c>
      <c r="I113" s="97">
        <f t="shared" si="116"/>
        <v>0</v>
      </c>
      <c r="J113" s="51">
        <f>SUM(K113:N113)</f>
        <v>8392</v>
      </c>
      <c r="K113" s="113">
        <f t="shared" si="117"/>
        <v>0</v>
      </c>
      <c r="L113" s="113">
        <f t="shared" si="117"/>
        <v>1462</v>
      </c>
      <c r="M113" s="113">
        <f t="shared" si="117"/>
        <v>6490</v>
      </c>
      <c r="N113" s="113">
        <f t="shared" si="117"/>
        <v>440</v>
      </c>
      <c r="O113" s="97">
        <f t="shared" si="117"/>
        <v>0</v>
      </c>
      <c r="P113" s="51">
        <f t="shared" si="120"/>
        <v>2176</v>
      </c>
      <c r="Q113" s="50">
        <f t="shared" si="121"/>
        <v>0</v>
      </c>
      <c r="R113" s="50">
        <f t="shared" si="122"/>
        <v>1462</v>
      </c>
      <c r="S113" s="50">
        <f t="shared" si="123"/>
        <v>1588</v>
      </c>
      <c r="T113" s="50">
        <f t="shared" si="124"/>
        <v>-874</v>
      </c>
      <c r="U113" s="99">
        <f t="shared" si="125"/>
        <v>0</v>
      </c>
      <c r="W113" s="84"/>
      <c r="X113" s="84"/>
      <c r="Y113" s="84"/>
      <c r="Z113" s="84"/>
      <c r="AA113" s="84"/>
    </row>
    <row r="114" spans="1:62" s="88" customFormat="1" ht="15" customHeight="1" thickBot="1" x14ac:dyDescent="0.3">
      <c r="A114" s="139" t="s">
        <v>53</v>
      </c>
      <c r="B114" s="140" t="s">
        <v>54</v>
      </c>
      <c r="C114" s="138"/>
      <c r="D114" s="51">
        <f>SUM(E114:H114)</f>
        <v>0</v>
      </c>
      <c r="E114" s="113">
        <f t="shared" si="112"/>
        <v>0</v>
      </c>
      <c r="F114" s="113">
        <f t="shared" si="113"/>
        <v>0</v>
      </c>
      <c r="G114" s="113">
        <f t="shared" si="114"/>
        <v>0</v>
      </c>
      <c r="H114" s="113">
        <f t="shared" si="115"/>
        <v>0</v>
      </c>
      <c r="I114" s="97">
        <f t="shared" si="116"/>
        <v>0</v>
      </c>
      <c r="J114" s="51">
        <f>SUM(K114:N114)</f>
        <v>15615</v>
      </c>
      <c r="K114" s="113">
        <f t="shared" si="117"/>
        <v>2342</v>
      </c>
      <c r="L114" s="113">
        <f t="shared" si="117"/>
        <v>0</v>
      </c>
      <c r="M114" s="113">
        <f t="shared" si="117"/>
        <v>13273</v>
      </c>
      <c r="N114" s="113">
        <f t="shared" si="117"/>
        <v>0</v>
      </c>
      <c r="O114" s="97">
        <f t="shared" si="117"/>
        <v>0</v>
      </c>
      <c r="P114" s="51">
        <f t="shared" ref="P114" si="126">J114-D114</f>
        <v>15615</v>
      </c>
      <c r="Q114" s="50">
        <f t="shared" ref="Q114" si="127">K114-E114</f>
        <v>2342</v>
      </c>
      <c r="R114" s="50">
        <f t="shared" ref="R114" si="128">L114-F114</f>
        <v>0</v>
      </c>
      <c r="S114" s="50">
        <f t="shared" ref="S114" si="129">M114-G114</f>
        <v>13273</v>
      </c>
      <c r="T114" s="50">
        <f t="shared" ref="T114" si="130">N114-H114</f>
        <v>0</v>
      </c>
      <c r="U114" s="99">
        <f t="shared" ref="U114" si="131">O114-I114</f>
        <v>0</v>
      </c>
      <c r="W114" s="84"/>
      <c r="X114" s="84"/>
      <c r="Y114" s="84"/>
      <c r="Z114" s="84"/>
      <c r="AA114" s="84"/>
    </row>
    <row r="115" spans="1:62" s="89" customFormat="1" ht="16.5" thickBot="1" x14ac:dyDescent="0.3">
      <c r="A115" s="142" t="s">
        <v>55</v>
      </c>
      <c r="B115" s="140" t="s">
        <v>56</v>
      </c>
      <c r="C115" s="140"/>
      <c r="D115" s="51">
        <f>SUM(E115:H115)</f>
        <v>78420</v>
      </c>
      <c r="E115" s="113">
        <f t="shared" si="112"/>
        <v>0</v>
      </c>
      <c r="F115" s="113">
        <f t="shared" si="113"/>
        <v>0</v>
      </c>
      <c r="G115" s="113">
        <f t="shared" si="114"/>
        <v>42749</v>
      </c>
      <c r="H115" s="113">
        <f t="shared" si="115"/>
        <v>35671</v>
      </c>
      <c r="I115" s="97">
        <f t="shared" si="116"/>
        <v>0</v>
      </c>
      <c r="J115" s="51">
        <f>SUM(K115:N115)</f>
        <v>86091</v>
      </c>
      <c r="K115" s="113">
        <f t="shared" si="117"/>
        <v>0</v>
      </c>
      <c r="L115" s="113">
        <f t="shared" si="117"/>
        <v>6786</v>
      </c>
      <c r="M115" s="113">
        <f t="shared" si="117"/>
        <v>47335</v>
      </c>
      <c r="N115" s="113">
        <f t="shared" si="117"/>
        <v>31970</v>
      </c>
      <c r="O115" s="97">
        <f t="shared" si="117"/>
        <v>0</v>
      </c>
      <c r="P115" s="51">
        <f t="shared" si="120"/>
        <v>7671</v>
      </c>
      <c r="Q115" s="50">
        <f t="shared" si="121"/>
        <v>0</v>
      </c>
      <c r="R115" s="50">
        <f t="shared" si="122"/>
        <v>6786</v>
      </c>
      <c r="S115" s="50">
        <f t="shared" si="123"/>
        <v>4586</v>
      </c>
      <c r="T115" s="50">
        <f t="shared" si="124"/>
        <v>-3701</v>
      </c>
      <c r="U115" s="99">
        <f t="shared" si="125"/>
        <v>0</v>
      </c>
      <c r="W115" s="84"/>
      <c r="X115" s="84"/>
      <c r="Y115" s="84"/>
      <c r="Z115" s="84"/>
      <c r="AA115" s="84"/>
    </row>
    <row r="116" spans="1:62" s="90" customFormat="1" ht="16.5" thickBot="1" x14ac:dyDescent="0.3">
      <c r="A116" s="142" t="s">
        <v>57</v>
      </c>
      <c r="B116" s="140" t="s">
        <v>58</v>
      </c>
      <c r="C116" s="140"/>
      <c r="D116" s="51">
        <f t="shared" ref="D116" si="132">SUM(E116:H116)</f>
        <v>1957</v>
      </c>
      <c r="E116" s="113">
        <f t="shared" si="112"/>
        <v>489</v>
      </c>
      <c r="F116" s="113">
        <f t="shared" si="113"/>
        <v>0</v>
      </c>
      <c r="G116" s="113">
        <f t="shared" si="114"/>
        <v>979</v>
      </c>
      <c r="H116" s="113">
        <f t="shared" si="115"/>
        <v>489</v>
      </c>
      <c r="I116" s="97">
        <f t="shared" si="116"/>
        <v>0</v>
      </c>
      <c r="J116" s="51">
        <f t="shared" ref="J116" si="133">SUM(K116:N116)</f>
        <v>7835</v>
      </c>
      <c r="K116" s="113">
        <f t="shared" si="117"/>
        <v>1959</v>
      </c>
      <c r="L116" s="113">
        <f t="shared" si="117"/>
        <v>1469</v>
      </c>
      <c r="M116" s="113">
        <f t="shared" si="117"/>
        <v>3917</v>
      </c>
      <c r="N116" s="113">
        <f t="shared" si="117"/>
        <v>490</v>
      </c>
      <c r="O116" s="97">
        <f t="shared" si="117"/>
        <v>0</v>
      </c>
      <c r="P116" s="51">
        <f t="shared" ref="P116:U116" si="134">J116-D116</f>
        <v>5878</v>
      </c>
      <c r="Q116" s="50">
        <f t="shared" si="134"/>
        <v>1470</v>
      </c>
      <c r="R116" s="50">
        <f t="shared" si="134"/>
        <v>1469</v>
      </c>
      <c r="S116" s="50">
        <f t="shared" si="134"/>
        <v>2938</v>
      </c>
      <c r="T116" s="50">
        <f t="shared" si="134"/>
        <v>1</v>
      </c>
      <c r="U116" s="99">
        <f t="shared" si="134"/>
        <v>0</v>
      </c>
      <c r="V116" s="89"/>
      <c r="W116" s="84"/>
      <c r="X116" s="84"/>
      <c r="Y116" s="84"/>
      <c r="Z116" s="84"/>
      <c r="AA116" s="84"/>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row>
    <row r="117" spans="1:62" s="90" customFormat="1" ht="19.5" thickBot="1" x14ac:dyDescent="0.3">
      <c r="A117" s="142" t="s">
        <v>59</v>
      </c>
      <c r="B117" s="140" t="s">
        <v>60</v>
      </c>
      <c r="C117" s="140"/>
      <c r="D117" s="51">
        <f t="shared" ref="D117" si="135">SUM(E117:H117)</f>
        <v>418</v>
      </c>
      <c r="E117" s="113">
        <f t="shared" si="112"/>
        <v>0</v>
      </c>
      <c r="F117" s="113">
        <f t="shared" si="113"/>
        <v>209</v>
      </c>
      <c r="G117" s="113">
        <f t="shared" si="114"/>
        <v>209</v>
      </c>
      <c r="H117" s="113">
        <f t="shared" si="115"/>
        <v>0</v>
      </c>
      <c r="I117" s="97">
        <f t="shared" si="116"/>
        <v>0</v>
      </c>
      <c r="J117" s="51">
        <f t="shared" ref="J117" si="136">SUM(K117:N117)</f>
        <v>5000</v>
      </c>
      <c r="K117" s="113">
        <f t="shared" si="117"/>
        <v>0</v>
      </c>
      <c r="L117" s="113">
        <f t="shared" si="117"/>
        <v>2500</v>
      </c>
      <c r="M117" s="113">
        <f t="shared" si="117"/>
        <v>2500</v>
      </c>
      <c r="N117" s="113">
        <f t="shared" si="117"/>
        <v>0</v>
      </c>
      <c r="O117" s="97">
        <f t="shared" si="117"/>
        <v>0</v>
      </c>
      <c r="P117" s="51">
        <f t="shared" ref="P117" si="137">J117-D117</f>
        <v>4582</v>
      </c>
      <c r="Q117" s="50">
        <f t="shared" ref="Q117" si="138">K117-E117</f>
        <v>0</v>
      </c>
      <c r="R117" s="50">
        <f t="shared" ref="R117" si="139">L117-F117</f>
        <v>2291</v>
      </c>
      <c r="S117" s="50">
        <f t="shared" ref="S117" si="140">M117-G117</f>
        <v>2291</v>
      </c>
      <c r="T117" s="50">
        <f t="shared" ref="T117:T121" si="141">N117-H117</f>
        <v>0</v>
      </c>
      <c r="U117" s="99">
        <f t="shared" ref="U117" si="142">O117-I117</f>
        <v>0</v>
      </c>
      <c r="V117" s="89"/>
      <c r="W117" s="84"/>
      <c r="X117" s="84"/>
      <c r="Y117" s="84"/>
      <c r="Z117" s="84"/>
      <c r="AA117" s="84"/>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row>
    <row r="118" spans="1:62" s="91" customFormat="1" ht="15.75" customHeight="1" thickBot="1" x14ac:dyDescent="0.3">
      <c r="A118" s="143"/>
      <c r="B118" s="144"/>
      <c r="C118" s="144" t="s">
        <v>61</v>
      </c>
      <c r="D118" s="51">
        <f t="shared" ref="D118:O118" si="143">D94+D99+D104+D105+D110+D111+D112+D113+D115+D116+D114+D117</f>
        <v>975764</v>
      </c>
      <c r="E118" s="51">
        <f t="shared" si="143"/>
        <v>113495</v>
      </c>
      <c r="F118" s="51">
        <f t="shared" si="143"/>
        <v>4275</v>
      </c>
      <c r="G118" s="51">
        <f t="shared" si="143"/>
        <v>744364</v>
      </c>
      <c r="H118" s="51">
        <f t="shared" si="143"/>
        <v>113630</v>
      </c>
      <c r="I118" s="52">
        <f t="shared" si="143"/>
        <v>1188</v>
      </c>
      <c r="J118" s="51">
        <f t="shared" si="143"/>
        <v>996855</v>
      </c>
      <c r="K118" s="51">
        <f t="shared" si="143"/>
        <v>116146</v>
      </c>
      <c r="L118" s="51">
        <f t="shared" si="143"/>
        <v>77617</v>
      </c>
      <c r="M118" s="51">
        <f t="shared" si="143"/>
        <v>746232</v>
      </c>
      <c r="N118" s="51">
        <f t="shared" si="143"/>
        <v>56860</v>
      </c>
      <c r="O118" s="52">
        <f t="shared" si="143"/>
        <v>1154</v>
      </c>
      <c r="P118" s="51">
        <f>J118-D118</f>
        <v>21091</v>
      </c>
      <c r="Q118" s="50">
        <f>K118-E118</f>
        <v>2651</v>
      </c>
      <c r="R118" s="50">
        <f>L118-F118</f>
        <v>73342</v>
      </c>
      <c r="S118" s="50">
        <f>M118-G118</f>
        <v>1868</v>
      </c>
      <c r="T118" s="50">
        <f t="shared" si="141"/>
        <v>-56770</v>
      </c>
      <c r="U118" s="54">
        <f>O118-I118</f>
        <v>-34</v>
      </c>
      <c r="W118" s="84"/>
      <c r="X118" s="84"/>
      <c r="Y118" s="84"/>
      <c r="Z118" s="84"/>
      <c r="AA118" s="84"/>
    </row>
    <row r="119" spans="1:62" s="91" customFormat="1" ht="15.75" customHeight="1" x14ac:dyDescent="0.25">
      <c r="A119" s="143"/>
      <c r="B119" s="144"/>
      <c r="C119" s="145" t="s">
        <v>62</v>
      </c>
      <c r="D119" s="146">
        <f t="shared" ref="D119:O119" si="144">D95+D96+D100+D101+D106+D107</f>
        <v>859182</v>
      </c>
      <c r="E119" s="146">
        <f t="shared" si="144"/>
        <v>106467</v>
      </c>
      <c r="F119" s="146">
        <f t="shared" si="144"/>
        <v>0</v>
      </c>
      <c r="G119" s="146">
        <f t="shared" si="144"/>
        <v>679130</v>
      </c>
      <c r="H119" s="146">
        <f t="shared" si="144"/>
        <v>73585</v>
      </c>
      <c r="I119" s="147">
        <f t="shared" si="144"/>
        <v>1186</v>
      </c>
      <c r="J119" s="146">
        <f t="shared" si="144"/>
        <v>828322</v>
      </c>
      <c r="K119" s="146">
        <f t="shared" si="144"/>
        <v>106984</v>
      </c>
      <c r="L119" s="146">
        <f t="shared" si="144"/>
        <v>55579</v>
      </c>
      <c r="M119" s="146">
        <f t="shared" si="144"/>
        <v>642540</v>
      </c>
      <c r="N119" s="146">
        <f t="shared" si="144"/>
        <v>23219</v>
      </c>
      <c r="O119" s="147">
        <f t="shared" si="144"/>
        <v>1152</v>
      </c>
      <c r="P119" s="53">
        <f>J119-D119</f>
        <v>-30860</v>
      </c>
      <c r="Q119" s="10">
        <f t="shared" ref="Q119" si="145">K119-E119</f>
        <v>517</v>
      </c>
      <c r="R119" s="10">
        <f t="shared" ref="R119" si="146">L119-F119</f>
        <v>55579</v>
      </c>
      <c r="S119" s="55">
        <f>M119-G119</f>
        <v>-36590</v>
      </c>
      <c r="T119" s="55">
        <f t="shared" si="141"/>
        <v>-50366</v>
      </c>
      <c r="U119" s="43">
        <f>O119-I119</f>
        <v>-34</v>
      </c>
      <c r="W119" s="84"/>
      <c r="X119" s="84"/>
      <c r="Y119" s="84"/>
      <c r="Z119" s="84"/>
      <c r="AA119" s="84"/>
    </row>
    <row r="120" spans="1:62" s="88" customFormat="1" ht="15.75" customHeight="1" x14ac:dyDescent="0.25">
      <c r="A120" s="134"/>
      <c r="B120" s="136"/>
      <c r="C120" s="148" t="s">
        <v>63</v>
      </c>
      <c r="D120" s="149">
        <f t="shared" ref="D120:O120" si="147">D97+D98+D102+D103+D108+D109</f>
        <v>7452</v>
      </c>
      <c r="E120" s="149">
        <f t="shared" si="147"/>
        <v>212</v>
      </c>
      <c r="F120" s="149">
        <f t="shared" si="147"/>
        <v>0</v>
      </c>
      <c r="G120" s="149">
        <f t="shared" si="147"/>
        <v>4888</v>
      </c>
      <c r="H120" s="149">
        <f t="shared" si="147"/>
        <v>2352</v>
      </c>
      <c r="I120" s="150">
        <f t="shared" si="147"/>
        <v>2</v>
      </c>
      <c r="J120" s="149">
        <f t="shared" si="147"/>
        <v>7206</v>
      </c>
      <c r="K120" s="149">
        <f t="shared" si="147"/>
        <v>205</v>
      </c>
      <c r="L120" s="149">
        <f t="shared" si="147"/>
        <v>1822</v>
      </c>
      <c r="M120" s="149">
        <f t="shared" si="147"/>
        <v>4493</v>
      </c>
      <c r="N120" s="149">
        <f t="shared" si="147"/>
        <v>686</v>
      </c>
      <c r="O120" s="150">
        <f t="shared" si="147"/>
        <v>2</v>
      </c>
      <c r="P120" s="53">
        <f>J120-D120</f>
        <v>-246</v>
      </c>
      <c r="Q120" s="10">
        <f>K120-E120</f>
        <v>-7</v>
      </c>
      <c r="R120" s="10">
        <f>L120-F120</f>
        <v>1822</v>
      </c>
      <c r="S120" s="55">
        <f>M120-G120</f>
        <v>-395</v>
      </c>
      <c r="T120" s="55">
        <f t="shared" si="141"/>
        <v>-1666</v>
      </c>
      <c r="U120" s="43">
        <f>O120-I120</f>
        <v>0</v>
      </c>
      <c r="W120" s="84"/>
      <c r="X120" s="84"/>
      <c r="Y120" s="84"/>
      <c r="Z120" s="84"/>
      <c r="AA120" s="84"/>
    </row>
    <row r="121" spans="1:62" s="88" customFormat="1" ht="15.75" customHeight="1" thickBot="1" x14ac:dyDescent="0.3">
      <c r="A121" s="151"/>
      <c r="B121" s="152"/>
      <c r="C121" s="153" t="s">
        <v>64</v>
      </c>
      <c r="D121" s="11">
        <f t="shared" ref="D121:O121" si="148">D104+D110+D111+D112+D113+D115+D116+D114+D117</f>
        <v>109130</v>
      </c>
      <c r="E121" s="11">
        <f t="shared" si="148"/>
        <v>6816</v>
      </c>
      <c r="F121" s="11">
        <f t="shared" si="148"/>
        <v>4275</v>
      </c>
      <c r="G121" s="11">
        <f t="shared" si="148"/>
        <v>60346</v>
      </c>
      <c r="H121" s="11">
        <f t="shared" si="148"/>
        <v>37693</v>
      </c>
      <c r="I121" s="110">
        <f t="shared" si="148"/>
        <v>0</v>
      </c>
      <c r="J121" s="11">
        <f t="shared" si="148"/>
        <v>161327</v>
      </c>
      <c r="K121" s="11">
        <f t="shared" si="148"/>
        <v>8957</v>
      </c>
      <c r="L121" s="11">
        <f t="shared" si="148"/>
        <v>20216</v>
      </c>
      <c r="M121" s="11">
        <f t="shared" si="148"/>
        <v>99199</v>
      </c>
      <c r="N121" s="11">
        <f t="shared" si="148"/>
        <v>32955</v>
      </c>
      <c r="O121" s="110">
        <f t="shared" si="148"/>
        <v>0</v>
      </c>
      <c r="P121" s="56">
        <f>J121-D121</f>
        <v>52197</v>
      </c>
      <c r="Q121" s="12">
        <f t="shared" ref="Q121" si="149">K121-E121</f>
        <v>2141</v>
      </c>
      <c r="R121" s="12">
        <f t="shared" ref="R121" si="150">L121-F121</f>
        <v>15941</v>
      </c>
      <c r="S121" s="57">
        <f t="shared" ref="S121" si="151">M121-G121</f>
        <v>38853</v>
      </c>
      <c r="T121" s="57">
        <f t="shared" si="141"/>
        <v>-4738</v>
      </c>
      <c r="U121" s="44">
        <f>O121-I121</f>
        <v>0</v>
      </c>
      <c r="W121" s="84"/>
      <c r="X121" s="84"/>
      <c r="Y121" s="84"/>
      <c r="Z121" s="84"/>
      <c r="AA121" s="84"/>
    </row>
    <row r="122" spans="1:62" s="85" customFormat="1" ht="15.75" x14ac:dyDescent="0.25">
      <c r="A122" s="154" t="s">
        <v>65</v>
      </c>
      <c r="B122" s="173"/>
      <c r="C122" s="71"/>
      <c r="D122" s="72"/>
      <c r="E122" s="72"/>
      <c r="F122" s="72"/>
      <c r="G122" s="47"/>
      <c r="H122" s="47"/>
      <c r="I122" s="174"/>
      <c r="J122" s="47"/>
      <c r="K122" s="47"/>
      <c r="L122" s="47"/>
      <c r="M122" s="47"/>
      <c r="N122" s="47"/>
      <c r="O122" s="47"/>
      <c r="P122" s="47"/>
      <c r="Q122" s="47"/>
      <c r="R122" s="47"/>
      <c r="S122" s="47"/>
      <c r="T122" s="47"/>
      <c r="U122" s="162"/>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row>
    <row r="123" spans="1:62" s="85" customFormat="1" ht="15" customHeight="1" x14ac:dyDescent="0.2">
      <c r="A123" s="155" t="s">
        <v>66</v>
      </c>
      <c r="B123" s="173"/>
      <c r="C123" s="71"/>
      <c r="D123" s="72"/>
      <c r="E123" s="72"/>
      <c r="F123" s="72"/>
      <c r="G123" s="47"/>
      <c r="H123" s="47"/>
      <c r="I123" s="174"/>
      <c r="J123" s="47"/>
      <c r="K123" s="47"/>
      <c r="L123" s="47"/>
      <c r="M123" s="47"/>
      <c r="N123" s="47"/>
      <c r="O123" s="174"/>
      <c r="P123" s="47"/>
      <c r="Q123" s="47"/>
      <c r="R123" s="47"/>
      <c r="S123" s="47"/>
      <c r="T123" s="47"/>
      <c r="U123" s="162"/>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row>
    <row r="124" spans="1:62" s="85" customFormat="1" ht="15" customHeight="1" x14ac:dyDescent="0.2">
      <c r="A124" s="155" t="s">
        <v>67</v>
      </c>
      <c r="B124" s="174"/>
      <c r="C124" s="174"/>
      <c r="D124" s="47"/>
      <c r="E124" s="47"/>
      <c r="F124" s="47"/>
      <c r="G124" s="47"/>
      <c r="H124" s="47"/>
      <c r="I124" s="174"/>
      <c r="J124" s="47"/>
      <c r="K124" s="47"/>
      <c r="L124" s="47"/>
      <c r="M124" s="47"/>
      <c r="N124" s="47"/>
      <c r="O124" s="174"/>
      <c r="P124" s="47"/>
      <c r="Q124" s="47"/>
      <c r="R124" s="47"/>
      <c r="S124" s="47"/>
      <c r="T124" s="47"/>
      <c r="U124" s="162"/>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row>
    <row r="125" spans="1:62" s="85" customFormat="1" ht="15" customHeight="1" x14ac:dyDescent="0.2">
      <c r="A125" s="157" t="s">
        <v>68</v>
      </c>
      <c r="B125" s="174"/>
      <c r="C125" s="174"/>
      <c r="D125" s="47"/>
      <c r="E125" s="47"/>
      <c r="F125" s="47"/>
      <c r="G125" s="47"/>
      <c r="H125" s="47"/>
      <c r="I125" s="174"/>
      <c r="J125" s="47"/>
      <c r="K125" s="47"/>
      <c r="L125" s="47"/>
      <c r="M125" s="47"/>
      <c r="N125" s="47"/>
      <c r="O125" s="174"/>
      <c r="P125" s="47"/>
      <c r="Q125" s="47"/>
      <c r="R125" s="47"/>
      <c r="S125" s="47"/>
      <c r="T125" s="47"/>
      <c r="U125" s="162"/>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row>
    <row r="126" spans="1:62" s="85" customFormat="1" ht="15" customHeight="1" x14ac:dyDescent="0.2">
      <c r="A126" s="157" t="s">
        <v>69</v>
      </c>
      <c r="B126" s="174"/>
      <c r="C126" s="174"/>
      <c r="D126" s="47"/>
      <c r="E126" s="47"/>
      <c r="F126" s="47"/>
      <c r="G126" s="47"/>
      <c r="H126" s="47"/>
      <c r="I126" s="174"/>
      <c r="J126" s="47"/>
      <c r="K126" s="47"/>
      <c r="L126" s="47"/>
      <c r="M126" s="47"/>
      <c r="N126" s="47"/>
      <c r="O126" s="174"/>
      <c r="P126" s="47"/>
      <c r="Q126" s="47"/>
      <c r="R126" s="47"/>
      <c r="S126" s="47"/>
      <c r="T126" s="47"/>
      <c r="U126" s="162"/>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row>
    <row r="127" spans="1:62" s="85" customFormat="1" ht="15" customHeight="1" x14ac:dyDescent="0.2">
      <c r="A127" s="158" t="s">
        <v>85</v>
      </c>
      <c r="B127" s="174"/>
      <c r="C127" s="174"/>
      <c r="D127" s="47"/>
      <c r="E127" s="47"/>
      <c r="F127" s="47"/>
      <c r="G127" s="47"/>
      <c r="H127" s="47"/>
      <c r="I127" s="174"/>
      <c r="J127" s="47"/>
      <c r="K127" s="47"/>
      <c r="L127" s="47"/>
      <c r="M127" s="47"/>
      <c r="N127" s="47"/>
      <c r="O127" s="174"/>
      <c r="P127" s="47"/>
      <c r="Q127" s="47"/>
      <c r="R127" s="47"/>
      <c r="S127" s="47"/>
      <c r="T127" s="47"/>
      <c r="U127" s="162"/>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row>
    <row r="128" spans="1:62" s="85" customFormat="1" ht="15" customHeight="1" x14ac:dyDescent="0.2">
      <c r="A128" s="158" t="s">
        <v>71</v>
      </c>
      <c r="B128" s="174"/>
      <c r="C128" s="174"/>
      <c r="D128" s="47"/>
      <c r="E128" s="47"/>
      <c r="F128" s="47"/>
      <c r="G128" s="47"/>
      <c r="H128" s="47"/>
      <c r="I128" s="174"/>
      <c r="J128" s="47"/>
      <c r="K128" s="47"/>
      <c r="L128" s="47"/>
      <c r="M128" s="47"/>
      <c r="N128" s="47"/>
      <c r="O128" s="174"/>
      <c r="P128" s="47"/>
      <c r="Q128" s="47"/>
      <c r="R128" s="47"/>
      <c r="S128" s="47"/>
      <c r="T128" s="47"/>
      <c r="U128" s="162"/>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row>
    <row r="129" spans="1:62" s="85" customFormat="1" ht="15" customHeight="1" x14ac:dyDescent="0.2">
      <c r="A129" s="158" t="s">
        <v>72</v>
      </c>
      <c r="B129" s="174"/>
      <c r="C129" s="174"/>
      <c r="D129" s="47"/>
      <c r="E129" s="47"/>
      <c r="F129" s="47"/>
      <c r="G129" s="47"/>
      <c r="H129" s="47"/>
      <c r="I129" s="174"/>
      <c r="J129" s="47"/>
      <c r="K129" s="47"/>
      <c r="L129" s="47"/>
      <c r="M129" s="47"/>
      <c r="N129" s="47"/>
      <c r="O129" s="174"/>
      <c r="P129" s="47"/>
      <c r="Q129" s="47"/>
      <c r="R129" s="47"/>
      <c r="S129" s="47"/>
      <c r="T129" s="47"/>
      <c r="U129" s="162"/>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row>
    <row r="130" spans="1:62" ht="15" customHeight="1" x14ac:dyDescent="0.2">
      <c r="A130" s="158" t="s">
        <v>73</v>
      </c>
    </row>
    <row r="131" spans="1:62" ht="15" customHeight="1" x14ac:dyDescent="0.2">
      <c r="A131" s="176" t="s">
        <v>82</v>
      </c>
      <c r="P131" s="177"/>
      <c r="Q131" s="177"/>
      <c r="R131" s="177"/>
      <c r="S131" s="177"/>
      <c r="T131" s="177"/>
      <c r="U131" s="177"/>
    </row>
  </sheetData>
  <customSheetViews>
    <customSheetView guid="{AD91D16E-086C-4105-8320-DF4A553F8355}" fitToPage="1" printArea="1" hiddenRows="1" hiddenColumns="1" topLeftCell="A4">
      <selection activeCell="B1" sqref="B1:C1048576"/>
      <rowBreaks count="2" manualBreakCount="2">
        <brk id="46" max="17" man="1"/>
        <brk id="90" max="17" man="1"/>
      </rowBreaks>
      <pageMargins left="0.25" right="0.25" top="0.75" bottom="0.75" header="0.3" footer="0.3"/>
      <printOptions horizontalCentered="1"/>
      <pageSetup scale="35" fitToHeight="0" orientation="landscape" r:id="rId1"/>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2"/>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4"/>
      <headerFooter>
        <oddHeader>&amp;LCalifornia Department of Health Care Services&amp;RMay 2021 Medi-Cal Estimate</oddHeader>
      </headerFooter>
    </customSheetView>
  </customSheetViews>
  <printOptions horizontalCentered="1"/>
  <pageMargins left="0.25" right="0.25" top="0.75" bottom="0.75" header="0.3" footer="0.3"/>
  <pageSetup scale="35" fitToHeight="0" orientation="landscape" r:id="rId5"/>
  <headerFooter>
    <oddHeader>&amp;LCalifornia Department of Health Care Services&amp;RMay 2021 Medi-Cal Estimate</oddHeader>
  </headerFooter>
  <rowBreaks count="2" manualBreakCount="2">
    <brk id="46" max="17" man="1"/>
    <brk id="90" max="17" man="1"/>
  </rowBreaks>
  <ignoredErrors>
    <ignoredError sqref="J3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customSheetViews>
    <customSheetView guid="{AD91D16E-086C-4105-8320-DF4A553F8355}" state="veryHidden">
      <pageMargins left="0.7" right="0.7" top="0.75" bottom="0.75" header="0.3" footer="0.3"/>
    </customSheetView>
    <customSheetView guid="{392D8166-AC0F-4A11-B402-FCAA1470FA29}" state="veryHidden">
      <pageMargins left="0.7" right="0.7" top="0.75" bottom="0.75" header="0.3" footer="0.3"/>
    </customSheetView>
    <customSheetView guid="{2D811B98-3CFA-41D4-AEE7-AE5AF87BA166}"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62</Publication_x0020_Typ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DHCSDOC-376834418-706</_dlc_DocId>
    <_dlc_DocIdUrl xmlns="69bc34b3-1921-46c7-8c7a-d18363374b4b">
      <Url>https://dhcscagovauthoring/dataandstats/reports/_layouts/15/DocIdRedir.aspx?ID=DHCSDOC-376834418-706</Url>
      <Description>DHCSDOC-376834418-706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57AB3E-9927-41C5-BCC1-88EFD1BD00B3}"/>
</file>

<file path=customXml/itemProps2.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3.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4.xml><?xml version="1.0" encoding="utf-8"?>
<ds:datastoreItem xmlns:ds="http://schemas.openxmlformats.org/officeDocument/2006/customXml" ds:itemID="{4AA536C2-AB41-4B86-81C8-EDD2A14644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Medi-Cal Drug Supplemental Chart</dc:title>
  <dc:subject/>
  <dc:creator>J. Singh</dc:creator>
  <cp:keywords>Drug Medi-Cal, supplemental, November, Local Assistance, estimate, fiscal year, 2022-23, 2023-24</cp:keywords>
  <dc:description/>
  <cp:lastModifiedBy>Stacey, Erik@DHCS</cp:lastModifiedBy>
  <cp:revision/>
  <dcterms:created xsi:type="dcterms:W3CDTF">2019-08-09T18:02:06Z</dcterms:created>
  <dcterms:modified xsi:type="dcterms:W3CDTF">2023-05-11T17:53:13Z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fe05d917-6263-4fca-b76f-4bdc763bb079</vt:lpwstr>
  </property>
  <property fmtid="{D5CDD505-2E9C-101B-9397-08002B2CF9AE}" pid="6" name="Division">
    <vt:lpwstr>45;#Fiscal Forecasting|f301d91f-2d63-4bdb-a1a3-c13e2f7d3764</vt:lpwstr>
  </property>
</Properties>
</file>